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drawings/drawing2.xml" ContentType="application/vnd.openxmlformats-officedocument.drawing+xml"/>
  <Override PartName="/xl/ctrlProps/ctrlProp67.xml" ContentType="application/vnd.ms-excel.controlproperties+xml"/>
  <Override PartName="/xl/ctrlProps/ctrlProp68.xml" ContentType="application/vnd.ms-excel.controlproperties+xml"/>
  <Override PartName="/xl/drawings/drawing3.xml" ContentType="application/vnd.openxmlformats-officedocument.drawing+xml"/>
  <Override PartName="/xl/embeddings/oleObject1.bin" ContentType="application/vnd.openxmlformats-officedocument.oleObject"/>
  <Override PartName="/xl/ctrlProps/ctrlProp69.xml" ContentType="application/vnd.ms-excel.controlproperties+xml"/>
  <Override PartName="/xl/ctrlProps/ctrlProp70.xml" ContentType="application/vnd.ms-excel.controlproperties+xml"/>
  <Override PartName="/xl/drawings/drawing4.xml" ContentType="application/vnd.openxmlformats-officedocument.drawing+xml"/>
  <Override PartName="/xl/ctrlProps/ctrlProp71.xml" ContentType="application/vnd.ms-excel.controlproperties+xml"/>
  <Override PartName="/xl/drawings/drawing5.xml" ContentType="application/vnd.openxmlformats-officedocument.drawing+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drawings/drawing6.xml" ContentType="application/vnd.openxmlformats-officedocument.drawing+xml"/>
  <Override PartName="/xl/ctrlProps/ctrlProp75.xml" ContentType="application/vnd.ms-excel.controlproperties+xml"/>
  <Override PartName="/xl/ctrlProps/ctrlProp76.xml" ContentType="application/vnd.ms-excel.controlproperties+xml"/>
  <Override PartName="/xl/drawings/drawing7.xml" ContentType="application/vnd.openxmlformats-officedocument.drawing+xml"/>
  <Override PartName="/xl/ctrlProps/ctrlProp77.xml" ContentType="application/vnd.ms-excel.controlproperties+xml"/>
  <Override PartName="/xl/ctrlProps/ctrlProp78.xml" ContentType="application/vnd.ms-excel.controlproperties+xml"/>
  <Override PartName="/xl/drawings/drawing8.xml" ContentType="application/vnd.openxmlformats-officedocument.drawing+xml"/>
  <Override PartName="/xl/ctrlProps/ctrlProp79.xml" ContentType="application/vnd.ms-excel.controlproperties+xml"/>
  <Override PartName="/xl/drawings/drawing9.xml" ContentType="application/vnd.openxmlformats-officedocument.drawing+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drawings/drawing10.xml" ContentType="application/vnd.openxmlformats-officedocument.drawing+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drawings/drawing11.xml" ContentType="application/vnd.openxmlformats-officedocument.drawing+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drawings/drawing12.xml" ContentType="application/vnd.openxmlformats-officedocument.drawing+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drawings/drawing13.xml" ContentType="application/vnd.openxmlformats-officedocument.drawing+xml"/>
  <Override PartName="/xl/ctrlProps/ctrlProp95.xml" ContentType="application/vnd.ms-excel.controlproperties+xml"/>
  <Override PartName="/xl/drawings/drawing14.xml" ContentType="application/vnd.openxmlformats-officedocument.drawing+xml"/>
  <Override PartName="/xl/ctrlProps/ctrlProp96.xml" ContentType="application/vnd.ms-excel.controlproperties+xml"/>
  <Override PartName="/xl/drawings/drawing15.xml" ContentType="application/vnd.openxmlformats-officedocument.drawing+xml"/>
  <Override PartName="/xl/ctrlProps/ctrlProp97.xml" ContentType="application/vnd.ms-excel.controlproperties+xml"/>
  <Override PartName="/xl/drawings/drawing16.xml" ContentType="application/vnd.openxmlformats-officedocument.drawing+xml"/>
  <Override PartName="/xl/ctrlProps/ctrlProp98.xml" ContentType="application/vnd.ms-excel.controlproperties+xml"/>
  <Override PartName="/xl/ctrlProps/ctrlProp99.xml" ContentType="application/vnd.ms-excel.controlproperties+xml"/>
  <Override PartName="/xl/drawings/drawing17.xml" ContentType="application/vnd.openxmlformats-officedocument.drawing+xml"/>
  <Override PartName="/xl/embeddings/oleObject2.bin" ContentType="application/vnd.openxmlformats-officedocument.oleObject"/>
  <Override PartName="/xl/ctrlProps/ctrlProp100.xml" ContentType="application/vnd.ms-excel.controlproperties+xml"/>
  <Override PartName="/xl/drawings/drawing18.xml" ContentType="application/vnd.openxmlformats-officedocument.drawing+xml"/>
  <Override PartName="/xl/ctrlProps/ctrlProp101.xml" ContentType="application/vnd.ms-excel.controlproperties+xml"/>
  <Override PartName="/xl/ctrlProps/ctrlProp102.xml" ContentType="application/vnd.ms-excel.controlproperties+xml"/>
  <Override PartName="/xl/drawings/drawing19.xml" ContentType="application/vnd.openxmlformats-officedocument.drawing+xml"/>
  <Override PartName="/xl/ctrlProps/ctrlProp103.xml" ContentType="application/vnd.ms-excel.controlproperties+xml"/>
  <Override PartName="/xl/ctrlProps/ctrlProp104.xml" ContentType="application/vnd.ms-excel.controlproperties+xml"/>
  <Override PartName="/xl/drawings/drawing20.xml" ContentType="application/vnd.openxmlformats-officedocument.drawing+xml"/>
  <Override PartName="/xl/embeddings/oleObject3.bin" ContentType="application/vnd.openxmlformats-officedocument.oleObject"/>
  <Override PartName="/xl/ctrlProps/ctrlProp105.xml" ContentType="application/vnd.ms-excel.controlproperties+xml"/>
  <Override PartName="/xl/drawings/drawing21.xml" ContentType="application/vnd.openxmlformats-officedocument.drawing+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drawings/drawing22.xml" ContentType="application/vnd.openxmlformats-officedocument.drawing+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drawings/drawing23.xml" ContentType="application/vnd.openxmlformats-officedocument.drawing+xml"/>
  <Override PartName="/xl/ctrlProps/ctrlProp120.xml" ContentType="application/vnd.ms-excel.controlproperties+xml"/>
  <Override PartName="/xl/drawings/drawing24.xml" ContentType="application/vnd.openxmlformats-officedocument.drawing+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omments1.xml" ContentType="application/vnd.openxmlformats-officedocument.spreadsheetml.comments+xml"/>
  <Override PartName="/xl/drawings/drawing25.xml" ContentType="application/vnd.openxmlformats-officedocument.drawing+xml"/>
  <Override PartName="/xl/ctrlProps/ctrlProp124.xml" ContentType="application/vnd.ms-excel.controlproperties+xml"/>
  <Override PartName="/xl/ctrlProps/ctrlProp125.xml" ContentType="application/vnd.ms-excel.controlproperties+xml"/>
  <Override PartName="/xl/drawings/drawing26.xml" ContentType="application/vnd.openxmlformats-officedocument.drawing+xml"/>
  <Override PartName="/xl/ctrlProps/ctrlProp126.xml" ContentType="application/vnd.ms-excel.controlproperties+xml"/>
  <Override PartName="/xl/ctrlProps/ctrlProp12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Projects\ThermoTech\website\ExcelFiles\"/>
    </mc:Choice>
  </mc:AlternateContent>
  <bookViews>
    <workbookView xWindow="480" yWindow="105" windowWidth="11325" windowHeight="6450" tabRatio="599" firstSheet="2" activeTab="2"/>
  </bookViews>
  <sheets>
    <sheet name="AutoOpen Stub Data" sheetId="55" state="veryHidden" r:id="rId1"/>
    <sheet name="RFQ Sheet" sheetId="58" state="hidden" r:id="rId2"/>
    <sheet name="Quote Entry" sheetId="1" r:id="rId3"/>
    <sheet name="Master Data" sheetId="62" state="hidden" r:id="rId4"/>
    <sheet name="Autoliv Mold Cost Breakdown" sheetId="61" state="hidden" r:id="rId5"/>
    <sheet name="Electronic Data" sheetId="59" state="hidden" r:id="rId6"/>
    <sheet name="PressRate" sheetId="37" state="hidden" r:id="rId7"/>
    <sheet name="Cost Breakdown" sheetId="56" state="hidden" r:id="rId8"/>
    <sheet name="Cost Breakdown Two" sheetId="60" state="hidden" r:id="rId9"/>
    <sheet name="Mexico Press" sheetId="52" state="hidden" r:id="rId10"/>
    <sheet name="Revision" sheetId="51" state="hidden" r:id="rId11"/>
    <sheet name="Customer Master" sheetId="35" state="hidden" r:id="rId12"/>
    <sheet name="Notes" sheetId="36" state="hidden" r:id="rId13"/>
    <sheet name="Sales Contact" sheetId="38" state="hidden" r:id="rId14"/>
    <sheet name="Check List" sheetId="34" state="hidden" r:id="rId15"/>
    <sheet name="El Paso Press" sheetId="31" state="hidden" r:id="rId16"/>
    <sheet name="Hopkins Press" sheetId="32" state="hidden" r:id="rId17"/>
    <sheet name="Rate Calculator" sheetId="25" state="hidden" r:id="rId18"/>
    <sheet name="Precision Foam" sheetId="24" state="hidden" r:id="rId19"/>
    <sheet name="Quote Quideline" sheetId="23" state="hidden" r:id="rId20"/>
    <sheet name="Insert Quote" sheetId="19" state="hidden" r:id="rId21"/>
    <sheet name="Customer Quote Each" sheetId="53" state="hidden" r:id="rId22"/>
    <sheet name="Calculator" sheetId="13" state="hidden" r:id="rId23"/>
    <sheet name="Tooling" sheetId="64" state="hidden" r:id="rId24"/>
    <sheet name="Automation" sheetId="63" state="hidden" r:id="rId25"/>
    <sheet name="Formula sheet" sheetId="2" state="hidden" r:id="rId26"/>
    <sheet name="Variable Sheet" sheetId="18" state="hidden" r:id="rId27"/>
    <sheet name="Tooling Rate" sheetId="11" state="hidden" r:id="rId28"/>
    <sheet name="TemplateInformation" sheetId="54" state="veryHidden" r:id="rId29"/>
    <sheet name="Packaging Sheet" sheetId="3" state="hidden" r:id="rId30"/>
  </sheets>
  <definedNames>
    <definedName name="_xlnm._FilterDatabase" localSheetId="11" hidden="1">'Customer Master'!$A$1:$J$773</definedName>
    <definedName name="ARRateD2">#REF!</definedName>
    <definedName name="_xlnm.Auto_Open21">'AutoOpen Stub Data'!$A$1</definedName>
    <definedName name="AutoMaintRate">'Variable Sheet'!$B$29</definedName>
    <definedName name="Automation1">'Formula sheet'!$C$357</definedName>
    <definedName name="Automation10">'Formula sheet'!$C$366</definedName>
    <definedName name="Automation102">'Formula sheet'!$D$366</definedName>
    <definedName name="Automation12">'Formula sheet'!$D$357</definedName>
    <definedName name="Automation2">'Formula sheet'!$C$358</definedName>
    <definedName name="Automation22">'Formula sheet'!$D$358</definedName>
    <definedName name="Automation3">'Formula sheet'!$C$359</definedName>
    <definedName name="Automation32">'Formula sheet'!$D$359</definedName>
    <definedName name="Automation4">'Formula sheet'!$C$360</definedName>
    <definedName name="Automation42">'Formula sheet'!$D$360</definedName>
    <definedName name="Automation5">'Formula sheet'!$C$361</definedName>
    <definedName name="Automation52">'Formula sheet'!$D$361</definedName>
    <definedName name="Automation6">'Formula sheet'!$C$362</definedName>
    <definedName name="Automation62">'Formula sheet'!$D$362</definedName>
    <definedName name="Automation7">'Formula sheet'!$C$363</definedName>
    <definedName name="Automation72">'Formula sheet'!$D$363</definedName>
    <definedName name="Automation8">'Formula sheet'!$C$364</definedName>
    <definedName name="Automation82">'Formula sheet'!$D$364</definedName>
    <definedName name="Automation9">'Formula sheet'!$C$365</definedName>
    <definedName name="Automation92">'Formula sheet'!$D$365</definedName>
    <definedName name="AutomationFlag">'Quote Entry'!$N$117</definedName>
    <definedName name="AverageScore">'Formula sheet'!$A$157</definedName>
    <definedName name="AverageScore1">'Formula sheet'!$B$157</definedName>
    <definedName name="BaseQuantity">'Variable Sheet'!$B$3</definedName>
    <definedName name="BO2Mat11Cost1">'Formula sheet'!$K$130</definedName>
    <definedName name="BO2Mat11Cost2">'Formula sheet'!$L$130</definedName>
    <definedName name="BO2Mat11Cost3">'Formula sheet'!$M$130</definedName>
    <definedName name="BO2Mat11Cost4">'Formula sheet'!$N$130</definedName>
    <definedName name="BO2Mat11Cost5">'Formula sheet'!$O$130</definedName>
    <definedName name="BO2Mat12Cost1">'Formula sheet'!$K$132</definedName>
    <definedName name="BO2Mat12Cost2">'Formula sheet'!$L$132</definedName>
    <definedName name="BO2Mat12Cost3">'Formula sheet'!$M$132</definedName>
    <definedName name="BO2Mat12Cost4">'Formula sheet'!$N$132</definedName>
    <definedName name="BO2Mat12Cost5">'Formula sheet'!$O$132</definedName>
    <definedName name="BO2Mat13Cost1">'Formula sheet'!$K$134</definedName>
    <definedName name="BO2Mat13Cost2">'Formula sheet'!$L$134</definedName>
    <definedName name="BO2Mat13Cost3">'Formula sheet'!$M$134</definedName>
    <definedName name="BO2Mat13Cost4">'Formula sheet'!$N$134</definedName>
    <definedName name="BO2Mat13Cost5">'Formula sheet'!$O$134</definedName>
    <definedName name="BO2Mat14Cost1">'Formula sheet'!$K$136</definedName>
    <definedName name="BO2Mat14Cost2">'Formula sheet'!$L$136</definedName>
    <definedName name="BO2Mat14Cost3">'Formula sheet'!$M$136</definedName>
    <definedName name="BO2Mat14Cost4">'Formula sheet'!$N$136</definedName>
    <definedName name="BO2Mat14Cost5">'Formula sheet'!$O$136</definedName>
    <definedName name="BO2Mat15Cost1">'Formula sheet'!$K$138</definedName>
    <definedName name="BO2Mat15Cost2">'Formula sheet'!$L$138</definedName>
    <definedName name="BO2Mat15Cost3">'Formula sheet'!$M$138</definedName>
    <definedName name="BO2Mat15Cost4">'Formula sheet'!$N$138</definedName>
    <definedName name="BO2Mat15Cost5">'Formula sheet'!$O$138</definedName>
    <definedName name="BOMat11Cost1">'Formula sheet'!$K$95</definedName>
    <definedName name="BOMat11Cost2">'Formula sheet'!$L$95</definedName>
    <definedName name="BOMat11Cost3">'Formula sheet'!$M$95</definedName>
    <definedName name="BOMat11Cost4">'Formula sheet'!$N$95</definedName>
    <definedName name="BOMat11Cost5">'Formula sheet'!$O$95</definedName>
    <definedName name="BOMat12Cost1">'Formula sheet'!$K$97</definedName>
    <definedName name="BOMat12Cost2">'Formula sheet'!$L$97</definedName>
    <definedName name="BOMat12Cost3">'Formula sheet'!$M$97</definedName>
    <definedName name="BOMat12Cost4">'Formula sheet'!$N$97</definedName>
    <definedName name="BOMat12Cost5">'Formula sheet'!$O$97</definedName>
    <definedName name="BOMat13Cost1">'Formula sheet'!$K$99</definedName>
    <definedName name="BOMat13Cost2">'Formula sheet'!$L$99</definedName>
    <definedName name="BOMat13Cost3">'Formula sheet'!$M$99</definedName>
    <definedName name="BOMat13Cost4">'Formula sheet'!$N$99</definedName>
    <definedName name="BOMat13Cost5">'Formula sheet'!$O$99</definedName>
    <definedName name="BOMat14Cost1">'Formula sheet'!$K$101</definedName>
    <definedName name="BOMat14Cost2">'Formula sheet'!$L$101</definedName>
    <definedName name="BOMat14Cost3">'Formula sheet'!$M$101</definedName>
    <definedName name="BOMat14Cost4">'Formula sheet'!$N$101</definedName>
    <definedName name="BOMat14Cost5">'Formula sheet'!$O$101</definedName>
    <definedName name="BOMat15Cost1">'Formula sheet'!$K$103</definedName>
    <definedName name="BOMat15Cost2">'Formula sheet'!$L$103</definedName>
    <definedName name="BOMat15Cost3">'Formula sheet'!$M$103</definedName>
    <definedName name="BOMat15Cost4">'Formula sheet'!$N$103</definedName>
    <definedName name="BOMat15Cost5">'Formula sheet'!$O$103</definedName>
    <definedName name="BOMReq1">'Quote Entry'!$M$6</definedName>
    <definedName name="BOMReq2">'Quote Entry'!$N$6</definedName>
    <definedName name="CavityScr1">'Quote Entry'!$M$2</definedName>
    <definedName name="CavityScr2">'Quote Entry'!$N$2</definedName>
    <definedName name="CB2BuyMat1">'Cost Breakdown Two'!$D$47</definedName>
    <definedName name="CB2BuyMat2">'Cost Breakdown Two'!$D$48</definedName>
    <definedName name="CB2BuyMat3">'Cost Breakdown Two'!$D$49</definedName>
    <definedName name="CB2BuyMat4">'Cost Breakdown Two'!$D$50</definedName>
    <definedName name="CB2BuyMatPrice1">'Cost Breakdown Two'!$F$47</definedName>
    <definedName name="CB2BuyMatPrice2">'Cost Breakdown Two'!$F$48</definedName>
    <definedName name="CB2BuyMatPrice3">'Cost Breakdown Two'!$F$49</definedName>
    <definedName name="CB2BuyMatPrice4">'Cost Breakdown Two'!$F$50</definedName>
    <definedName name="CB2BuyMatUsage1">'Cost Breakdown Two'!$G$47</definedName>
    <definedName name="CB2BuyMatUsage2">'Cost Breakdown Two'!$G$48</definedName>
    <definedName name="CB2BuyMatUsage3">'Cost Breakdown Two'!$G$49</definedName>
    <definedName name="CB2BuyMatUsage4">'Cost Breakdown Two'!$G$50</definedName>
    <definedName name="CB2BuyoutPr1">'Cost Breakdown Two'!$A$47</definedName>
    <definedName name="CB2BuyoutPr2">'Cost Breakdown Two'!$A$48</definedName>
    <definedName name="CB2BuyoutPr3">'Cost Breakdown Two'!$A$49</definedName>
    <definedName name="CB2BuyoutPr4">'Cost Breakdown Two'!$A$50</definedName>
    <definedName name="CB2Factor1">'Cost Breakdown Two'!$C$13</definedName>
    <definedName name="CB2Factor10">'Cost Breakdown Two'!$C$48</definedName>
    <definedName name="CB2Factor11">'Cost Breakdown Two'!$C$49</definedName>
    <definedName name="CB2Factor12">'Cost Breakdown Two'!$C$50</definedName>
    <definedName name="CB2Factor2">'Cost Breakdown Two'!$C$14</definedName>
    <definedName name="CB2Factor3">'Cost Breakdown Two'!$C$15</definedName>
    <definedName name="CB2Factor3A">'Cost Breakdown Two'!$C$16</definedName>
    <definedName name="CB2Factor4">'Cost Breakdown Two'!$C$20</definedName>
    <definedName name="CB2Factor5">'Cost Breakdown Two'!$C$21</definedName>
    <definedName name="CB2Factor6">'Cost Breakdown Two'!$C$22</definedName>
    <definedName name="CB2Factor6A">'Cost Breakdown Two'!$C$23</definedName>
    <definedName name="CB2Factor7">'Cost Breakdown Two'!$C$27</definedName>
    <definedName name="CB2Factor8">'Cost Breakdown Two'!$C$28</definedName>
    <definedName name="CB2Factor9">'Cost Breakdown Two'!$C$47</definedName>
    <definedName name="CB2FinalBO">'Cost Breakdown Two'!$I$50</definedName>
    <definedName name="CB2FinMatl">'Cost Breakdown Two'!$I$16</definedName>
    <definedName name="CB2FixedCost">'Cost Breakdown Two'!$A$28</definedName>
    <definedName name="CB2Labor1">'Cost Breakdown Two'!$D$20</definedName>
    <definedName name="CB2Labor2">'Cost Breakdown Two'!$D$21</definedName>
    <definedName name="CB2Labor3">'Cost Breakdown Two'!$D$22</definedName>
    <definedName name="CB2Labor4">'Cost Breakdown Two'!$D$23</definedName>
    <definedName name="CB2LabRate1">'Cost Breakdown Two'!$F$20</definedName>
    <definedName name="CB2LabRate2">'Cost Breakdown Two'!$F$21</definedName>
    <definedName name="CB2LabRate3">'Cost Breakdown Two'!$F$22</definedName>
    <definedName name="CB2LabRate4">'Cost Breakdown Two'!$F$23</definedName>
    <definedName name="CB2LogTest1">'Cost Breakdown Two'!$B$13</definedName>
    <definedName name="CB2LogTest10">'Cost Breakdown Two'!$B$47</definedName>
    <definedName name="CB2LogTest11">'Cost Breakdown Two'!$B$48</definedName>
    <definedName name="CB2LogTest12">'Cost Breakdown Two'!$B$49</definedName>
    <definedName name="CB2LogTest2">'Cost Breakdown Two'!$B$14</definedName>
    <definedName name="CB2LogTest3">'Cost Breakdown Two'!$B$15</definedName>
    <definedName name="CB2LogTest4">'Cost Breakdown Two'!$B$20</definedName>
    <definedName name="CB2LogTest5">'Cost Breakdown Two'!$B$21</definedName>
    <definedName name="CB2LogTest6">'Cost Breakdown Two'!$B$22</definedName>
    <definedName name="CB2LogTest7">'Cost Breakdown Two'!$B$27</definedName>
    <definedName name="CB2LogTest8">'Cost Breakdown Two'!$B$28</definedName>
    <definedName name="CB2LogTest9">'Cost Breakdown Two'!$B$34</definedName>
    <definedName name="CB2Mat">'Cost Breakdown Two'!$D$12</definedName>
    <definedName name="CB2Mat1">'Cost Breakdown Two'!$D$13</definedName>
    <definedName name="CB2Mat2">'Cost Breakdown Two'!$D$14</definedName>
    <definedName name="CB2Mat3">'Cost Breakdown Two'!$D$15</definedName>
    <definedName name="CB2Mat4">'Cost Breakdown Two'!$D$16</definedName>
    <definedName name="CB2MatPrice1">'Cost Breakdown Two'!$F$13</definedName>
    <definedName name="CB2MatPrice2">'Cost Breakdown Two'!$F$14</definedName>
    <definedName name="CB2MatPrice3">'Cost Breakdown Two'!$F$15</definedName>
    <definedName name="CB2MatPrice4">'Cost Breakdown Two'!$F$16</definedName>
    <definedName name="CB2MatUsage1">'Cost Breakdown Two'!$G$13</definedName>
    <definedName name="CB2MatUsage2">'Cost Breakdown Two'!$G$14</definedName>
    <definedName name="CB2MatUsage3">'Cost Breakdown Two'!$G$15</definedName>
    <definedName name="CB2MatUsage4">'Cost Breakdown Two'!$G$16</definedName>
    <definedName name="CB2Ops1">'Cost Breakdown Two'!$G$20</definedName>
    <definedName name="CB2Ops2">'Cost Breakdown Two'!$G$21</definedName>
    <definedName name="CB2Ops3">'Cost Breakdown Two'!$G$22</definedName>
    <definedName name="CB2Ops4">'Cost Breakdown Two'!$G$23</definedName>
    <definedName name="CB2Pack">'Cost Breakdown Two'!$I$54</definedName>
    <definedName name="CB2Pcs1">'Cost Breakdown Two'!$A$20</definedName>
    <definedName name="CB2Pcs2">'Cost Breakdown Two'!$A$21</definedName>
    <definedName name="CB2Pcs3">'Cost Breakdown Two'!$A$22</definedName>
    <definedName name="CB2Pcs4">'Cost Breakdown Two'!$A$23</definedName>
    <definedName name="CB2QtyBreak">'Cost Breakdown Two'!$A$10</definedName>
    <definedName name="CB2ResinPr1">'Cost Breakdown Two'!$A$13</definedName>
    <definedName name="CB2ResinPr2">'Cost Breakdown Two'!$A$14</definedName>
    <definedName name="CB2ResinPr3">'Cost Breakdown Two'!$A$15</definedName>
    <definedName name="CB2ResinPr4">'Cost Breakdown Two'!$A$16</definedName>
    <definedName name="CB2Scen">'Cost Breakdown Two'!#REF!</definedName>
    <definedName name="CB2Scrap1">'Cost Breakdown Two'!$I$33</definedName>
    <definedName name="CB2Scrap2">'Cost Breakdown Two'!$I$34</definedName>
    <definedName name="CB2SellPrice">'Cost Breakdown Two'!$A$61</definedName>
    <definedName name="CB2SellPrice1">'Cost Breakdown Two'!$H$61</definedName>
    <definedName name="CB2SGA">'Cost Breakdown Two'!$F$40</definedName>
    <definedName name="CB2TotBOM">'Cost Breakdown Two'!$J$16</definedName>
    <definedName name="CB2TotLab">'Cost Breakdown Two'!$I$23</definedName>
    <definedName name="CB2TotMfgCost">'Cost Breakdown Two'!$H$37</definedName>
    <definedName name="CB2TOTOper">'Cost Breakdown Two'!$I$28</definedName>
    <definedName name="CB2VarCost">'Cost Breakdown Two'!$A$27</definedName>
    <definedName name="CBBuyMat1">'Cost Breakdown'!$D$47</definedName>
    <definedName name="CBBuyMat2">'Cost Breakdown'!$D$48</definedName>
    <definedName name="CBBuyMat3">'Cost Breakdown'!$D$49</definedName>
    <definedName name="CBBuyMat4">'Cost Breakdown'!$D$50</definedName>
    <definedName name="CBBuyMatPrice1">'Cost Breakdown'!$F$47</definedName>
    <definedName name="CBBuyMatPrice2">'Cost Breakdown'!$F$48</definedName>
    <definedName name="CBBuyMatPrice3">'Cost Breakdown'!$F$49</definedName>
    <definedName name="CBBuyMatPrice4">'Cost Breakdown'!$F$50</definedName>
    <definedName name="CBBuyMatUsage1">'Cost Breakdown'!$G$47</definedName>
    <definedName name="CBBuyMatUsage2">'Cost Breakdown'!$G$48</definedName>
    <definedName name="CBBuyMatUsage3">'Cost Breakdown'!$G$49</definedName>
    <definedName name="CBBuyMatUsage4">'Cost Breakdown'!$G$50</definedName>
    <definedName name="CBBuyoutPr1">'Cost Breakdown'!$A$47</definedName>
    <definedName name="CBBuyoutPr2">'Cost Breakdown'!$A$48</definedName>
    <definedName name="CBBuyoutPr3">'Cost Breakdown'!$A$49</definedName>
    <definedName name="CBBuyoutPr4">'Cost Breakdown'!$A$50</definedName>
    <definedName name="CBFactor1">'Cost Breakdown'!$C$13</definedName>
    <definedName name="CBFactor10">'Cost Breakdown'!$C$48</definedName>
    <definedName name="CBFactor11">'Cost Breakdown'!$C$49</definedName>
    <definedName name="CBFactor12">'Cost Breakdown'!$C$50</definedName>
    <definedName name="CBFactor2">'Cost Breakdown'!$C$14</definedName>
    <definedName name="CBFactor3">'Cost Breakdown'!$C$15</definedName>
    <definedName name="CBFactor3A">'Cost Breakdown'!$C$16</definedName>
    <definedName name="CBFactor4">'Cost Breakdown'!$C$20</definedName>
    <definedName name="CBFactor5">'Cost Breakdown'!$C$21</definedName>
    <definedName name="CBFactor6">'Cost Breakdown'!$C$22</definedName>
    <definedName name="CBFactor6A">'Cost Breakdown'!$C$23</definedName>
    <definedName name="CBFactor7">'Cost Breakdown'!$C$27</definedName>
    <definedName name="CBFactor8">'Cost Breakdown'!$C$28</definedName>
    <definedName name="CBFactor9">'Cost Breakdown'!$C$47</definedName>
    <definedName name="CBFinalBO">'Cost Breakdown'!$I$50</definedName>
    <definedName name="CBFinMatl">'Cost Breakdown'!$I$16</definedName>
    <definedName name="CBFixedCost">'Cost Breakdown'!$A$28</definedName>
    <definedName name="CBLabor1">'Cost Breakdown'!$D$20</definedName>
    <definedName name="CBLabor2">'Cost Breakdown'!$D$21</definedName>
    <definedName name="CBLabor3">'Cost Breakdown'!$D$22</definedName>
    <definedName name="CBLabor4">'Cost Breakdown'!$D$23</definedName>
    <definedName name="CBLabRate1">'Cost Breakdown'!$F$20</definedName>
    <definedName name="CBLabRate2">'Cost Breakdown'!$F$21</definedName>
    <definedName name="CBLabRate3">'Cost Breakdown'!$F$22</definedName>
    <definedName name="CBLabRate4">'Cost Breakdown'!$F$23</definedName>
    <definedName name="CBLogTest1">'Cost Breakdown'!$B$13</definedName>
    <definedName name="CBLogTest10">'Cost Breakdown'!$B$47</definedName>
    <definedName name="CBLogTest11">'Cost Breakdown'!$B$48</definedName>
    <definedName name="CBLogTest12">'Cost Breakdown'!$B$49</definedName>
    <definedName name="CBLogTest2">'Cost Breakdown'!$B$14</definedName>
    <definedName name="CBLogTest3">'Cost Breakdown'!$B$15</definedName>
    <definedName name="CBLogTest4">'Cost Breakdown'!$B$20</definedName>
    <definedName name="CBLogTest5">'Cost Breakdown'!$B$21</definedName>
    <definedName name="CBLogTest6">'Cost Breakdown'!$B$22</definedName>
    <definedName name="CBLogTest7">'Cost Breakdown'!$B$27</definedName>
    <definedName name="CBLogTest8">'Cost Breakdown'!$B$28</definedName>
    <definedName name="CBLogTest9">'Cost Breakdown'!$B$34</definedName>
    <definedName name="CBMat">'Cost Breakdown'!$D$12</definedName>
    <definedName name="CBMat1">'Cost Breakdown'!$D$13</definedName>
    <definedName name="CBMat2">'Cost Breakdown'!$D$14</definedName>
    <definedName name="CBMat3">'Cost Breakdown'!$D$15</definedName>
    <definedName name="CBMat4">'Cost Breakdown'!$D$16</definedName>
    <definedName name="CBMatPrice1">'Cost Breakdown'!$F$13</definedName>
    <definedName name="CBMatPrice2">'Cost Breakdown'!$F$14</definedName>
    <definedName name="CBMatPrice3">'Cost Breakdown'!$F$15</definedName>
    <definedName name="CBMatPrice4">'Cost Breakdown'!$F$16</definedName>
    <definedName name="CBMatUsage1">'Cost Breakdown'!$G$13</definedName>
    <definedName name="CBMatUsage2">'Cost Breakdown'!$G$14</definedName>
    <definedName name="CBMatUsage3">'Cost Breakdown'!$G$15</definedName>
    <definedName name="CBMatUsage4">'Cost Breakdown'!$G$16</definedName>
    <definedName name="CBOps1">'Cost Breakdown'!$G$20</definedName>
    <definedName name="CBOps2">'Cost Breakdown'!$G$21</definedName>
    <definedName name="CBOps3">'Cost Breakdown'!$G$22</definedName>
    <definedName name="CBOps4">'Cost Breakdown'!$G$23</definedName>
    <definedName name="CBPack">'Cost Breakdown'!$I$54</definedName>
    <definedName name="CBPcs1">'Cost Breakdown'!$A$20</definedName>
    <definedName name="CBPcs2">'Cost Breakdown'!$A$21</definedName>
    <definedName name="CBPcs3">'Cost Breakdown'!$A$22</definedName>
    <definedName name="CBPcs4">'Cost Breakdown'!$A$23</definedName>
    <definedName name="CBQtyBreak">'Cost Breakdown'!$A$10</definedName>
    <definedName name="CBResinPr1">'Cost Breakdown'!$A$13</definedName>
    <definedName name="CBResinPr2">'Cost Breakdown'!$A$14</definedName>
    <definedName name="CBResinPr3">'Cost Breakdown'!$A$15</definedName>
    <definedName name="CBResinPr4">'Cost Breakdown'!$A$16</definedName>
    <definedName name="CBScen">'Cost Breakdown'!#REF!</definedName>
    <definedName name="CBScrap1">'Cost Breakdown'!$I$33</definedName>
    <definedName name="CBScrap2">'Cost Breakdown'!$I$34</definedName>
    <definedName name="CBSellPrice">'Cost Breakdown'!$A$61</definedName>
    <definedName name="CBSellPrice1">'Cost Breakdown'!$H$61</definedName>
    <definedName name="CBSGA">'Cost Breakdown'!$F$40</definedName>
    <definedName name="CBTotBOM">'Cost Breakdown'!$J$16</definedName>
    <definedName name="CBTotLab">'Cost Breakdown'!$I$23</definedName>
    <definedName name="CBTotMfgCost">'Cost Breakdown'!$H$37</definedName>
    <definedName name="CBTOTOper">'Cost Breakdown'!$I$28</definedName>
    <definedName name="CBVarCost">'Cost Breakdown'!$A$27</definedName>
    <definedName name="CMEndReport">'Customer Master'!$A$768</definedName>
    <definedName name="CMStartReport">'Customer Master'!$A$1</definedName>
    <definedName name="Combo1">'Formula sheet'!$E$357</definedName>
    <definedName name="Combo10">'Formula sheet'!$E$366</definedName>
    <definedName name="Combo2">'Formula sheet'!$E$358</definedName>
    <definedName name="Combo3">'Formula sheet'!$E$359</definedName>
    <definedName name="Combo4">'Formula sheet'!$E$360</definedName>
    <definedName name="Combo5">'Formula sheet'!$E$361</definedName>
    <definedName name="Combo6">'Formula sheet'!$E$362</definedName>
    <definedName name="Combo7">'Formula sheet'!$E$363</definedName>
    <definedName name="Combo8">'Formula sheet'!$E$364</definedName>
    <definedName name="Combo9">'Formula sheet'!$E$365</definedName>
    <definedName name="ComboFlag">'Quote Entry'!$N$118</definedName>
    <definedName name="CostAdjuster1">'Quote Entry'!$B$129</definedName>
    <definedName name="CostAdjuster12">'Quote Entry'!$C$129</definedName>
    <definedName name="CostAdjuster13">'Quote Entry'!$D$129</definedName>
    <definedName name="CostAdjuster14">'Quote Entry'!$E$129</definedName>
    <definedName name="CostAdjuster15">'Quote Entry'!$F$129</definedName>
    <definedName name="CostAdjuster2">'Quote Entry'!$H$129</definedName>
    <definedName name="CostAdjuster22">'Quote Entry'!$I$129</definedName>
    <definedName name="CostAdjuster23">'Quote Entry'!$J$129</definedName>
    <definedName name="CostAdjuster24">'Quote Entry'!$K$129</definedName>
    <definedName name="CostAdjuster25">'Quote Entry'!$L$129</definedName>
    <definedName name="CQEA27">'Customer Quote Each'!$A$27</definedName>
    <definedName name="CQEA28">'Customer Quote Each'!$A$28</definedName>
    <definedName name="CQEA29">'Customer Quote Each'!$A$29</definedName>
    <definedName name="CQEA30">'Customer Quote Each'!$A$30</definedName>
    <definedName name="CQEA31">'Customer Quote Each'!$A$31</definedName>
    <definedName name="CQEContact">'Customer Quote Each'!$A$67</definedName>
    <definedName name="CQEContact2">'Customer Quote Each'!$D$67</definedName>
    <definedName name="CQECust">'Customer Quote Each'!$A$10</definedName>
    <definedName name="CQECustAddr">'Customer Quote Each'!$A$12</definedName>
    <definedName name="CQECustCitySt">'Customer Quote Each'!$A$14</definedName>
    <definedName name="CQECustName">'Customer Quote Each'!$A$11</definedName>
    <definedName name="CQECustPOBox">'Customer Quote Each'!$A$13</definedName>
    <definedName name="CQEEmail">'Customer Quote Each'!$B$68</definedName>
    <definedName name="CQEEmail1">'Customer Quote Each'!$E$68</definedName>
    <definedName name="CQEMinRel1">'Customer Quote Each'!$B$25</definedName>
    <definedName name="CQEMinRel10">'Customer Quote Each'!$F$30</definedName>
    <definedName name="CQEMinRel2">'Customer Quote Each'!$C$25</definedName>
    <definedName name="CQEMinRel3">'Customer Quote Each'!$D$25</definedName>
    <definedName name="CQEMinRel4">'Customer Quote Each'!$E$25</definedName>
    <definedName name="CQEMinRel5">'Customer Quote Each'!$F$25</definedName>
    <definedName name="CQEMinRel6">'Customer Quote Each'!$B$30</definedName>
    <definedName name="CQEMinRel7">'Customer Quote Each'!$C$30</definedName>
    <definedName name="CQEMinRel8">'Customer Quote Each'!$D$30</definedName>
    <definedName name="CQEMinRel9">'Customer Quote Each'!$E$30</definedName>
    <definedName name="CQEMinShip1">'Customer Quote Each'!$B$26</definedName>
    <definedName name="CQEMinShip10">'Customer Quote Each'!$F$31</definedName>
    <definedName name="CQEMinShip2">'Customer Quote Each'!$C$26</definedName>
    <definedName name="CQEMinShip3">'Customer Quote Each'!$D$26</definedName>
    <definedName name="CQEMinShip4">'Customer Quote Each'!$E$26</definedName>
    <definedName name="CQEMinShip5">'Customer Quote Each'!$F$26</definedName>
    <definedName name="CQEMinShip6">'Customer Quote Each'!$B$31</definedName>
    <definedName name="CQEMinShip7">'Customer Quote Each'!$C$31</definedName>
    <definedName name="CQEMinShip8">'Customer Quote Each'!$D$31</definedName>
    <definedName name="CQEMinShip9">'Customer Quote Each'!$E$31</definedName>
    <definedName name="CQEPhone">'Customer Quote Each'!$A$68</definedName>
    <definedName name="CQEPhone1">'Customer Quote Each'!$D$68</definedName>
    <definedName name="CQEProdLT">'Customer Quote Each'!$G$68</definedName>
    <definedName name="CQERep">'Customer Quote Each'!$G$9</definedName>
    <definedName name="CQEScnTwoRes">'Customer Quote Each'!$A$20</definedName>
    <definedName name="CS2PlateRDEnd">Calculator!$D$65</definedName>
    <definedName name="CS2PlateRDStart">Calculator!$D$60</definedName>
    <definedName name="CS2PlateSQEnd">Calculator!$B$68</definedName>
    <definedName name="CS2PlateSQStart">Calculator!$B$60</definedName>
    <definedName name="CS3PlateRDEnd">Calculator!#REF!</definedName>
    <definedName name="CS3PlateRDStart">Calculator!#REF!</definedName>
    <definedName name="CS3PlateSQEnd">Calculator!#REF!</definedName>
    <definedName name="CS3PlateSQStart">Calculator!#REF!</definedName>
    <definedName name="CSActualPtWt">Calculator!$D$1</definedName>
    <definedName name="CSAutoCost">Automation!$D$42</definedName>
    <definedName name="CSAutoMU">Automation!$D$43</definedName>
    <definedName name="CSAutoPrice">Automation!$D$44</definedName>
    <definedName name="CSAveWall">Calculator!$F$60</definedName>
    <definedName name="_CSB62">Calculator!$B$62</definedName>
    <definedName name="_CSB63">Calculator!$B$67</definedName>
    <definedName name="CSB63A">Calculator!$B$63</definedName>
    <definedName name="_CSB64">Calculator!$B$64</definedName>
    <definedName name="_CSB65">Calculator!$B$69</definedName>
    <definedName name="CSB65A">Calculator!$B$65</definedName>
    <definedName name="_CSB66">Calculator!$B$66</definedName>
    <definedName name="CSBuildEnd">Tooling!$E$27</definedName>
    <definedName name="CSBuildEnd1">Tooling!$E$43</definedName>
    <definedName name="CSBuildHRS">Tooling!$H$6</definedName>
    <definedName name="CSBuildHRS2">Tooling!$H$15</definedName>
    <definedName name="CSBuildStart">Tooling!$E$5</definedName>
    <definedName name="CSBuildStart1">Tooling!$E$28</definedName>
    <definedName name="CSBuyout">Tooling!$H$4</definedName>
    <definedName name="CSBuyout1">Tooling!$B$36</definedName>
    <definedName name="CSBuyout2">Tooling!$H$13</definedName>
    <definedName name="CSBuyoutEnd">Tooling!$B$11</definedName>
    <definedName name="CSBuyoutEnd1">Tooling!$B$22</definedName>
    <definedName name="CSBuyoutEnd2">Tooling!$B$28</definedName>
    <definedName name="CSBuyoutStart">Tooling!$B$5</definedName>
    <definedName name="CSBuyoutStart1">Tooling!$B$14</definedName>
    <definedName name="CSBuyoutStart2">Tooling!$B$25</definedName>
    <definedName name="CSBuyoutStart3">Tooling!$B$31</definedName>
    <definedName name="CSBuyoutStart4">Tooling!$B$34</definedName>
    <definedName name="CSCalcCycle">Calculator!$F$67</definedName>
    <definedName name="CSCalcPtWt">Calculator!$F$1</definedName>
    <definedName name="CSCalcVolume">Calculator!$H$54</definedName>
    <definedName name="CSCIVol">Calculator!$D$3</definedName>
    <definedName name="CSConeEnd">Calculator!$D$53</definedName>
    <definedName name="CSConeEnd1">Calculator!$G$53</definedName>
    <definedName name="CSConeStart">Calculator!$B$50</definedName>
    <definedName name="CSConeStart1">Calculator!$G$50</definedName>
    <definedName name="CSConeStartA">Calculator!$A$50</definedName>
    <definedName name="CSCoolTime">Calculator!$F$61</definedName>
    <definedName name="CSCoolTimeCalc">Calculator!$F$65</definedName>
    <definedName name="CSCycEnd">Calculator!$B$30</definedName>
    <definedName name="CSCycEnd1">Calculator!$E$30</definedName>
    <definedName name="CSCycEnd2">Calculator!$G$30</definedName>
    <definedName name="CSCyclTot">Calculator!#REF!</definedName>
    <definedName name="CSCycStart">Calculator!$B$21</definedName>
    <definedName name="CSCycStart1">Calculator!$D$21</definedName>
    <definedName name="CSCycStart2">Calculator!$G$21</definedName>
    <definedName name="CSCycStartA">Calculator!$A$21</definedName>
    <definedName name="_CSD61">Calculator!$D$61</definedName>
    <definedName name="_CSD62">Calculator!$D$62</definedName>
    <definedName name="_CSD63">Calculator!$D$63</definedName>
    <definedName name="_CSD64">Calculator!$D$66</definedName>
    <definedName name="CSD64A">Calculator!$D$64</definedName>
    <definedName name="_CSD65">Calculator!$D$67</definedName>
    <definedName name="CSDesign">Tooling!$H$5</definedName>
    <definedName name="CSDesign2">Tooling!$H$14</definedName>
    <definedName name="CSDesignEnd">Tooling!$B$41</definedName>
    <definedName name="CSDesignStart">Tooling!$B$39</definedName>
    <definedName name="CSDimType">Calculator!$B$3</definedName>
    <definedName name="CSEjectTime">Calculator!$F$66</definedName>
    <definedName name="CSEPLLTNote1">Tooling!$H$29</definedName>
    <definedName name="CSEPLLTNote2">Tooling!$I$29</definedName>
    <definedName name="CSFillTime">Calculator!$F$63</definedName>
    <definedName name="CSGrams">Calculator!$F$3</definedName>
    <definedName name="CSGramWeight">Calculator!$F$4</definedName>
    <definedName name="CSISIR">Calculator!#REF!</definedName>
    <definedName name="CSLTOne">Tooling!$H$28</definedName>
    <definedName name="CSLTTwo">Tooling!$I$28</definedName>
    <definedName name="CSMatlFill">Calculator!$F$62</definedName>
    <definedName name="CSMetricVol">Calculator!$D$4</definedName>
    <definedName name="CSMoldInd">Calculator!$B$61</definedName>
    <definedName name="CSPackHold">Calculator!$F$64</definedName>
    <definedName name="CSQroLTNote1">Tooling!$H$30</definedName>
    <definedName name="CSQroLTNote2">Tooling!$I$30</definedName>
    <definedName name="CSRecEnd">Calculator!$E$19</definedName>
    <definedName name="CSRecEnd1">Calculator!$G$19</definedName>
    <definedName name="CSRecStart">Calculator!$B$10</definedName>
    <definedName name="CSRecStart1">Calculator!$G$10</definedName>
    <definedName name="CSRecStartA">Calculator!$A$10</definedName>
    <definedName name="CSRectTot">Calculator!#REF!</definedName>
    <definedName name="CSSample">Calculator!#REF!</definedName>
    <definedName name="CSSGEnd">Calculator!$K$24</definedName>
    <definedName name="CSSGHome">Calculator!#REF!</definedName>
    <definedName name="CSSGHomeBase">Calculator!$A$1</definedName>
    <definedName name="CSSGStart">Calculator!#REF!</definedName>
    <definedName name="CSSGTempHome">Calculator!#REF!</definedName>
    <definedName name="CSSpecificGravity">Calculator!$B$1</definedName>
    <definedName name="CSSphereEnd">Calculator!$C$48</definedName>
    <definedName name="CSSphereEnd1">Calculator!#REF!</definedName>
    <definedName name="CSSphereEnd2">Calculator!$G$48</definedName>
    <definedName name="CSSphereStart">Calculator!$B$43</definedName>
    <definedName name="CSSphereStart1">Calculator!#REF!</definedName>
    <definedName name="CSSphereStart2">Calculator!$G$43</definedName>
    <definedName name="CSSphereStartA">Calculator!$A$43</definedName>
    <definedName name="CSSphereTot">Calculator!#REF!</definedName>
    <definedName name="CSStAdJ">Calculator!#REF!</definedName>
    <definedName name="CSSubTotal">Tooling!$B$42</definedName>
    <definedName name="CSSubTotal1">Tooling!$E$44</definedName>
    <definedName name="CSToolCost1">Tooling!$H$23</definedName>
    <definedName name="CSToolCost2">Tooling!$I$23</definedName>
    <definedName name="CSToolFactor">Tooling!$H$12</definedName>
    <definedName name="CSToolMU1">Tooling!$H$24</definedName>
    <definedName name="CSToolMU2">Tooling!$I$24</definedName>
    <definedName name="CSToolRate1">Tooling!$H$22</definedName>
    <definedName name="CSToolRate2">Tooling!$I$22</definedName>
    <definedName name="CSTubeEnd">Calculator!$E$41</definedName>
    <definedName name="CSTubeEnd1">Calculator!$G$41</definedName>
    <definedName name="CSTubeStart">Calculator!$B$32</definedName>
    <definedName name="CSTubeStart1">Calculator!$G$32</definedName>
    <definedName name="CSTubeStarta">Calculator!$A$32</definedName>
    <definedName name="CSTubeTot">Calculator!#REF!</definedName>
    <definedName name="CSVolWeight">Calculator!$D$5</definedName>
    <definedName name="CurrentRev">Revision!$B$109</definedName>
    <definedName name="CustEachEndNote">'Customer Quote Each'!$A$57</definedName>
    <definedName name="CustEachStartNote">'Customer Quote Each'!$A$34</definedName>
    <definedName name="CustNum1">'Customer Master'!$A$2:$A$768</definedName>
    <definedName name="DelphiNoteA">Notes!$C$148</definedName>
    <definedName name="DelphiNoteB">Notes!$C$149</definedName>
    <definedName name="DevPrice1">'Formula sheet'!#REF!</definedName>
    <definedName name="DevPrice2">'Formula sheet'!#REF!</definedName>
    <definedName name="DevPrice3">'Formula sheet'!#REF!</definedName>
    <definedName name="DevPrice4">'Formula sheet'!#REF!</definedName>
    <definedName name="DevPrice5">'Formula sheet'!#REF!</definedName>
    <definedName name="DSBarrelCapacity">'Formula sheet'!$B$388</definedName>
    <definedName name="DSBarrelCapacity1">'Formula sheet'!$C$388</definedName>
    <definedName name="DSCapacity">'Formula sheet'!$B$389</definedName>
    <definedName name="DSCapacity1">'Formula sheet'!$C$389</definedName>
    <definedName name="DSPressExceed1">'Formula sheet'!$B$390</definedName>
    <definedName name="DSPressExceed1A">'Formula sheet'!$B$391</definedName>
    <definedName name="DSPressExceed2">'Formula sheet'!$C$390</definedName>
    <definedName name="DSPressExceed2A">'Formula sheet'!$C$391</definedName>
    <definedName name="Duns2101">Notes!$C$153</definedName>
    <definedName name="Duns2103">Notes!$C$155</definedName>
    <definedName name="Duns2104">Notes!$C$157</definedName>
    <definedName name="EDHome">'Electronic Data'!$A$1</definedName>
    <definedName name="EndAutomation">Automation!$A$41</definedName>
    <definedName name="EndAutomation1">Automation!$D$41</definedName>
    <definedName name="EndAutomation2">Automation!$C$41</definedName>
    <definedName name="EndCustomerNotes">'Quote Entry'!$L$211</definedName>
    <definedName name="EndInternalNote">'Quote Entry'!$L$185</definedName>
    <definedName name="EndInternalNoteA">'Quote Entry'!#REF!</definedName>
    <definedName name="EndQuoteEntry">'Quote Entry'!$O$277</definedName>
    <definedName name="English">Calculator!#REF!</definedName>
    <definedName name="EOF">Revision!$A$109</definedName>
    <definedName name="EstNum">'Sales Contact'!$A$32:$A$39</definedName>
    <definedName name="ExtNote1">'Quote Entry'!$B$188</definedName>
    <definedName name="ExtNote10">'Quote Entry'!$B$197</definedName>
    <definedName name="ExtNote11">'Quote Entry'!$B$198</definedName>
    <definedName name="ExtNote12">'Quote Entry'!$B$199</definedName>
    <definedName name="ExtNote13">'Quote Entry'!$B$200</definedName>
    <definedName name="ExtNote14">'Quote Entry'!$B$201</definedName>
    <definedName name="ExtNote15">'Quote Entry'!$B$202</definedName>
    <definedName name="ExtNote16">'Quote Entry'!$B$203</definedName>
    <definedName name="ExtNote17">'Quote Entry'!$B$204</definedName>
    <definedName name="ExtNote18">'Quote Entry'!$B$205</definedName>
    <definedName name="ExtNote19">'Quote Entry'!$B$206</definedName>
    <definedName name="ExtNote2">'Quote Entry'!$B$189</definedName>
    <definedName name="ExtNote20">'Quote Entry'!$B$207</definedName>
    <definedName name="ExtNote21">'Quote Entry'!$B$208</definedName>
    <definedName name="ExtNote22">'Quote Entry'!$B$209</definedName>
    <definedName name="ExtNote23">'Quote Entry'!$B$210</definedName>
    <definedName name="ExtNote24">'Quote Entry'!$B$211</definedName>
    <definedName name="ExtNote3">'Quote Entry'!$B$190</definedName>
    <definedName name="ExtNote4">'Quote Entry'!$B$191</definedName>
    <definedName name="ExtNote5">'Quote Entry'!$B$192</definedName>
    <definedName name="ExtNote6">'Quote Entry'!$B$193</definedName>
    <definedName name="ExtNote7">'Quote Entry'!$B$194</definedName>
    <definedName name="ExtNote8">'Quote Entry'!$B$195</definedName>
    <definedName name="ExtNote9">'Quote Entry'!$B$196</definedName>
    <definedName name="FamilyNote1">Notes!$C$159</definedName>
    <definedName name="FamilyNote2">Notes!$C$181</definedName>
    <definedName name="FSAmortAmt1">'Formula sheet'!$B$334</definedName>
    <definedName name="FSAmortAmt2">'Formula sheet'!$B$335</definedName>
    <definedName name="FSAmortDol1">'Formula sheet'!$C$334</definedName>
    <definedName name="FSAmortDol10">'Formula sheet'!$G$335</definedName>
    <definedName name="FSAmortDol2">'Formula sheet'!$D$334</definedName>
    <definedName name="FSAmortDol3">'Formula sheet'!$E$334</definedName>
    <definedName name="FSAmortDol4">'Formula sheet'!$F$334</definedName>
    <definedName name="FSAmortDol5">'Formula sheet'!$G$334</definedName>
    <definedName name="FSAmortDol6">'Formula sheet'!$C$335</definedName>
    <definedName name="FSAmortDol7">'Formula sheet'!$D$335</definedName>
    <definedName name="FSAmortDol8">'Formula sheet'!$E$335</definedName>
    <definedName name="FSAmortDol9">'Formula sheet'!$F$335</definedName>
    <definedName name="FSAmortYears">'Formula sheet'!$B$336</definedName>
    <definedName name="FSAnnSale1">'Formula sheet'!$B$221</definedName>
    <definedName name="FSAnnSale10">'Formula sheet'!$M$221</definedName>
    <definedName name="FSAnnSale2">'Formula sheet'!$C$221</definedName>
    <definedName name="FSAnnSale3">'Formula sheet'!$D$221</definedName>
    <definedName name="FSAnnSale4">'Formula sheet'!$E$221</definedName>
    <definedName name="FSAnnSale5">'Formula sheet'!$F$221</definedName>
    <definedName name="FSAnnSale6">'Formula sheet'!$I$221</definedName>
    <definedName name="FSAnnSale7">'Formula sheet'!$J$221</definedName>
    <definedName name="FSAnnSale8">'Formula sheet'!$K$221</definedName>
    <definedName name="FSAnnSale9">'Formula sheet'!$L$221</definedName>
    <definedName name="FSAnnSaleTool1">'Formula sheet'!$B$222</definedName>
    <definedName name="FSAnnSaleTool10">'Formula sheet'!$M$222</definedName>
    <definedName name="FSAnnSaleTool2">'Formula sheet'!$C$222</definedName>
    <definedName name="FSAnnSaleTool3">'Formula sheet'!$D$222</definedName>
    <definedName name="FSAnnSaleTool4">'Formula sheet'!$E$222</definedName>
    <definedName name="FSAnnSaleTool5">'Formula sheet'!$F$222</definedName>
    <definedName name="FSAnnSaleTool6">'Formula sheet'!$I$222</definedName>
    <definedName name="FSAnnSaleTool7">'Formula sheet'!$J$222</definedName>
    <definedName name="FSAnnSaleTool8">'Formula sheet'!$K$222</definedName>
    <definedName name="FSAnnSaleTool9">'Formula sheet'!$L$222</definedName>
    <definedName name="FSAutoMaint1">'Formula sheet'!$B$135</definedName>
    <definedName name="FSAutoMaint2">'Formula sheet'!$C$135</definedName>
    <definedName name="FSAutomationCost">'Formula sheet'!$B$133</definedName>
    <definedName name="FSAutoRate1">'Formula sheet'!$C$133</definedName>
    <definedName name="FSAutoRate2">'Formula sheet'!$D$133</definedName>
    <definedName name="FSAvePcs1">'Formula sheet'!$A$71</definedName>
    <definedName name="FSAvePcs2">'Formula sheet'!$B$71</definedName>
    <definedName name="FSBOCostPercentage11">'Formula sheet'!$B$210</definedName>
    <definedName name="FSBOCostPercentage12">'Formula sheet'!$C$210</definedName>
    <definedName name="FSBOCostPercentage13">'Formula sheet'!$D$210</definedName>
    <definedName name="FSBOCostPercentage14">'Formula sheet'!$E$210</definedName>
    <definedName name="FSBOCostPercentage15">'Formula sheet'!$F$210</definedName>
    <definedName name="FSBOCostPercentage21">'Formula sheet'!$I$210</definedName>
    <definedName name="FSBOCostPercentage22">'Formula sheet'!$J$210</definedName>
    <definedName name="FSBOCostPercentage23">'Formula sheet'!$K$210</definedName>
    <definedName name="FSBOCostPercentage24">'Formula sheet'!$L$210</definedName>
    <definedName name="FSBOCostPercentage25">'Formula sheet'!$M$210</definedName>
    <definedName name="FSBOMQTY1">'Formula sheet'!$B$13</definedName>
    <definedName name="FSBOMQTY2">'Formula sheet'!$C$13</definedName>
    <definedName name="FSBOSales1">'Formula sheet'!$B$219</definedName>
    <definedName name="FSBOSales10">'Formula sheet'!$M$219</definedName>
    <definedName name="FSBOSales2">'Formula sheet'!$C$219</definedName>
    <definedName name="FSBOSales3">'Formula sheet'!$D$219</definedName>
    <definedName name="FSBOSales4">'Formula sheet'!$E$219</definedName>
    <definedName name="FSBOSales5">'Formula sheet'!$F$219</definedName>
    <definedName name="FSBOSales6">'Formula sheet'!$I$219</definedName>
    <definedName name="FSBOSales7">'Formula sheet'!$J$219</definedName>
    <definedName name="FSBOSales8">'Formula sheet'!$K$219</definedName>
    <definedName name="FSBOSales9">'Formula sheet'!$L$219</definedName>
    <definedName name="FSBurriedPack1">'Formula sheet'!$B$311</definedName>
    <definedName name="FSBurriedPack10">'Formula sheet'!$B$329</definedName>
    <definedName name="FSBurriedPack10A">'Formula sheet'!$C$329</definedName>
    <definedName name="FSBurriedPack1A">'Formula sheet'!$C$311</definedName>
    <definedName name="FSBurriedPack2">'Formula sheet'!$B$313</definedName>
    <definedName name="FSBurriedPack2A">'Formula sheet'!$C$313</definedName>
    <definedName name="FSBurriedPack3">'Formula sheet'!$B$315</definedName>
    <definedName name="FSBurriedPack3A">'Formula sheet'!$C$315</definedName>
    <definedName name="FSBurriedPack4">'Formula sheet'!$B$317</definedName>
    <definedName name="FSBurriedPack4A">'Formula sheet'!$C$317</definedName>
    <definedName name="FSBurriedPack5">'Formula sheet'!$B$319</definedName>
    <definedName name="FSBurriedPack5A">'Formula sheet'!$C$319</definedName>
    <definedName name="FSBurriedPack6">'Formula sheet'!$B$321</definedName>
    <definedName name="FSBurriedPack6A">'Formula sheet'!$C$321</definedName>
    <definedName name="FSBurriedPack7">'Formula sheet'!$B$323</definedName>
    <definedName name="FSBurriedPack7A">'Formula sheet'!$C$323</definedName>
    <definedName name="FSBurriedPack8">'Formula sheet'!$B$325</definedName>
    <definedName name="FSBurriedPack8A">'Formula sheet'!$C$325</definedName>
    <definedName name="FSBurriedPack9">'Formula sheet'!$B$327</definedName>
    <definedName name="FSBurriedPack9A">'Formula sheet'!$C$327</definedName>
    <definedName name="FSBuyOutTotQty">'Formula sheet'!#REF!</definedName>
    <definedName name="FSCav1">'Formula sheet'!$B$349</definedName>
    <definedName name="FSCav2">'Formula sheet'!$C$349</definedName>
    <definedName name="FSCavityScr1">'Formula sheet'!$B$6</definedName>
    <definedName name="FSCavityScr2">'Formula sheet'!$C$6</definedName>
    <definedName name="FSComm1">'Formula sheet'!$B$232</definedName>
    <definedName name="FSComm10">'Formula sheet'!$M$232</definedName>
    <definedName name="FSComm2">'Formula sheet'!$C$232</definedName>
    <definedName name="FSComm3">'Formula sheet'!$D$232</definedName>
    <definedName name="FSComm4">'Formula sheet'!$E$232</definedName>
    <definedName name="FSComm5">'Formula sheet'!$F$232</definedName>
    <definedName name="FSComm6">'Formula sheet'!$I$232</definedName>
    <definedName name="FSComm7">'Formula sheet'!$J$232</definedName>
    <definedName name="FSComm8">'Formula sheet'!$K$232</definedName>
    <definedName name="FSComm9">'Formula sheet'!$L$232</definedName>
    <definedName name="FSCommFac1">'Formula sheet'!$B$230</definedName>
    <definedName name="FSCommFac10">'Formula sheet'!$M$230</definedName>
    <definedName name="FSCommFac2">'Formula sheet'!$C$230</definedName>
    <definedName name="FSCommFac3">'Formula sheet'!$D$230</definedName>
    <definedName name="FSCommFac4">'Formula sheet'!$E$230</definedName>
    <definedName name="FSCommFac5">'Formula sheet'!$F$230</definedName>
    <definedName name="FSCommFac6">'Formula sheet'!$I$230</definedName>
    <definedName name="FSCommFac7">'Formula sheet'!$J$230</definedName>
    <definedName name="FSCommFac8">'Formula sheet'!$K$230</definedName>
    <definedName name="FSCommFac9">'Formula sheet'!$L$230</definedName>
    <definedName name="FSCommTest1">'Formula sheet'!$B$229</definedName>
    <definedName name="FSCommTest10">'Formula sheet'!$M$229</definedName>
    <definedName name="FSCommTest2">'Formula sheet'!$C$229</definedName>
    <definedName name="FSCommTest3">'Formula sheet'!$D$229</definedName>
    <definedName name="FSCommTest4">'Formula sheet'!$E$229</definedName>
    <definedName name="FSCommTest5">'Formula sheet'!$F$229</definedName>
    <definedName name="FSCommTest6">'Formula sheet'!$I$229</definedName>
    <definedName name="FSCommTest7">'Formula sheet'!$J$229</definedName>
    <definedName name="FSCommTest8">'Formula sheet'!$K$229</definedName>
    <definedName name="FSCommTest9">'Formula sheet'!$L$229</definedName>
    <definedName name="FSCommVal1">'Formula sheet'!$B$194</definedName>
    <definedName name="FSCommVal10">'Formula sheet'!$M$194</definedName>
    <definedName name="FSCommVal2">'Formula sheet'!$C$194</definedName>
    <definedName name="FSCommVal3">'Formula sheet'!$D$194</definedName>
    <definedName name="FSCommVal4">'Formula sheet'!$E$194</definedName>
    <definedName name="FSCommVal5">'Formula sheet'!$F$194</definedName>
    <definedName name="FSCommVal6">'Formula sheet'!$I$194</definedName>
    <definedName name="FSCommVal7">'Formula sheet'!$J$194</definedName>
    <definedName name="FSCommVal8">'Formula sheet'!$K$194</definedName>
    <definedName name="FSCommVal9">'Formula sheet'!$L$194</definedName>
    <definedName name="FSCostAdj1">'Formula sheet'!$B$195</definedName>
    <definedName name="FSCostAdj10">'Formula sheet'!$M$195</definedName>
    <definedName name="FSCostAdj2">'Formula sheet'!$C$195</definedName>
    <definedName name="FSCostAdj3">'Formula sheet'!$D$195</definedName>
    <definedName name="FSCostAdj4">'Formula sheet'!$E$195</definedName>
    <definedName name="FSCostAdj5">'Formula sheet'!$F$195</definedName>
    <definedName name="FSCostAdj6">'Formula sheet'!$I$195</definedName>
    <definedName name="FSCostAdj7">'Formula sheet'!$J$195</definedName>
    <definedName name="FSCostAdj8">'Formula sheet'!$K$195</definedName>
    <definedName name="FSCostAdj9">'Formula sheet'!$L$195</definedName>
    <definedName name="FSCount1">'Formula sheet'!$A$70</definedName>
    <definedName name="FSCount2">'Formula sheet'!$B$70</definedName>
    <definedName name="FSExcessRunner1">'Formula sheet'!$B$10</definedName>
    <definedName name="FSExcessRunner2">'Formula sheet'!$C$10</definedName>
    <definedName name="FSFinalBOCost1">'Formula sheet'!$B$178</definedName>
    <definedName name="FSFinalBOCost10">'Formula sheet'!$M$178</definedName>
    <definedName name="FSFinalBOCost2">'Formula sheet'!$C$178</definedName>
    <definedName name="FSFinalBOCost3">'Formula sheet'!$D$178</definedName>
    <definedName name="FSFinalBOCost4">'Formula sheet'!$E$178</definedName>
    <definedName name="FSFinalBOCost5">'Formula sheet'!$F$178</definedName>
    <definedName name="FSFinalBOCost6">'Formula sheet'!$I$178</definedName>
    <definedName name="FSFinalBOCost7">'Formula sheet'!$J$178</definedName>
    <definedName name="FSFinalBOCost8">'Formula sheet'!$K$178</definedName>
    <definedName name="FSFinalBOCost9">'Formula sheet'!$L$178</definedName>
    <definedName name="FSFinalBOPrice1">'Formula sheet'!$B$179</definedName>
    <definedName name="FSFinalBOPrice10">'Formula sheet'!$M$179</definedName>
    <definedName name="FSFinalBOPrice2">'Formula sheet'!$C$179</definedName>
    <definedName name="FSFinalBOPrice3">'Formula sheet'!$D$179</definedName>
    <definedName name="FSFinalBOPrice4">'Formula sheet'!$E$179</definedName>
    <definedName name="FSFinalBOPrice5">'Formula sheet'!$F$179</definedName>
    <definedName name="FSFinalBOPrice6">'Formula sheet'!$I$179</definedName>
    <definedName name="FSFinalBOPrice7">'Formula sheet'!$J$179</definedName>
    <definedName name="FSFinalBOPrice8">'Formula sheet'!$K$179</definedName>
    <definedName name="FSFinalBOPrice9">'Formula sheet'!$L$179</definedName>
    <definedName name="FSFinalMatCost1">'Formula sheet'!$B$176</definedName>
    <definedName name="FSFinalMatCost10">'Formula sheet'!$M$176</definedName>
    <definedName name="FSFinalMatCost2">'Formula sheet'!$C$176</definedName>
    <definedName name="FSFinalMatCost3">'Formula sheet'!$D$176</definedName>
    <definedName name="FSFinalMatCost4">'Formula sheet'!$E$176</definedName>
    <definedName name="FSFinalMatCost5">'Formula sheet'!$F$176</definedName>
    <definedName name="FSFinalMatCost6">'Formula sheet'!$I$176</definedName>
    <definedName name="FSFinalMatCost7">'Formula sheet'!$J$176</definedName>
    <definedName name="FSFinalMatCost8">'Formula sheet'!$K$176</definedName>
    <definedName name="FSFinalMatCost9">'Formula sheet'!$L$176</definedName>
    <definedName name="FSFinalMatPrice1">'Formula sheet'!$B$177</definedName>
    <definedName name="FSFinalMatPrice10">'Formula sheet'!$M$177</definedName>
    <definedName name="FSFinalMatPrice2">'Formula sheet'!$C$177</definedName>
    <definedName name="FSFinalMatPrice3">'Formula sheet'!$D$177</definedName>
    <definedName name="FSFinalMatPrice4">'Formula sheet'!$E$177</definedName>
    <definedName name="FSFinalMatPrice5">'Formula sheet'!$F$177</definedName>
    <definedName name="FSFinalMatPrice6">'Formula sheet'!$I$177</definedName>
    <definedName name="FSFinalMatPrice7">'Formula sheet'!$J$177</definedName>
    <definedName name="FSFinalMatPrice8">'Formula sheet'!$K$177</definedName>
    <definedName name="FSFinalMatPrice9">'Formula sheet'!$L$177</definedName>
    <definedName name="FSFinalPressCost1">'Formula sheet'!$B$181</definedName>
    <definedName name="FSFinalPressCost10">'Formula sheet'!$M$181</definedName>
    <definedName name="FSFinalPressCost2">'Formula sheet'!$C$181</definedName>
    <definedName name="FSFinalPressCost3">'Formula sheet'!$D$181</definedName>
    <definedName name="FSFinalPressCost4">'Formula sheet'!$E$181</definedName>
    <definedName name="FSFinalPressCost5">'Formula sheet'!$F$181</definedName>
    <definedName name="FSFinalPressCost6">'Formula sheet'!$I$181</definedName>
    <definedName name="FSFinalPressCost7">'Formula sheet'!$J$181</definedName>
    <definedName name="FSFinalPressCost8">'Formula sheet'!$K$181</definedName>
    <definedName name="FSFinalPressCost9">'Formula sheet'!$L$181</definedName>
    <definedName name="FSFinalPressPrice1">'Formula sheet'!$B$182</definedName>
    <definedName name="FSFinalPressPrice10">'Formula sheet'!$M$182</definedName>
    <definedName name="FSFinalPressPrice2">'Formula sheet'!$C$182</definedName>
    <definedName name="FSFinalPressPrice3">'Formula sheet'!$D$182</definedName>
    <definedName name="FSFinalPressPrice4">'Formula sheet'!$E$182</definedName>
    <definedName name="FSFinalPressPrice5">'Formula sheet'!$F$182</definedName>
    <definedName name="FSFinalPressPrice6">'Formula sheet'!$I$182</definedName>
    <definedName name="FSFinalPressPrice7">'Formula sheet'!$J$182</definedName>
    <definedName name="FSFinalPressPrice8">'Formula sheet'!$K$182</definedName>
    <definedName name="FSFinalPressPrice9">'Formula sheet'!$L$182</definedName>
    <definedName name="fsfinalprice">'Formula sheet'!#REF!</definedName>
    <definedName name="FSFinalPrice1">'Formula sheet'!$B$205</definedName>
    <definedName name="FSFinalPrice10">'Formula sheet'!$M$205</definedName>
    <definedName name="FSFinalPrice2">'Formula sheet'!$C$205</definedName>
    <definedName name="FSFinalPrice3">'Formula sheet'!$D$205</definedName>
    <definedName name="FSFinalPrice4">'Formula sheet'!$E$205</definedName>
    <definedName name="FSFinalPrice5">'Formula sheet'!$F$205</definedName>
    <definedName name="FSFinalPrice55">'Formula sheet'!$F$205</definedName>
    <definedName name="FSFinalPrice6">'Formula sheet'!$I$205</definedName>
    <definedName name="FSFinalPrice7">'Formula sheet'!$J$205</definedName>
    <definedName name="FSFinalPrice8">'Formula sheet'!$K$205</definedName>
    <definedName name="FSFinalPrice9">'Formula sheet'!$L$205</definedName>
    <definedName name="FSFinTMCost1">'Formula sheet'!$B$183</definedName>
    <definedName name="FSFinTMCost10">'Formula sheet'!$M$183</definedName>
    <definedName name="FSFinTMCost2">'Formula sheet'!$C$183</definedName>
    <definedName name="FSFinTMCost3">'Formula sheet'!$D$183</definedName>
    <definedName name="FSFinTMCost4">'Formula sheet'!$E$183</definedName>
    <definedName name="FSFinTMCost5">'Formula sheet'!$F$183</definedName>
    <definedName name="FSFinTMCost6">'Formula sheet'!$I$183</definedName>
    <definedName name="FSFinTMCost7">'Formula sheet'!$J$183</definedName>
    <definedName name="FSFinTMCost8">'Formula sheet'!$K$183</definedName>
    <definedName name="FSFinTMCost9">'Formula sheet'!$L$183</definedName>
    <definedName name="FSFinTMPrice1">'Formula sheet'!$B$184</definedName>
    <definedName name="FSFinTMPrice10">'Formula sheet'!$M$184</definedName>
    <definedName name="FSFinTMPrice2">'Formula sheet'!$C$184</definedName>
    <definedName name="FSFinTMPrice3">'Formula sheet'!$D$184</definedName>
    <definedName name="FSFinTMPrice4">'Formula sheet'!$E$184</definedName>
    <definedName name="FSFinTMPrice5">'Formula sheet'!$F$184</definedName>
    <definedName name="FSFinTMPrice6">'Formula sheet'!$I$184</definedName>
    <definedName name="FSFinTMPrice7">'Formula sheet'!$J$184</definedName>
    <definedName name="FSFinTMPrice8">'Formula sheet'!$K$184</definedName>
    <definedName name="FSFinTMPrice9">'Formula sheet'!$L$184</definedName>
    <definedName name="FSGFLCost1">'Formula sheet'!$B$348</definedName>
    <definedName name="FSGFLCost2">'Formula sheet'!$C$348</definedName>
    <definedName name="FSGFLCostPercentage11">'Formula sheet'!$B$215</definedName>
    <definedName name="FSGFLCostPercentage12">'Formula sheet'!$C$215</definedName>
    <definedName name="FSGFLCostPercentage13">'Formula sheet'!$D$215</definedName>
    <definedName name="FSGFLCostPercentage14">'Formula sheet'!$E$215</definedName>
    <definedName name="FSGFLCostPercentage15">'Formula sheet'!$F$215</definedName>
    <definedName name="FSGFLCostPercentage21">'Formula sheet'!$I$215</definedName>
    <definedName name="FSGFLCostPercentage22">'Formula sheet'!$J$215</definedName>
    <definedName name="FSGFLCostPercentage23">'Formula sheet'!$K$215</definedName>
    <definedName name="FSGFLCostPercentage24">'Formula sheet'!$L$215</definedName>
    <definedName name="FSGFLCostPercentage25">'Formula sheet'!$M$215</definedName>
    <definedName name="FSGFLPCS1">'Formula sheet'!$B$351</definedName>
    <definedName name="FSGFLPCS2">'Formula sheet'!$C$351</definedName>
    <definedName name="FSGFLTot1">'Formula sheet'!$B$352</definedName>
    <definedName name="FSGFLTot2">'Formula sheet'!$C$352</definedName>
    <definedName name="FSGFLVal1">'Formula sheet'!$B$136</definedName>
    <definedName name="FSGFLVal2">'Formula sheet'!$C$136</definedName>
    <definedName name="FSGrossProfit1">'Formula sheet'!$B$244</definedName>
    <definedName name="FSGrossProfit10">'Formula sheet'!$M$244</definedName>
    <definedName name="FSGrossProfit2">'Formula sheet'!$C$244</definedName>
    <definedName name="FSGrossProfit3">'Formula sheet'!$D$244</definedName>
    <definedName name="FSGrossProfit4">'Formula sheet'!$E$244</definedName>
    <definedName name="FSGrossProfit5">'Formula sheet'!$F$244</definedName>
    <definedName name="FSGrossProfit6">'Formula sheet'!$I$244</definedName>
    <definedName name="FSGrossProfit7">'Formula sheet'!$J$244</definedName>
    <definedName name="FSGrossProfit8">'Formula sheet'!$K$244</definedName>
    <definedName name="FSGrossProfit9">'Formula sheet'!$L$244</definedName>
    <definedName name="FSLaborA48">'Formula sheet'!$A$116</definedName>
    <definedName name="FSLaborB48">'Formula sheet'!$B$116</definedName>
    <definedName name="FSLaborCost1">'Formula sheet'!$B$185</definedName>
    <definedName name="FSLaborCost10">'Formula sheet'!$M$185</definedName>
    <definedName name="FSLaborCost11">'Formula sheet'!$A$106</definedName>
    <definedName name="FSLaborCost12">'Formula sheet'!$A$107</definedName>
    <definedName name="FSLaborCost13">'Formula sheet'!$A$108</definedName>
    <definedName name="FSLaborCost14">'Formula sheet'!$A$109</definedName>
    <definedName name="FSLaborCost15">'Formula sheet'!$A$110</definedName>
    <definedName name="FSLaborCost16">'Formula sheet'!$A$111</definedName>
    <definedName name="FSLaborCost17">'Formula sheet'!$A$112</definedName>
    <definedName name="FSLaborCost17A">'Formula sheet'!$A$113</definedName>
    <definedName name="FSLaborCost17B">'Formula sheet'!$A$114</definedName>
    <definedName name="FSLaborCost18">'Formula sheet'!$A$115</definedName>
    <definedName name="FSLaborCost2">'Formula sheet'!$C$185</definedName>
    <definedName name="FSLaborCost21">'Formula sheet'!$B$106</definedName>
    <definedName name="FSLaborCost22">'Formula sheet'!$B$107</definedName>
    <definedName name="FSLaborCost23">'Formula sheet'!$B$108</definedName>
    <definedName name="FSLaborCost24">'Formula sheet'!$B$109</definedName>
    <definedName name="FSLaborCost25">'Formula sheet'!$B$110</definedName>
    <definedName name="FSLaborCost26">'Formula sheet'!$B$111</definedName>
    <definedName name="FSLaborCost27">'Formula sheet'!$B$112</definedName>
    <definedName name="FSLaborCost27A">'Formula sheet'!$B$113</definedName>
    <definedName name="FSLaborCost27B">'Formula sheet'!$B$114</definedName>
    <definedName name="FSLaborCost28">'Formula sheet'!$B$115</definedName>
    <definedName name="FSLaborCost3">'Formula sheet'!$D$185</definedName>
    <definedName name="FSLaborCost4">'Formula sheet'!$E$185</definedName>
    <definedName name="FSLaborCost5">'Formula sheet'!$F$185</definedName>
    <definedName name="FSLaborCost6">'Formula sheet'!$I$185</definedName>
    <definedName name="FSLaborCost7">'Formula sheet'!$J$185</definedName>
    <definedName name="FSLaborCost8">'Formula sheet'!$K$185</definedName>
    <definedName name="FSLaborCost9">'Formula sheet'!$L$185</definedName>
    <definedName name="FSLaborCostCalc11">'Formula sheet'!$D$106</definedName>
    <definedName name="FSLaborCostCalc12">'Formula sheet'!$D$107</definedName>
    <definedName name="FSLaborCostCalc13">'Formula sheet'!$D$108</definedName>
    <definedName name="FSLaborCostCalc14">'Formula sheet'!$D$109</definedName>
    <definedName name="FSLaborCostCalc15">'Formula sheet'!$D$110</definedName>
    <definedName name="FSLaborCostCalc16">'Formula sheet'!$D$111</definedName>
    <definedName name="FSLaborCostCalc17">'Formula sheet'!$D$112</definedName>
    <definedName name="FSLaborCostCalc17A">'Formula sheet'!$D$113</definedName>
    <definedName name="FSLaborCostCalc17B">'Formula sheet'!$D$114</definedName>
    <definedName name="FSLaborCostCalc18">'Formula sheet'!$D$115</definedName>
    <definedName name="FSLaborCostCalc21">'Formula sheet'!$E$106</definedName>
    <definedName name="FSLaborCostCalc22">'Formula sheet'!$E$107</definedName>
    <definedName name="FSLaborCostCalc23">'Formula sheet'!$E$108</definedName>
    <definedName name="FSLaborCostCalc24">'Formula sheet'!$E$109</definedName>
    <definedName name="FSLaborCostCalc25">'Formula sheet'!$E$110</definedName>
    <definedName name="FSLaborCostCalc26">'Formula sheet'!$E$111</definedName>
    <definedName name="FSLaborCostCalc27">'Formula sheet'!$E$112</definedName>
    <definedName name="FSLaborCostCalc27A">'Formula sheet'!$E$113</definedName>
    <definedName name="FSLaborCostCalc27B">'Formula sheet'!$E$114</definedName>
    <definedName name="FSLaborCostCalc28">'Formula sheet'!$E$115</definedName>
    <definedName name="FSLaborCostPercentage11">'Formula sheet'!$B$213</definedName>
    <definedName name="FSLaborCostPercentage12">'Formula sheet'!$C$213</definedName>
    <definedName name="FSLaborCostPercentage13">'Formula sheet'!$D$213</definedName>
    <definedName name="FSLaborCostPercentage14">'Formula sheet'!$E$213</definedName>
    <definedName name="FSLaborCostPercentage15">'Formula sheet'!$F$213</definedName>
    <definedName name="FSLaborCostPercentage21">'Formula sheet'!$I$213</definedName>
    <definedName name="FSLaborCostPercentage22">'Formula sheet'!$J$213</definedName>
    <definedName name="FSLaborCostPercentage23">'Formula sheet'!$K$213</definedName>
    <definedName name="FSLaborCostPercentage24">'Formula sheet'!$L$213</definedName>
    <definedName name="FSLaborCostPercentage25">'Formula sheet'!$M$213</definedName>
    <definedName name="FSLaborPrice1">'Formula sheet'!$B$186</definedName>
    <definedName name="FSLaborPrice10">'Formula sheet'!$M$186</definedName>
    <definedName name="FSLaborPrice2">'Formula sheet'!$C$186</definedName>
    <definedName name="FSLaborPrice3">'Formula sheet'!$D$186</definedName>
    <definedName name="FSLaborPrice4">'Formula sheet'!$E$186</definedName>
    <definedName name="FSLaborPrice5">'Formula sheet'!$F$186</definedName>
    <definedName name="FSLaborPrice6">'Formula sheet'!$I$186</definedName>
    <definedName name="FSLaborPrice7">'Formula sheet'!$J$186</definedName>
    <definedName name="FSLaborPrice8">'Formula sheet'!$K$186</definedName>
    <definedName name="FSLaborPrice9">'Formula sheet'!$L$186</definedName>
    <definedName name="FSLogTestTool1">'Formula sheet'!$B$225</definedName>
    <definedName name="FSLogTestTool10">'Formula sheet'!$M$225</definedName>
    <definedName name="FSLogTestTool2">'Formula sheet'!$C$225</definedName>
    <definedName name="FSLogTestTool3">'Formula sheet'!$D$225</definedName>
    <definedName name="FSLogTestTool4">'Formula sheet'!$E$225</definedName>
    <definedName name="FSLogTestTool5">'Formula sheet'!$F$225</definedName>
    <definedName name="FSLogTestTool6">'Formula sheet'!$I$225</definedName>
    <definedName name="FSLogTestTool7">'Formula sheet'!$J$225</definedName>
    <definedName name="FSLogTestTool8">'Formula sheet'!$K$225</definedName>
    <definedName name="FSLogTestTool9">'Formula sheet'!$L$225</definedName>
    <definedName name="FSLTOne">'Formula sheet'!$A$158</definedName>
    <definedName name="FSLTTwo">'Formula sheet'!$B$158</definedName>
    <definedName name="FSMaint1Sub">'Formula sheet'!$B$137</definedName>
    <definedName name="FSMaint2Sub">'Formula sheet'!$C$137</definedName>
    <definedName name="FSMaintCost1">'Formula sheet'!$B$190</definedName>
    <definedName name="FSMaintCost10">'Formula sheet'!$M$190</definedName>
    <definedName name="FSMaintCost2">'Formula sheet'!$C$190</definedName>
    <definedName name="FSMaintCost3">'Formula sheet'!$D$190</definedName>
    <definedName name="FSMaintCost4">'Formula sheet'!$E$190</definedName>
    <definedName name="FSMaintCost5">'Formula sheet'!$F$190</definedName>
    <definedName name="FSMaintCost6">'Formula sheet'!$I$190</definedName>
    <definedName name="FSMaintCost7">'Formula sheet'!$J$190</definedName>
    <definedName name="FSMaintCost8">'Formula sheet'!$K$190</definedName>
    <definedName name="FSMaintCost9">'Formula sheet'!$L$190</definedName>
    <definedName name="FSMaintPrice1">'Formula sheet'!$B$191</definedName>
    <definedName name="FSMaintPrice10">'Formula sheet'!$M$191</definedName>
    <definedName name="FSMaintPrice2">'Formula sheet'!$C$191</definedName>
    <definedName name="FSMaintPrice3">'Formula sheet'!$D$191</definedName>
    <definedName name="FSMaintPrice4">'Formula sheet'!$E$191</definedName>
    <definedName name="FSMaintPrice5">'Formula sheet'!$F$191</definedName>
    <definedName name="FSMaintPrice6">'Formula sheet'!$I$191</definedName>
    <definedName name="FSMaintPrice7">'Formula sheet'!$J$191</definedName>
    <definedName name="FSMaintPrice8">'Formula sheet'!$K$191</definedName>
    <definedName name="FSMaintPrice9">'Formula sheet'!$L$191</definedName>
    <definedName name="FSMargin1">'Formula sheet'!$B$203</definedName>
    <definedName name="FSMargin10">'Formula sheet'!$M$203</definedName>
    <definedName name="FSMargin2">'Formula sheet'!$C$203</definedName>
    <definedName name="FSMargin3">'Formula sheet'!$D$203</definedName>
    <definedName name="FSMargin4">'Formula sheet'!$E$203</definedName>
    <definedName name="FSMargin5">'Formula sheet'!$F$203</definedName>
    <definedName name="FSMargin6">'Formula sheet'!$I$203</definedName>
    <definedName name="FSMargin7">'Formula sheet'!$J$203</definedName>
    <definedName name="FSMargin8">'Formula sheet'!$K$203</definedName>
    <definedName name="FSMargin9">'Formula sheet'!$L$203</definedName>
    <definedName name="FSMat10Cost1">'Formula sheet'!$K$21</definedName>
    <definedName name="FSMat10Cost2">'Formula sheet'!$L$21</definedName>
    <definedName name="FSMat10Cost3">'Formula sheet'!$M$21</definedName>
    <definedName name="FSMat10Cost4">'Formula sheet'!$N$21</definedName>
    <definedName name="FSMat10Cost5">'Formula sheet'!$O$21</definedName>
    <definedName name="FSMat10Price1">'Formula sheet'!$K$22</definedName>
    <definedName name="FSMat10Price2">'Formula sheet'!$L$22</definedName>
    <definedName name="FSMat10Price3">'Formula sheet'!$M$22</definedName>
    <definedName name="FSMat10Price4">'Formula sheet'!$N$22</definedName>
    <definedName name="FSMat10Price5">'Formula sheet'!$O$22</definedName>
    <definedName name="FSMat210Cost1">'Formula sheet'!$K$56</definedName>
    <definedName name="FSMat210Cost2">'Formula sheet'!$L$56</definedName>
    <definedName name="FSMat210Cost3">'Formula sheet'!$M$56</definedName>
    <definedName name="FSMat210Cost4">'Formula sheet'!$N$56</definedName>
    <definedName name="FSMat210Cost5">'Formula sheet'!$O$56</definedName>
    <definedName name="FSMat210Price1">'Formula sheet'!$K$57</definedName>
    <definedName name="FSMat210Price2">'Formula sheet'!$L$57</definedName>
    <definedName name="FSMat210Price3">'Formula sheet'!$M$57</definedName>
    <definedName name="FSMat210Price4">'Formula sheet'!$N$57</definedName>
    <definedName name="FSMat210Price5">'Formula sheet'!$O$57</definedName>
    <definedName name="FSMat26Cost1">'Formula sheet'!$K$48</definedName>
    <definedName name="FSMat26Cost2">'Formula sheet'!$L$48</definedName>
    <definedName name="FSMat26Cost3">'Formula sheet'!$M$48</definedName>
    <definedName name="FSMat26Cost4">'Formula sheet'!$N$48</definedName>
    <definedName name="FSMat26Cost5">'Formula sheet'!$O$48</definedName>
    <definedName name="FSMat26Price1">'Formula sheet'!$K$49</definedName>
    <definedName name="FSMat26Price2">'Formula sheet'!$L$49</definedName>
    <definedName name="FSMat26Price3">'Formula sheet'!$M$49</definedName>
    <definedName name="FSMat26Price4">'Formula sheet'!$N$49</definedName>
    <definedName name="FSMat26Price5">'Formula sheet'!$O$49</definedName>
    <definedName name="FSMat27Cost1">'Formula sheet'!$K$50</definedName>
    <definedName name="FSMat27Cost2">'Formula sheet'!$L$50</definedName>
    <definedName name="FSMat27Cost3">'Formula sheet'!$M$50</definedName>
    <definedName name="FSMat27Cost4">'Formula sheet'!$N$50</definedName>
    <definedName name="FSMat27Cost5">'Formula sheet'!$O$50</definedName>
    <definedName name="FSMat27Price1">'Formula sheet'!$K$51</definedName>
    <definedName name="FSMat27Price2">'Formula sheet'!$L$51</definedName>
    <definedName name="FSMat27Price3">'Formula sheet'!$M$51</definedName>
    <definedName name="FSMat27Price4">'Formula sheet'!$N$51</definedName>
    <definedName name="FSMat27Price5">'Formula sheet'!$O$51</definedName>
    <definedName name="FSMat28Cost1">'Formula sheet'!$K$52</definedName>
    <definedName name="FSMat28Cost2">'Formula sheet'!$L$52</definedName>
    <definedName name="FSMat28Cost3">'Formula sheet'!$M$52</definedName>
    <definedName name="FSMat28Cost4">'Formula sheet'!$N$52</definedName>
    <definedName name="FSMat28Cost5">'Formula sheet'!$O$52</definedName>
    <definedName name="FSMat28Price1">'Formula sheet'!$K$53</definedName>
    <definedName name="FSMat28Price2">'Formula sheet'!$L$53</definedName>
    <definedName name="FSMat28Price3">'Formula sheet'!$M$53</definedName>
    <definedName name="FSMat28Price4">'Formula sheet'!$N$53</definedName>
    <definedName name="FSMat28Price5">'Formula sheet'!$O$53</definedName>
    <definedName name="FSMat29Cost1">'Formula sheet'!$K$54</definedName>
    <definedName name="FSMat29Cost2">'Formula sheet'!$L$54</definedName>
    <definedName name="FSMat29Cost3">'Formula sheet'!$M$54</definedName>
    <definedName name="FSMat29Cost4">'Formula sheet'!$N$54</definedName>
    <definedName name="FSMat29Cost5">'Formula sheet'!$O$54</definedName>
    <definedName name="FSMat29Price1">'Formula sheet'!$K$55</definedName>
    <definedName name="FSMat29Price2">'Formula sheet'!$L$55</definedName>
    <definedName name="FSMat29Price3">'Formula sheet'!$M$55</definedName>
    <definedName name="FSMat29Price4">'Formula sheet'!$N$55</definedName>
    <definedName name="FSMat29Price5">'Formula sheet'!$O$55</definedName>
    <definedName name="FSMat310Cost1">'Formula sheet'!$K$93</definedName>
    <definedName name="FSMat310Cost2">'Formula sheet'!$L$93</definedName>
    <definedName name="FSMat310Cost3">'Formula sheet'!$M$93</definedName>
    <definedName name="FSMat310Cost4">'Formula sheet'!$N$93</definedName>
    <definedName name="FSMat310Cost5">'Formula sheet'!$O$93</definedName>
    <definedName name="FSMat310Price1">'Formula sheet'!$K$94</definedName>
    <definedName name="FSMat310Price2">'Formula sheet'!$L$94</definedName>
    <definedName name="FSMat310Price3">'Formula sheet'!$M$94</definedName>
    <definedName name="FSMat310Price4">'Formula sheet'!$N$94</definedName>
    <definedName name="FSMat310Price5">'Formula sheet'!$O$94</definedName>
    <definedName name="FSMat36Cost1">'Formula sheet'!$K$85</definedName>
    <definedName name="FSMat36Cost2">'Formula sheet'!$L$85</definedName>
    <definedName name="FSMat36Cost3">'Formula sheet'!$M$85</definedName>
    <definedName name="FSMat36Cost4">'Formula sheet'!$N$85</definedName>
    <definedName name="FSMat36Cost5">'Formula sheet'!$O$85</definedName>
    <definedName name="FSMat36Price1">'Formula sheet'!$K$86</definedName>
    <definedName name="FSMat36Price2">'Formula sheet'!$L$86</definedName>
    <definedName name="FSMat36Price3">'Formula sheet'!$M$86</definedName>
    <definedName name="FSMat36Price4">'Formula sheet'!$N$86</definedName>
    <definedName name="FSMat36Price5">'Formula sheet'!$O$86</definedName>
    <definedName name="FSMat37Cost1">'Formula sheet'!$K$87</definedName>
    <definedName name="FSMat37Cost2">'Formula sheet'!$L$87</definedName>
    <definedName name="FSMat37Cost3">'Formula sheet'!$M$87</definedName>
    <definedName name="FSMat37Cost4">'Formula sheet'!$N$87</definedName>
    <definedName name="FSMat37Cost5">'Formula sheet'!$O$87</definedName>
    <definedName name="FSMat37Price1">'Formula sheet'!$K$88</definedName>
    <definedName name="FSMat37Price2">'Formula sheet'!$L$88</definedName>
    <definedName name="FSMat37Price3">'Formula sheet'!$M$88</definedName>
    <definedName name="FSMat37Price4">'Formula sheet'!$N$88</definedName>
    <definedName name="FSMat37Price5">'Formula sheet'!$O$88</definedName>
    <definedName name="FSMat38Cost1">'Formula sheet'!$K$89</definedName>
    <definedName name="FSMat38Cost2">'Formula sheet'!$L$89</definedName>
    <definedName name="FSMat38Cost3">'Formula sheet'!$M$89</definedName>
    <definedName name="FSMat38Cost4">'Formula sheet'!$N$89</definedName>
    <definedName name="FSMat38Cost5">'Formula sheet'!$O$89</definedName>
    <definedName name="FSMat38Price1">'Formula sheet'!$K$90</definedName>
    <definedName name="FSMat38Price2">'Formula sheet'!$L$90</definedName>
    <definedName name="FSMat38Price3">'Formula sheet'!$M$90</definedName>
    <definedName name="FSMat38Price4">'Formula sheet'!$N$90</definedName>
    <definedName name="FSMat38Price5">'Formula sheet'!$O$90</definedName>
    <definedName name="FSMat39Cost1">'Formula sheet'!$K$91</definedName>
    <definedName name="FSMat39Cost2">'Formula sheet'!$L$91</definedName>
    <definedName name="FSMat39Cost3">'Formula sheet'!$M$91</definedName>
    <definedName name="FSMat39Cost4">'Formula sheet'!$N$91</definedName>
    <definedName name="FSMat39Cost5">'Formula sheet'!$O$91</definedName>
    <definedName name="FSMat39Price1">'Formula sheet'!$K$92</definedName>
    <definedName name="FSMat39Price2">'Formula sheet'!$L$92</definedName>
    <definedName name="FSMat39Price3">'Formula sheet'!$M$92</definedName>
    <definedName name="FSMat39Price4">'Formula sheet'!$N$92</definedName>
    <definedName name="FSMat39Price5">'Formula sheet'!$O$92</definedName>
    <definedName name="FSMat410Cost1">'Formula sheet'!$K$128</definedName>
    <definedName name="FSMat410Cost2">'Formula sheet'!$L$128</definedName>
    <definedName name="FSMat410Cost3">'Formula sheet'!$M$128</definedName>
    <definedName name="FSMat410Cost4">'Formula sheet'!$N$128</definedName>
    <definedName name="FSMat410Cost5">'Formula sheet'!$O$128</definedName>
    <definedName name="FSMat410Price1">'Formula sheet'!$K$129</definedName>
    <definedName name="FSMat410Price2">'Formula sheet'!$L$129</definedName>
    <definedName name="FSMat410Price3">'Formula sheet'!$M$129</definedName>
    <definedName name="FSMat410Price4">'Formula sheet'!$N$129</definedName>
    <definedName name="FSMat410Price5">'Formula sheet'!$O$129</definedName>
    <definedName name="FSMat46Cost1">'Formula sheet'!$K$120</definedName>
    <definedName name="FSMat46Cost2">'Formula sheet'!$L$120</definedName>
    <definedName name="FSMat46Cost3">'Formula sheet'!$M$120</definedName>
    <definedName name="FSMat46Cost4">'Formula sheet'!$N$120</definedName>
    <definedName name="FSMat46Cost5">'Formula sheet'!$O$120</definedName>
    <definedName name="FSMat46Price1">'Formula sheet'!$K$121</definedName>
    <definedName name="FSMat46Price2">'Formula sheet'!$L$121</definedName>
    <definedName name="FSMat46Price3">'Formula sheet'!$M$121</definedName>
    <definedName name="FSMat46Price4">'Formula sheet'!$N$121</definedName>
    <definedName name="FSMat46Price5">'Formula sheet'!$O$121</definedName>
    <definedName name="FSMat47Cost1">'Formula sheet'!$K$122</definedName>
    <definedName name="FSMat47Cost2">'Formula sheet'!$L$122</definedName>
    <definedName name="FSMat47Cost3">'Formula sheet'!$M$122</definedName>
    <definedName name="FSMat47Cost4">'Formula sheet'!$N$122</definedName>
    <definedName name="FSMat47Cost5">'Formula sheet'!$O$122</definedName>
    <definedName name="FSMat47Price1">'Formula sheet'!$K$123</definedName>
    <definedName name="FSMat47Price2">'Formula sheet'!$L$123</definedName>
    <definedName name="FSMat47Price3">'Formula sheet'!$M$123</definedName>
    <definedName name="FSMat47Price4">'Formula sheet'!$N$123</definedName>
    <definedName name="FSMat47Price5">'Formula sheet'!$O$123</definedName>
    <definedName name="FSMat48Cost1">'Formula sheet'!$K$124</definedName>
    <definedName name="FSMat48Cost2">'Formula sheet'!$L$124</definedName>
    <definedName name="FSMat48Cost3">'Formula sheet'!$M$124</definedName>
    <definedName name="FSMat48Cost4">'Formula sheet'!$N$124</definedName>
    <definedName name="FSMat48Cost5">'Formula sheet'!$O$124</definedName>
    <definedName name="FSMat48Price1">'Formula sheet'!$K$125</definedName>
    <definedName name="FSMat48Price2">'Formula sheet'!$L$125</definedName>
    <definedName name="FSMat48Price3">'Formula sheet'!$M$125</definedName>
    <definedName name="FSMat48Price4">'Formula sheet'!$N$125</definedName>
    <definedName name="FSMat48Price5">'Formula sheet'!$O$125</definedName>
    <definedName name="FSMat49Cost1">'Formula sheet'!$K$126</definedName>
    <definedName name="FSMat49Cost2">'Formula sheet'!$L$126</definedName>
    <definedName name="FSMat49Cost3">'Formula sheet'!$M$126</definedName>
    <definedName name="FSMat49Cost4">'Formula sheet'!$N$126</definedName>
    <definedName name="FSMat49Cost5">'Formula sheet'!$O$126</definedName>
    <definedName name="FSMat49Price1">'Formula sheet'!$K$127</definedName>
    <definedName name="FSMat49Price2">'Formula sheet'!$L$127</definedName>
    <definedName name="FSMat49Price3">'Formula sheet'!$M$127</definedName>
    <definedName name="FSMat49Price4">'Formula sheet'!$N$127</definedName>
    <definedName name="FSMat49Price5">'Formula sheet'!$O$127</definedName>
    <definedName name="FSMat6Cost1">'Formula sheet'!$K$13</definedName>
    <definedName name="FSMat6Cost2">'Formula sheet'!$L$13</definedName>
    <definedName name="FSMat6Cost3">'Formula sheet'!$M$13</definedName>
    <definedName name="FSMat6Cost4">'Formula sheet'!$N$13</definedName>
    <definedName name="FSMat6Cost5">'Formula sheet'!$O$13</definedName>
    <definedName name="FSMat6Price1">'Formula sheet'!$K$14</definedName>
    <definedName name="FSMat6Price2">'Formula sheet'!$L$14</definedName>
    <definedName name="FSMat6Price3">'Formula sheet'!$M$14</definedName>
    <definedName name="FSMat6Price4">'Formula sheet'!$N$14</definedName>
    <definedName name="FSMat6Price5">'Formula sheet'!$O$14</definedName>
    <definedName name="FSMat7Cost1">'Formula sheet'!$K$15</definedName>
    <definedName name="FSMat7Cost2">'Formula sheet'!$L$15</definedName>
    <definedName name="FSMat7Cost3">'Formula sheet'!$M$15</definedName>
    <definedName name="FSMat7Cost4">'Formula sheet'!$N$15</definedName>
    <definedName name="FSMat7Cost5">'Formula sheet'!$O$15</definedName>
    <definedName name="FSMat7Price1">'Formula sheet'!$K$16</definedName>
    <definedName name="FSMat7Price2">'Formula sheet'!$L$16</definedName>
    <definedName name="FSMat7Price3">'Formula sheet'!$M$16</definedName>
    <definedName name="FSMat7Price4">'Formula sheet'!$N$16</definedName>
    <definedName name="FSMat7Price5">'Formula sheet'!$O$16</definedName>
    <definedName name="FSMat8Cost1">'Formula sheet'!$K$17</definedName>
    <definedName name="FSMat8Cost2">'Formula sheet'!$L$17</definedName>
    <definedName name="FSMat8Cost3">'Formula sheet'!$M$17</definedName>
    <definedName name="FSMat8Cost4">'Formula sheet'!$N$17</definedName>
    <definedName name="FSMat8Cost5">'Formula sheet'!$O$17</definedName>
    <definedName name="FSMat8Price1">'Formula sheet'!$K$18</definedName>
    <definedName name="FSMat8Price2">'Formula sheet'!$L$18</definedName>
    <definedName name="FSMat8Price3">'Formula sheet'!$M$18</definedName>
    <definedName name="FSMat8Price4">'Formula sheet'!$N$18</definedName>
    <definedName name="FSMat8Price5">'Formula sheet'!$O$18</definedName>
    <definedName name="FSMat9Cost1">'Formula sheet'!$K$19</definedName>
    <definedName name="FSMat9Cost2">'Formula sheet'!$L$19</definedName>
    <definedName name="FSMat9Cost3">'Formula sheet'!$M$19</definedName>
    <definedName name="FSMat9Cost4">'Formula sheet'!$N$19</definedName>
    <definedName name="FSMat9Cost5">'Formula sheet'!$O$19</definedName>
    <definedName name="FSMat9Price1">'Formula sheet'!$K$20</definedName>
    <definedName name="FSMat9Price2">'Formula sheet'!$L$20</definedName>
    <definedName name="FSMat9Price3">'Formula sheet'!$M$20</definedName>
    <definedName name="FSMat9Price4">'Formula sheet'!$N$20</definedName>
    <definedName name="FSMat9Price5">'Formula sheet'!$O$20</definedName>
    <definedName name="FSMatFiveJ11">'Formula sheet'!$K$11</definedName>
    <definedName name="FSMatFiveJ12">'Formula sheet'!$K$12</definedName>
    <definedName name="FSMatFiveJ26">'Formula sheet'!$K$46</definedName>
    <definedName name="FSMatFiveJ27">'Formula sheet'!$K$47</definedName>
    <definedName name="FSMatFiveJ41">'Formula sheet'!$K$83</definedName>
    <definedName name="FSMatFiveJ42">'Formula sheet'!$K$84</definedName>
    <definedName name="FSMatFiveJ56">'Formula sheet'!$K$118</definedName>
    <definedName name="FSMatFiveJ57">'Formula sheet'!$K$119</definedName>
    <definedName name="FSMatFiveK11">'Formula sheet'!$L$11</definedName>
    <definedName name="FSMatFiveK12">'Formula sheet'!$L$12</definedName>
    <definedName name="FSMatFiveK26">'Formula sheet'!$L$46</definedName>
    <definedName name="FSMatFiveK27">'Formula sheet'!$L$47</definedName>
    <definedName name="FSMatFiveK41">'Formula sheet'!$L$83</definedName>
    <definedName name="FSMatFiveK42">'Formula sheet'!$L$84</definedName>
    <definedName name="FSMatFiveK56">'Formula sheet'!$L$118</definedName>
    <definedName name="FSMatFiveK57">'Formula sheet'!$L$119</definedName>
    <definedName name="FSMatFiveL11">'Formula sheet'!$M$11</definedName>
    <definedName name="FSMatFiveL12">'Formula sheet'!$M$12</definedName>
    <definedName name="FSMatFiveL26">'Formula sheet'!$M$46</definedName>
    <definedName name="FSMatFiveL27">'Formula sheet'!$M$47</definedName>
    <definedName name="FSMatFiveL41">'Formula sheet'!$M$83</definedName>
    <definedName name="FSMatFiveL42">'Formula sheet'!$M$84</definedName>
    <definedName name="FSMatFiveL56">'Formula sheet'!$M$118</definedName>
    <definedName name="FSMatFiveL57">'Formula sheet'!$M$119</definedName>
    <definedName name="FSMatFiveM11">'Formula sheet'!$N$11</definedName>
    <definedName name="FSMatFiveM12">'Formula sheet'!$N$12</definedName>
    <definedName name="FSMatFiveM26">'Formula sheet'!$N$46</definedName>
    <definedName name="FSMatFiveM27">'Formula sheet'!$N$47</definedName>
    <definedName name="FSMatFiveM41">'Formula sheet'!$N$83</definedName>
    <definedName name="FSMatFiveM42">'Formula sheet'!$N$84</definedName>
    <definedName name="FSMatFiveM56">'Formula sheet'!$N$118</definedName>
    <definedName name="FSMatFiveM57">'Formula sheet'!$N$119</definedName>
    <definedName name="FSMatFiveN11">'Formula sheet'!$O$11</definedName>
    <definedName name="FSMatFiveN12">'Formula sheet'!$O$12</definedName>
    <definedName name="FSMatFiveN26">'Formula sheet'!$O$46</definedName>
    <definedName name="FSMatFiveN27">'Formula sheet'!$O$47</definedName>
    <definedName name="FSMatFiveN41">'Formula sheet'!$O$83</definedName>
    <definedName name="FSMatFiveN42">'Formula sheet'!$O$84</definedName>
    <definedName name="FSMatFiveN56">'Formula sheet'!$O$118</definedName>
    <definedName name="FSMatFiveN57">'Formula sheet'!$O$119</definedName>
    <definedName name="FSMatFourJ10">'Formula sheet'!$K$10</definedName>
    <definedName name="FSMatFourJ24">'Formula sheet'!$K$44</definedName>
    <definedName name="FSMatFourJ25">'Formula sheet'!$K$45</definedName>
    <definedName name="FSMatFourJ39">'Formula sheet'!$K$81</definedName>
    <definedName name="FSMatFourJ40">'Formula sheet'!$K$82</definedName>
    <definedName name="FSMatFourJ54">'Formula sheet'!$K$116</definedName>
    <definedName name="FSMatFourJ55">'Formula sheet'!$K$117</definedName>
    <definedName name="FSMatFourJ9">'Formula sheet'!$K$9</definedName>
    <definedName name="FSMatFourK10">'Formula sheet'!$L$10</definedName>
    <definedName name="FSMatFourK24">'Formula sheet'!$L$44</definedName>
    <definedName name="FSMatFourK25">'Formula sheet'!$L$45</definedName>
    <definedName name="FSMatFourK39">'Formula sheet'!$L$81</definedName>
    <definedName name="FSMatFourK40">'Formula sheet'!$L$82</definedName>
    <definedName name="FSMatFourK54">'Formula sheet'!$L$116</definedName>
    <definedName name="FSMatFourK55">'Formula sheet'!$L$117</definedName>
    <definedName name="FSMatFourK9">'Formula sheet'!$L$9</definedName>
    <definedName name="FSMatFourL10">'Formula sheet'!$M$10</definedName>
    <definedName name="FSMatFourL24">'Formula sheet'!$M$44</definedName>
    <definedName name="FSMatFourL25">'Formula sheet'!$M$45</definedName>
    <definedName name="FSMatFourL39">'Formula sheet'!$M$81</definedName>
    <definedName name="FSMatFourL40">'Formula sheet'!$M$82</definedName>
    <definedName name="FSMatFourL54">'Formula sheet'!$M$116</definedName>
    <definedName name="FSMatFourL55">'Formula sheet'!$M$117</definedName>
    <definedName name="FSMatFourL9">'Formula sheet'!$M$9</definedName>
    <definedName name="FSMatFourM10">'Formula sheet'!$N$10</definedName>
    <definedName name="FSMatFourM24">'Formula sheet'!$N$44</definedName>
    <definedName name="FSMatFourM25">'Formula sheet'!$N$45</definedName>
    <definedName name="FSMatFourM39">'Formula sheet'!$N$81</definedName>
    <definedName name="FSMatFourM40">'Formula sheet'!$N$82</definedName>
    <definedName name="FSMatFourM54">'Formula sheet'!$N$116</definedName>
    <definedName name="FSMatFourM55">'Formula sheet'!$N$117</definedName>
    <definedName name="FSMatFourM9">'Formula sheet'!$N$9</definedName>
    <definedName name="FSMatFourN10">'Formula sheet'!$O$10</definedName>
    <definedName name="FSMatFourN24">'Formula sheet'!$O$44</definedName>
    <definedName name="FSMatFourN25">'Formula sheet'!$O$45</definedName>
    <definedName name="FSMatFourN39">'Formula sheet'!$O$81</definedName>
    <definedName name="FSMatFourN40">'Formula sheet'!$O$82</definedName>
    <definedName name="FSMatFourN54">'Formula sheet'!$O$116</definedName>
    <definedName name="FSMatFourN55">'Formula sheet'!$O$117</definedName>
    <definedName name="FSMatFourN9">'Formula sheet'!$O$9</definedName>
    <definedName name="FSMatl10">'Formula sheet'!$A$27</definedName>
    <definedName name="FSMatl10Req">'Formula sheet'!$D$27</definedName>
    <definedName name="FSMatl11">'Formula sheet'!$A$29</definedName>
    <definedName name="FSMatl11Req">'Formula sheet'!$D$29</definedName>
    <definedName name="FSMatl12">'Formula sheet'!$A$30</definedName>
    <definedName name="FSMatl12Req">'Formula sheet'!$D$30</definedName>
    <definedName name="FSMatl13">'Formula sheet'!$A$31</definedName>
    <definedName name="FSMatl13Req">'Formula sheet'!$D$31</definedName>
    <definedName name="FSMatl14">'Formula sheet'!$A$32</definedName>
    <definedName name="FSMatl14Req">'Formula sheet'!$D$32</definedName>
    <definedName name="FSMatl15">'Formula sheet'!$A$33</definedName>
    <definedName name="FSMatl15Req">'Formula sheet'!$D$33</definedName>
    <definedName name="FSMatl6">'Formula sheet'!$A$23</definedName>
    <definedName name="FSMatl6Req">'Formula sheet'!$D$23</definedName>
    <definedName name="FSMatl7">'Formula sheet'!$A$24</definedName>
    <definedName name="FSMatl7Req">'Formula sheet'!$D$24</definedName>
    <definedName name="FSMatl8">'Formula sheet'!$A$25</definedName>
    <definedName name="FSMatl8Req">'Formula sheet'!$D$25</definedName>
    <definedName name="FSMatl9">'Formula sheet'!$A$26</definedName>
    <definedName name="FSMatl9Req">'Formula sheet'!$D$26</definedName>
    <definedName name="FSMatlFive">'Formula sheet'!$A$22</definedName>
    <definedName name="FSMatlFiveReq">'Formula sheet'!$D$22</definedName>
    <definedName name="FSMatlFour">'Formula sheet'!$A$21</definedName>
    <definedName name="FSMatlFourReq">'Formula sheet'!$D$21</definedName>
    <definedName name="FSMatlMU1">'Formula sheet'!$E$18</definedName>
    <definedName name="FSMatlMU10">'Formula sheet'!$E$27</definedName>
    <definedName name="FSMatlMU11">'Formula sheet'!$E$29</definedName>
    <definedName name="FSMatlMU12">'Formula sheet'!$E$30</definedName>
    <definedName name="FSMatlMU13">'Formula sheet'!$E$31</definedName>
    <definedName name="FSMatlMU14">'Formula sheet'!$E$32</definedName>
    <definedName name="FSMatlMU15">'Formula sheet'!$E$33</definedName>
    <definedName name="FSMatlMU2">'Formula sheet'!$E$19</definedName>
    <definedName name="FSMatlMU3">'Formula sheet'!$E$20</definedName>
    <definedName name="FSMatlMU4">'Formula sheet'!$E$21</definedName>
    <definedName name="FSMatlMU5">'Formula sheet'!$E$22</definedName>
    <definedName name="FSMatlMU6">'Formula sheet'!$E$23</definedName>
    <definedName name="FSMatlMU7">'Formula sheet'!$E$24</definedName>
    <definedName name="FSMatlMU8">'Formula sheet'!$E$25</definedName>
    <definedName name="FSMatlMU9">'Formula sheet'!$E$26</definedName>
    <definedName name="FSMatlOne">'Formula sheet'!$A$18</definedName>
    <definedName name="FSMatlOneReq">'Formula sheet'!$D$18</definedName>
    <definedName name="FSMatlScr10">'Formula sheet'!$B$27</definedName>
    <definedName name="FSMatlScr11">'Formula sheet'!$B$29</definedName>
    <definedName name="FSMatlScr12">'Formula sheet'!$B$30</definedName>
    <definedName name="FSMatlScr13">'Formula sheet'!$B$31</definedName>
    <definedName name="FSMatlScr14">'Formula sheet'!$B$32</definedName>
    <definedName name="FSMatlScr15">'Formula sheet'!$B$33</definedName>
    <definedName name="FSMatlScr6">'Formula sheet'!$B$23</definedName>
    <definedName name="FSMatlScr7">'Formula sheet'!$B$24</definedName>
    <definedName name="FSMatlScr8">'Formula sheet'!$B$25</definedName>
    <definedName name="FSMatlScr9">'Formula sheet'!$B$26</definedName>
    <definedName name="FSMatlScrFive">'Formula sheet'!$B$22</definedName>
    <definedName name="FSMatlScrFour">'Formula sheet'!$B$21</definedName>
    <definedName name="FSMatlScrOne">'Formula sheet'!$B$18</definedName>
    <definedName name="FSMatlScrThree">'Formula sheet'!$B$20</definedName>
    <definedName name="FSMatlScrTwo">'Formula sheet'!$B$19</definedName>
    <definedName name="FSMatlThree">'Formula sheet'!$A$20</definedName>
    <definedName name="FSMatlThreeReq">'Formula sheet'!$D$20</definedName>
    <definedName name="FSMatlTwo">'Formula sheet'!$A$19</definedName>
    <definedName name="FSMatlTwoReq">'Formula sheet'!$D$19</definedName>
    <definedName name="FSMatlYield">'Formula sheet'!$A$34</definedName>
    <definedName name="FSMatOneJ18">'Formula sheet'!$K$38</definedName>
    <definedName name="FSMatOneJ19">'Formula sheet'!$K$39</definedName>
    <definedName name="FSMatOneJ3">'Formula sheet'!$K$3</definedName>
    <definedName name="FSMatOneJ33">'Formula sheet'!$K$75</definedName>
    <definedName name="FSMatOneJ34">'Formula sheet'!$K$76</definedName>
    <definedName name="FSMatOneJ4">'Formula sheet'!$K$4</definedName>
    <definedName name="FSMatOneJ48">'Formula sheet'!$K$110</definedName>
    <definedName name="FSMatOneJ49">'Formula sheet'!$K$111</definedName>
    <definedName name="FSMatOneK18">'Formula sheet'!$L$38</definedName>
    <definedName name="FSMatOneK19">'Formula sheet'!$L$39</definedName>
    <definedName name="FSMatOneK3">'Formula sheet'!$L$3</definedName>
    <definedName name="FSMatOneK33">'Formula sheet'!$L$75</definedName>
    <definedName name="FSMatOneK34">'Formula sheet'!$L$76</definedName>
    <definedName name="FSMatOneK4">'Formula sheet'!$L$4</definedName>
    <definedName name="FSMatOneK48">'Formula sheet'!$L$110</definedName>
    <definedName name="FSMatOneK49">'Formula sheet'!$L$111</definedName>
    <definedName name="FSMatOneL18">'Formula sheet'!$M$38</definedName>
    <definedName name="FSMatOneL19">'Formula sheet'!$M$39</definedName>
    <definedName name="FSMatOneL3">'Formula sheet'!$M$3</definedName>
    <definedName name="FSMatOneL33">'Formula sheet'!$M$75</definedName>
    <definedName name="FSMatOneL34">'Formula sheet'!$M$76</definedName>
    <definedName name="FSMatOneL4">'Formula sheet'!$M$4</definedName>
    <definedName name="FSMatOneL48">'Formula sheet'!$M$110</definedName>
    <definedName name="FSMatOneL49">'Formula sheet'!$M$111</definedName>
    <definedName name="FSMatOneM18">'Formula sheet'!$N$38</definedName>
    <definedName name="FSMatOneM19">'Formula sheet'!$N$39</definedName>
    <definedName name="FSMatOneM3">'Formula sheet'!$N$3</definedName>
    <definedName name="FSMatOneM33">'Formula sheet'!$N$75</definedName>
    <definedName name="FSMatOneM34">'Formula sheet'!$N$76</definedName>
    <definedName name="FSMatOneM4">'Formula sheet'!$N$4</definedName>
    <definedName name="FSMatOneM48">'Formula sheet'!$N$110</definedName>
    <definedName name="FSMatOneM49">'Formula sheet'!$N$111</definedName>
    <definedName name="FSMatOneN18">'Formula sheet'!$O$38</definedName>
    <definedName name="FSMatOneN19">'Formula sheet'!$O$39</definedName>
    <definedName name="FSMatOneN3">'Formula sheet'!$O$3</definedName>
    <definedName name="FSMatOneN33">'Formula sheet'!$O$75</definedName>
    <definedName name="FSMatOneN34">'Formula sheet'!$O$76</definedName>
    <definedName name="FSMatOneN4">'Formula sheet'!$O$4</definedName>
    <definedName name="FSMatOneN48">'Formula sheet'!$O$110</definedName>
    <definedName name="FSMatOneN49">'Formula sheet'!$O$111</definedName>
    <definedName name="FSMatThreeJ22">'Formula sheet'!$K$42</definedName>
    <definedName name="FSMatThreeJ23">'Formula sheet'!$K$43</definedName>
    <definedName name="FSMatThreeJ37">'Formula sheet'!$K$79</definedName>
    <definedName name="FSMatThreeJ38">'Formula sheet'!$K$80</definedName>
    <definedName name="FSMatThreeJ52">'Formula sheet'!$K$114</definedName>
    <definedName name="FSMatThreeJ53">'Formula sheet'!$K$115</definedName>
    <definedName name="FSMatThreeJ7">'Formula sheet'!$K$7</definedName>
    <definedName name="FSMatThreeJ8">'Formula sheet'!$K$8</definedName>
    <definedName name="FSMatThreeK22">'Formula sheet'!$L$42</definedName>
    <definedName name="FSMatThreeK23">'Formula sheet'!$L$43</definedName>
    <definedName name="FSMatThreeK37">'Formula sheet'!$L$79</definedName>
    <definedName name="FSMatThreeK38">'Formula sheet'!$L$80</definedName>
    <definedName name="FSMatThreeK52">'Formula sheet'!$L$114</definedName>
    <definedName name="FSMatThreeK53">'Formula sheet'!$L$115</definedName>
    <definedName name="FSMatThreeK7">'Formula sheet'!$L$7</definedName>
    <definedName name="FSMatThreeK8">'Formula sheet'!$L$8</definedName>
    <definedName name="FSMatThreeL22">'Formula sheet'!$M$42</definedName>
    <definedName name="FSMatThreeL23">'Formula sheet'!$M$43</definedName>
    <definedName name="FSMatThreeL37">'Formula sheet'!$M$79</definedName>
    <definedName name="FSMatThreeL38">'Formula sheet'!$M$80</definedName>
    <definedName name="FSMatThreeL52">'Formula sheet'!$M$114</definedName>
    <definedName name="FSMatThreeL53">'Formula sheet'!$M$115</definedName>
    <definedName name="FSMatThreeL7">'Formula sheet'!$M$7</definedName>
    <definedName name="FSMatThreeL8">'Formula sheet'!$M$8</definedName>
    <definedName name="FSMatThreeM22">'Formula sheet'!$N$42</definedName>
    <definedName name="FSMatThreeM23">'Formula sheet'!$N$43</definedName>
    <definedName name="FSMatThreeM37">'Formula sheet'!$N$79</definedName>
    <definedName name="FSMatThreeM38">'Formula sheet'!$N$80</definedName>
    <definedName name="FSMatThreeM52">'Formula sheet'!$N$114</definedName>
    <definedName name="FSMatThreeM53">'Formula sheet'!$N$115</definedName>
    <definedName name="FSMatThreeM7">'Formula sheet'!$N$7</definedName>
    <definedName name="FSMatThreeM8">'Formula sheet'!$N$8</definedName>
    <definedName name="FSMatThreeN22">'Formula sheet'!$O$42</definedName>
    <definedName name="FSMatThreeN23">'Formula sheet'!$O$43</definedName>
    <definedName name="FSMatThreeN37">'Formula sheet'!$O$79</definedName>
    <definedName name="FSMatThreeN38">'Formula sheet'!$O$80</definedName>
    <definedName name="FSMatThreeN52">'Formula sheet'!$O$114</definedName>
    <definedName name="FSMatThreeN53">'Formula sheet'!$O$115</definedName>
    <definedName name="FSMatThreeN7">'Formula sheet'!$O$7</definedName>
    <definedName name="FSMatThreeN8">'Formula sheet'!$O$8</definedName>
    <definedName name="FSMatTwoJ20">'Formula sheet'!$K$40</definedName>
    <definedName name="FSMatTwoJ21">'Formula sheet'!$K$41</definedName>
    <definedName name="FSMatTwoJ35">'Formula sheet'!$K$77</definedName>
    <definedName name="FSMatTwoJ36">'Formula sheet'!$K$78</definedName>
    <definedName name="FSMatTwoJ5">'Formula sheet'!$K$5</definedName>
    <definedName name="FSMatTwoJ50">'Formula sheet'!$K$112</definedName>
    <definedName name="FSMatTwoJ51">'Formula sheet'!$K$113</definedName>
    <definedName name="FSMatTwoJ6">'Formula sheet'!$K$6</definedName>
    <definedName name="FSMatTwoK20">'Formula sheet'!$L$40</definedName>
    <definedName name="FSMatTwoK21">'Formula sheet'!$L$41</definedName>
    <definedName name="FSMatTwoK35">'Formula sheet'!$L$77</definedName>
    <definedName name="FSMatTwoK36">'Formula sheet'!$L$78</definedName>
    <definedName name="FSMatTwoK5">'Formula sheet'!$L$5</definedName>
    <definedName name="FSMatTwoK50">'Formula sheet'!$L$112</definedName>
    <definedName name="FSMatTwoK51">'Formula sheet'!$L$113</definedName>
    <definedName name="FSMatTwoK6">'Formula sheet'!$L$6</definedName>
    <definedName name="FSMatTwoL20">'Formula sheet'!$M$40</definedName>
    <definedName name="FSMatTwoL21">'Formula sheet'!$M$41</definedName>
    <definedName name="FSMatTwoL35">'Formula sheet'!$M$77</definedName>
    <definedName name="FSMatTwoL36">'Formula sheet'!$M$78</definedName>
    <definedName name="FSMatTwoL5">'Formula sheet'!$M$5</definedName>
    <definedName name="FSMatTwoL50">'Formula sheet'!$M$112</definedName>
    <definedName name="FSMatTwoL51">'Formula sheet'!$M$113</definedName>
    <definedName name="FSMatTwoL6">'Formula sheet'!$M$6</definedName>
    <definedName name="FSMatTwoM20">'Formula sheet'!$N$40</definedName>
    <definedName name="FSMatTwoM21">'Formula sheet'!$N$41</definedName>
    <definedName name="FSMatTwoM35">'Formula sheet'!$N$77</definedName>
    <definedName name="FSMatTwoM36">'Formula sheet'!$N$78</definedName>
    <definedName name="FSMatTwoM5">'Formula sheet'!$N$5</definedName>
    <definedName name="FSMatTwoM50">'Formula sheet'!$N$112</definedName>
    <definedName name="FSMatTwoM51">'Formula sheet'!$N$113</definedName>
    <definedName name="FSMatTwoM6">'Formula sheet'!$N$6</definedName>
    <definedName name="FSMatTwoN20">'Formula sheet'!$O$40</definedName>
    <definedName name="FSMatTwoN21">'Formula sheet'!$O$41</definedName>
    <definedName name="FSMatTwoN35">'Formula sheet'!$O$77</definedName>
    <definedName name="FSMatTwoN36">'Formula sheet'!$O$78</definedName>
    <definedName name="FSMatTwoN5">'Formula sheet'!$O$5</definedName>
    <definedName name="FSMatTwoN50">'Formula sheet'!$O$112</definedName>
    <definedName name="FSMatTwoN51">'Formula sheet'!$O$113</definedName>
    <definedName name="FSMatTwoN6">'Formula sheet'!$O$6</definedName>
    <definedName name="FSMatType1">'Formula sheet'!$C$18</definedName>
    <definedName name="FSMatType10">'Formula sheet'!$C$27</definedName>
    <definedName name="FSMatType11">'Formula sheet'!$C$29</definedName>
    <definedName name="FSMatType12">'Formula sheet'!$C$30</definedName>
    <definedName name="FSMatType13">'Formula sheet'!$C$31</definedName>
    <definedName name="FSMatType14">'Formula sheet'!$C$32</definedName>
    <definedName name="FSMatType15">'Formula sheet'!$C$33</definedName>
    <definedName name="FSMatType2">'Formula sheet'!$C$19</definedName>
    <definedName name="FSMatType3">'Formula sheet'!$C$20</definedName>
    <definedName name="FSMatType4">'Formula sheet'!$C$21</definedName>
    <definedName name="FSMatType5">'Formula sheet'!$C$22</definedName>
    <definedName name="FSMatType6">'Formula sheet'!$C$23</definedName>
    <definedName name="FSMatType7">'Formula sheet'!$C$24</definedName>
    <definedName name="FSMatType8">'Formula sheet'!$C$25</definedName>
    <definedName name="FSMatType9">'Formula sheet'!$C$26</definedName>
    <definedName name="FSMaxRegrind1">'Formula sheet'!$B$9</definedName>
    <definedName name="FSMaxRegrind2">'Formula sheet'!$C$9</definedName>
    <definedName name="FSMetricConv">'Variable Sheet'!$B$2</definedName>
    <definedName name="FSMexPrice1">'Formula sheet'!#REF!</definedName>
    <definedName name="FSMexPrice10">'Formula sheet'!#REF!</definedName>
    <definedName name="FSMexPrice2">'Formula sheet'!#REF!</definedName>
    <definedName name="FSMexPrice3">'Formula sheet'!#REF!</definedName>
    <definedName name="FSMexPrice4">'Formula sheet'!#REF!</definedName>
    <definedName name="FSMexPrice5">'Formula sheet'!#REF!</definedName>
    <definedName name="FSMexPrice6">'Formula sheet'!#REF!</definedName>
    <definedName name="FSMexPrice7">'Formula sheet'!#REF!</definedName>
    <definedName name="FSMexPrice8">'Formula sheet'!#REF!</definedName>
    <definedName name="FSMexPrice9">'Formula sheet'!#REF!</definedName>
    <definedName name="FSMfgCost1">'Formula sheet'!$B$196</definedName>
    <definedName name="FSMfgCost10">'Formula sheet'!$M$196</definedName>
    <definedName name="FSMfgCost2">'Formula sheet'!$C$196</definedName>
    <definedName name="FSMfgCost3">'Formula sheet'!$D$196</definedName>
    <definedName name="FSMfgCost4">'Formula sheet'!$E$196</definedName>
    <definedName name="FSMfgCost5">'Formula sheet'!$F$196</definedName>
    <definedName name="FSMfgCost6">'Formula sheet'!$I$196</definedName>
    <definedName name="FSMfgCost7">'Formula sheet'!$J$196</definedName>
    <definedName name="FSMfgCost8">'Formula sheet'!$K$196</definedName>
    <definedName name="FSMfgCost9">'Formula sheet'!$L$196</definedName>
    <definedName name="FSMinAmt1">'Formula sheet'!$B$250</definedName>
    <definedName name="FSMinAmt10">'Formula sheet'!$M$250</definedName>
    <definedName name="FSMinAmt101">'Formula sheet'!$B$295</definedName>
    <definedName name="FSMinAmt1010">'Formula sheet'!$M$295</definedName>
    <definedName name="FSMinAmt102">'Formula sheet'!$C$295</definedName>
    <definedName name="FSMinAmt103">'Formula sheet'!$D$295</definedName>
    <definedName name="FSMinAmt104">'Formula sheet'!$E$295</definedName>
    <definedName name="FSMinAmt105">'Formula sheet'!$F$295</definedName>
    <definedName name="FSMinAmt106">'Formula sheet'!$I$295</definedName>
    <definedName name="FSMinAmt107">'Formula sheet'!$J$295</definedName>
    <definedName name="FSMinAmt108">'Formula sheet'!$K$295</definedName>
    <definedName name="FSMinAmt109">'Formula sheet'!$L$295</definedName>
    <definedName name="FSMinAmt2">'Formula sheet'!$C$250</definedName>
    <definedName name="FSMinAmt21">'Formula sheet'!$B$255</definedName>
    <definedName name="FSMinAmt210">'Formula sheet'!$M$255</definedName>
    <definedName name="FSMinAmt22">'Formula sheet'!$C$255</definedName>
    <definedName name="FSMinAmt23">'Formula sheet'!$D$255</definedName>
    <definedName name="FSMinAmt24">'Formula sheet'!$E$255</definedName>
    <definedName name="FSMinAmt25">'Formula sheet'!$F$255</definedName>
    <definedName name="FSMinAmt26">'Formula sheet'!$I$255</definedName>
    <definedName name="FSMinAmt27">'Formula sheet'!$J$255</definedName>
    <definedName name="FSMinAmt28">'Formula sheet'!$K$255</definedName>
    <definedName name="FSMinAmt29">'Formula sheet'!$L$255</definedName>
    <definedName name="FSMinAmt3">'Formula sheet'!$D$250</definedName>
    <definedName name="FSMinAmt31">'Formula sheet'!$B$260</definedName>
    <definedName name="FSMinAmt310">'Formula sheet'!$M$260</definedName>
    <definedName name="FSMinAmt32">'Formula sheet'!$C$260</definedName>
    <definedName name="FSMinAmt33">'Formula sheet'!$D$260</definedName>
    <definedName name="FSMinAmt34">'Formula sheet'!$E$260</definedName>
    <definedName name="FSMinAmt35">'Formula sheet'!$F$260</definedName>
    <definedName name="FSMinAmt36">'Formula sheet'!$I$260</definedName>
    <definedName name="FSMinAmt37">'Formula sheet'!$J$260</definedName>
    <definedName name="FSMinAmt38">'Formula sheet'!$K$260</definedName>
    <definedName name="FSMinAmt39">'Formula sheet'!$L$260</definedName>
    <definedName name="FSMinAmt4">'Formula sheet'!$E$250</definedName>
    <definedName name="FSMinAmt41">'Formula sheet'!$B$265</definedName>
    <definedName name="FSMinAmt410">'Formula sheet'!$M$265</definedName>
    <definedName name="FSMinAmt42">'Formula sheet'!$C$265</definedName>
    <definedName name="FSMinAmt43">'Formula sheet'!$D$265</definedName>
    <definedName name="FSMinAmt44">'Formula sheet'!$E$265</definedName>
    <definedName name="FSMinAmt45">'Formula sheet'!$F$265</definedName>
    <definedName name="FSMinAmt46">'Formula sheet'!$I$265</definedName>
    <definedName name="FSMinAmt47">'Formula sheet'!$J$265</definedName>
    <definedName name="FSMinAmt48">'Formula sheet'!$K$265</definedName>
    <definedName name="FSMinAmt49">'Formula sheet'!$L$265</definedName>
    <definedName name="FSMinAmt5">'Formula sheet'!$F$250</definedName>
    <definedName name="FSMinAmt51">'Formula sheet'!$B$270</definedName>
    <definedName name="FSMinAmt510">'Formula sheet'!$M$270</definedName>
    <definedName name="FSMinAmt52">'Formula sheet'!$C$270</definedName>
    <definedName name="FSMinAmt53">'Formula sheet'!$D$270</definedName>
    <definedName name="FSMinAmt54">'Formula sheet'!$E$270</definedName>
    <definedName name="FSMinAmt55">'Formula sheet'!$F$270</definedName>
    <definedName name="FSMinAmt56">'Formula sheet'!$I$270</definedName>
    <definedName name="FSMinAmt57">'Formula sheet'!$J$270</definedName>
    <definedName name="FSMinAmt58">'Formula sheet'!$K$270</definedName>
    <definedName name="FSMinAmt59">'Formula sheet'!$L$270</definedName>
    <definedName name="FSMinAmt6">'Formula sheet'!$I$250</definedName>
    <definedName name="FSMinAmt61">'Formula sheet'!$B$275</definedName>
    <definedName name="FSMinAmt610">'Formula sheet'!$M$275</definedName>
    <definedName name="FSMinAmt62">'Formula sheet'!$C$275</definedName>
    <definedName name="FSMinAmt63">'Formula sheet'!$D$275</definedName>
    <definedName name="FSMinAmt64">'Formula sheet'!$E$275</definedName>
    <definedName name="FSMinAmt65">'Formula sheet'!$F$275</definedName>
    <definedName name="FSMinAmt66">'Formula sheet'!$I$275</definedName>
    <definedName name="FSMinAmt67">'Formula sheet'!$J$275</definedName>
    <definedName name="FSMinAmt68">'Formula sheet'!$K$275</definedName>
    <definedName name="FSMinAmt69">'Formula sheet'!$L$275</definedName>
    <definedName name="FSMinAmt7">'Formula sheet'!$J$250</definedName>
    <definedName name="FSMinAmt71">'Formula sheet'!$B$280</definedName>
    <definedName name="FSMinAmt710">'Formula sheet'!$M$280</definedName>
    <definedName name="FSMinAmt72">'Formula sheet'!$C$280</definedName>
    <definedName name="FSMinAmt73">'Formula sheet'!$D$280</definedName>
    <definedName name="FSMinAmt74">'Formula sheet'!$E$280</definedName>
    <definedName name="FSMinAmt75">'Formula sheet'!$F$280</definedName>
    <definedName name="FSMinAmt76">'Formula sheet'!$I$280</definedName>
    <definedName name="FSMinAmt77">'Formula sheet'!$J$280</definedName>
    <definedName name="FSMinAmt78">'Formula sheet'!$K$280</definedName>
    <definedName name="FSMinAmt79">'Formula sheet'!$L$280</definedName>
    <definedName name="FSMinAmt8">'Formula sheet'!$K$250</definedName>
    <definedName name="FSMinAmt81">'Formula sheet'!$B$285</definedName>
    <definedName name="FSMinAmt810">'Formula sheet'!$M$285</definedName>
    <definedName name="FSMinAmt82">'Formula sheet'!$C$285</definedName>
    <definedName name="FSMinAmt83">'Formula sheet'!$D$285</definedName>
    <definedName name="FSMinAmt84">'Formula sheet'!$E$285</definedName>
    <definedName name="FSMinAmt85">'Formula sheet'!$F$285</definedName>
    <definedName name="FSMinAmt86">'Formula sheet'!$I$285</definedName>
    <definedName name="FSMinAmt87">'Formula sheet'!$J$285</definedName>
    <definedName name="FSMinAmt88">'Formula sheet'!$K$285</definedName>
    <definedName name="FSMinAmt89">'Formula sheet'!$L$285</definedName>
    <definedName name="FSMinAmt9">'Formula sheet'!$L$250</definedName>
    <definedName name="FSMinAmt91">'Formula sheet'!$B$290</definedName>
    <definedName name="FSMinAmt910">'Formula sheet'!$M$290</definedName>
    <definedName name="FSMinAmt92">'Formula sheet'!$C$290</definedName>
    <definedName name="FSMinAmt93">'Formula sheet'!$D$290</definedName>
    <definedName name="FSMinAmt94">'Formula sheet'!$E$290</definedName>
    <definedName name="FSMinAmt95">'Formula sheet'!$F$290</definedName>
    <definedName name="FSMinAmt96">'Formula sheet'!$I$290</definedName>
    <definedName name="FSMinAmt97">'Formula sheet'!$J$290</definedName>
    <definedName name="FSMinAmt98">'Formula sheet'!$K$290</definedName>
    <definedName name="FSMinAmt99">'Formula sheet'!$L$290</definedName>
    <definedName name="FSMinCost1">'Formula sheet'!$B$188</definedName>
    <definedName name="FSMinCost10">'Formula sheet'!$M$188</definedName>
    <definedName name="FSMinCost2">'Formula sheet'!$C$188</definedName>
    <definedName name="FSMinCost3">'Formula sheet'!$D$188</definedName>
    <definedName name="FSMinCost4">'Formula sheet'!$E$188</definedName>
    <definedName name="FSMinCost5">'Formula sheet'!$F$188</definedName>
    <definedName name="FSMinCost6">'Formula sheet'!$I$188</definedName>
    <definedName name="FSMinCost7">'Formula sheet'!$J$188</definedName>
    <definedName name="FSMinCost8">'Formula sheet'!$K$188</definedName>
    <definedName name="FSMinCost9">'Formula sheet'!$L$188</definedName>
    <definedName name="FSMinCostPercentage11">'Formula sheet'!$B$214</definedName>
    <definedName name="FSMinCostPercentage12">'Formula sheet'!$C$214</definedName>
    <definedName name="FSMinCostPercentage13">'Formula sheet'!$D$214</definedName>
    <definedName name="FSMinCostPercentage14">'Formula sheet'!$E$214</definedName>
    <definedName name="FSMinCostPercentage15">'Formula sheet'!$F$214</definedName>
    <definedName name="FSMinCostPercentage21">'Formula sheet'!$I$214</definedName>
    <definedName name="FSMinCostPercentage22">'Formula sheet'!$J$214</definedName>
    <definedName name="FSMinCostPercentage23">'Formula sheet'!$K$214</definedName>
    <definedName name="FSMinCostPercentage24">'Formula sheet'!$L$214</definedName>
    <definedName name="FSMinCostPercentage25">'Formula sheet'!$M$214</definedName>
    <definedName name="FSMinPrice1">'Formula sheet'!$B$189</definedName>
    <definedName name="FSMinPrice10">'Formula sheet'!$M$189</definedName>
    <definedName name="FSMinPrice2">'Formula sheet'!$C$189</definedName>
    <definedName name="FSMinPrice3">'Formula sheet'!$D$189</definedName>
    <definedName name="FSMinPrice4">'Formula sheet'!$E$189</definedName>
    <definedName name="FSMinPrice5">'Formula sheet'!$F$189</definedName>
    <definedName name="FSMinPrice6">'Formula sheet'!$I$189</definedName>
    <definedName name="FSMinPrice7">'Formula sheet'!$J$189</definedName>
    <definedName name="FSMinPrice8">'Formula sheet'!$K$189</definedName>
    <definedName name="FSMinPrice9">'Formula sheet'!$L$189</definedName>
    <definedName name="FSMinRel1">'Formula sheet'!$B$251</definedName>
    <definedName name="FSMinRel10">'Formula sheet'!$M$251</definedName>
    <definedName name="FSMinRel101">'Formula sheet'!$B$296</definedName>
    <definedName name="FSMinRel1010">'Formula sheet'!$M$296</definedName>
    <definedName name="FSMinRel102">'Formula sheet'!$C$296</definedName>
    <definedName name="FSMinRel103">'Formula sheet'!$D$296</definedName>
    <definedName name="FSMinRel104">'Formula sheet'!$E$296</definedName>
    <definedName name="FSMinRel105">'Formula sheet'!$F$296</definedName>
    <definedName name="FSMinRel106">'Formula sheet'!$I$296</definedName>
    <definedName name="FSMinRel107">'Formula sheet'!$J$296</definedName>
    <definedName name="FSMinRel108">'Formula sheet'!$K$296</definedName>
    <definedName name="FSMinRel109">'Formula sheet'!$L$296</definedName>
    <definedName name="FSMinRel2">'Formula sheet'!$C$251</definedName>
    <definedName name="FSMinRel21">'Formula sheet'!$B$256</definedName>
    <definedName name="FSMinRel210">'Formula sheet'!$M$256</definedName>
    <definedName name="FSMinRel22">'Formula sheet'!$C$256</definedName>
    <definedName name="FSMinRel23">'Formula sheet'!$D$256</definedName>
    <definedName name="FSMinRel24">'Formula sheet'!$E$256</definedName>
    <definedName name="FSMinRel25">'Formula sheet'!$F$256</definedName>
    <definedName name="FSMinRel26">'Formula sheet'!$I$256</definedName>
    <definedName name="FSMinRel27">'Formula sheet'!$J$256</definedName>
    <definedName name="FSMinRel28">'Formula sheet'!$K$256</definedName>
    <definedName name="FSMinRel29">'Formula sheet'!$L$256</definedName>
    <definedName name="FSMinRel3">'Formula sheet'!$D$251</definedName>
    <definedName name="FSMinRel31">'Formula sheet'!$B$261</definedName>
    <definedName name="FSMinRel310">'Formula sheet'!$M$261</definedName>
    <definedName name="FSMinRel32">'Formula sheet'!$C$261</definedName>
    <definedName name="FSMinRel33">'Formula sheet'!$D$261</definedName>
    <definedName name="FSMinRel34">'Formula sheet'!$E$261</definedName>
    <definedName name="FSMinRel35">'Formula sheet'!$F$261</definedName>
    <definedName name="FSMinRel36">'Formula sheet'!$I$261</definedName>
    <definedName name="FSMinRel37">'Formula sheet'!$J$261</definedName>
    <definedName name="FSMinRel38">'Formula sheet'!$K$261</definedName>
    <definedName name="FSMinRel39">'Formula sheet'!$L$261</definedName>
    <definedName name="FSMinRel4">'Formula sheet'!$E$251</definedName>
    <definedName name="FSMinRel41">'Formula sheet'!$B$266</definedName>
    <definedName name="FSMinRel410">'Formula sheet'!$M$266</definedName>
    <definedName name="FSMinRel42">'Formula sheet'!$C$266</definedName>
    <definedName name="FSMinRel43">'Formula sheet'!$D$266</definedName>
    <definedName name="FSMinRel44">'Formula sheet'!$E$266</definedName>
    <definedName name="FSMinRel45">'Formula sheet'!$F$266</definedName>
    <definedName name="FSMinRel46">'Formula sheet'!$I$266</definedName>
    <definedName name="FSMinRel47">'Formula sheet'!$J$266</definedName>
    <definedName name="FSMinRel48">'Formula sheet'!$K$266</definedName>
    <definedName name="FSMinRel49">'Formula sheet'!$L$266</definedName>
    <definedName name="FSMinRel5">'Formula sheet'!$F$251</definedName>
    <definedName name="FSMinRel51">'Formula sheet'!$B$271</definedName>
    <definedName name="FSMinRel510">'Formula sheet'!$M$271</definedName>
    <definedName name="FSMinRel52">'Formula sheet'!$C$271</definedName>
    <definedName name="FSMinRel53">'Formula sheet'!$D$271</definedName>
    <definedName name="FSMinRel54">'Formula sheet'!$E$271</definedName>
    <definedName name="FSMinRel55">'Formula sheet'!$F$271</definedName>
    <definedName name="FSMinRel56">'Formula sheet'!$I$271</definedName>
    <definedName name="FSMinRel57">'Formula sheet'!$J$271</definedName>
    <definedName name="FSMinRel58">'Formula sheet'!$K$271</definedName>
    <definedName name="FSMinRel59">'Formula sheet'!$L$271</definedName>
    <definedName name="FSMinRel6">'Formula sheet'!$I$251</definedName>
    <definedName name="FSMinRel61">'Formula sheet'!$B$276</definedName>
    <definedName name="FSMinRel610">'Formula sheet'!$M$276</definedName>
    <definedName name="FSMinRel62">'Formula sheet'!$C$276</definedName>
    <definedName name="FSMinRel63">'Formula sheet'!$D$276</definedName>
    <definedName name="FSMinRel64">'Formula sheet'!$E$276</definedName>
    <definedName name="FSMinRel65">'Formula sheet'!$F$276</definedName>
    <definedName name="FSMinRel66">'Formula sheet'!$I$276</definedName>
    <definedName name="FSMinRel67">'Formula sheet'!$J$276</definedName>
    <definedName name="FSMinRel68">'Formula sheet'!$K$276</definedName>
    <definedName name="FSMinRel69">'Formula sheet'!$L$276</definedName>
    <definedName name="FSMinRel7">'Formula sheet'!$J$251</definedName>
    <definedName name="FSMinRel71">'Formula sheet'!$B$281</definedName>
    <definedName name="FSMinRel710">'Formula sheet'!$M$281</definedName>
    <definedName name="FSMinRel72">'Formula sheet'!$C$281</definedName>
    <definedName name="FSMinRel73">'Formula sheet'!$D$281</definedName>
    <definedName name="FSMinRel74">'Formula sheet'!$E$281</definedName>
    <definedName name="FSMinRel75">'Formula sheet'!$F$281</definedName>
    <definedName name="FSMinRel76">'Formula sheet'!$I$281</definedName>
    <definedName name="FSMinRel77">'Formula sheet'!$J$281</definedName>
    <definedName name="FSMinRel78">'Formula sheet'!$K$281</definedName>
    <definedName name="FSMinRel79">'Formula sheet'!$L$281</definedName>
    <definedName name="FSMinRel8">'Formula sheet'!$K$251</definedName>
    <definedName name="FSMinRel81">'Formula sheet'!$B$286</definedName>
    <definedName name="FSMinRel810">'Formula sheet'!$M$286</definedName>
    <definedName name="FSMinRel82">'Formula sheet'!$C$286</definedName>
    <definedName name="FSMinRel83">'Formula sheet'!$D$286</definedName>
    <definedName name="FSMinRel84">'Formula sheet'!$E$286</definedName>
    <definedName name="FSMinRel85">'Formula sheet'!$F$286</definedName>
    <definedName name="FSMinRel86">'Formula sheet'!$I$286</definedName>
    <definedName name="FSMinRel87">'Formula sheet'!$J$286</definedName>
    <definedName name="FSMinRel88">'Formula sheet'!$K$286</definedName>
    <definedName name="FSMinRel89">'Formula sheet'!$L$286</definedName>
    <definedName name="FSMinRel9">'Formula sheet'!$L$251</definedName>
    <definedName name="FSMinRel91">'Formula sheet'!$B$291</definedName>
    <definedName name="FSMinRel910">'Formula sheet'!$M$291</definedName>
    <definedName name="FSMinRel92">'Formula sheet'!$C$291</definedName>
    <definedName name="FSMinRel93">'Formula sheet'!$D$291</definedName>
    <definedName name="FSMinRel94">'Formula sheet'!$E$291</definedName>
    <definedName name="FSMinRel95">'Formula sheet'!$F$291</definedName>
    <definedName name="FSMinRel96">'Formula sheet'!$I$291</definedName>
    <definedName name="FSMinRel97">'Formula sheet'!$J$291</definedName>
    <definedName name="FSMinRel98">'Formula sheet'!$K$291</definedName>
    <definedName name="FSMinRel99">'Formula sheet'!$L$291</definedName>
    <definedName name="FSMinShip1">'Formula sheet'!$B$300</definedName>
    <definedName name="FSMinShip10">'Formula sheet'!$M$300</definedName>
    <definedName name="FSMinShip2">'Formula sheet'!$C$300</definedName>
    <definedName name="FSMinShip3">'Formula sheet'!$D$300</definedName>
    <definedName name="FSMinShip4">'Formula sheet'!$E$300</definedName>
    <definedName name="FSMinShip5">'Formula sheet'!$F$300</definedName>
    <definedName name="FSMinShip6">'Formula sheet'!$I$300</definedName>
    <definedName name="FSMinShip7">'Formula sheet'!$J$300</definedName>
    <definedName name="FSMinShip8">'Formula sheet'!$K$300</definedName>
    <definedName name="FSMinShip9">'Formula sheet'!$L$300</definedName>
    <definedName name="FSMinShipVar1">'Formula sheet'!#REF!</definedName>
    <definedName name="FSMinShipVar2">'Formula sheet'!#REF!</definedName>
    <definedName name="FSMuCellRed1">'Formula sheet'!$D$369</definedName>
    <definedName name="FSMuCellRed2">'Formula sheet'!$D$370</definedName>
    <definedName name="FSOpsDesc">'Master Data'!$C$2:$C$29</definedName>
    <definedName name="FSOrdRelPerc1">'Formula sheet'!$B$299</definedName>
    <definedName name="FSOrdRelPerc10">'Formula sheet'!$M$299</definedName>
    <definedName name="FSOrdRelPerc2">'Formula sheet'!$C$299</definedName>
    <definedName name="FSOrdRelPerc3">'Formula sheet'!$D$299</definedName>
    <definedName name="FSOrdRelPerc4">'Formula sheet'!$E$299</definedName>
    <definedName name="FSOrdRelPerc5">'Formula sheet'!$F$299</definedName>
    <definedName name="FSOrdRelPerc6">'Formula sheet'!$I$299</definedName>
    <definedName name="FSOrdRelPerc7">'Formula sheet'!$J$299</definedName>
    <definedName name="FSOrdRelPerc8">'Formula sheet'!$K$299</definedName>
    <definedName name="FSOrdRelPerc9">'Formula sheet'!$L$299</definedName>
    <definedName name="FSPackAmt101">'Formula sheet'!$B$328</definedName>
    <definedName name="FSPackAmt101A">'Formula sheet'!$C$328</definedName>
    <definedName name="FSPackAmt11">'Formula sheet'!$B$310</definedName>
    <definedName name="FSPackAmt11A">'Formula sheet'!$C$310</definedName>
    <definedName name="FSPackAmt21">'Formula sheet'!$B$312</definedName>
    <definedName name="FSPackAmt21A">'Formula sheet'!$C$312</definedName>
    <definedName name="FSPackAmt31">'Formula sheet'!$B$314</definedName>
    <definedName name="FSPackAmt31A">'Formula sheet'!$C$314</definedName>
    <definedName name="FSPackAmt41">'Formula sheet'!$B$316</definedName>
    <definedName name="FSPackAmt41A">'Formula sheet'!$C$316</definedName>
    <definedName name="FSPackAmt51">'Formula sheet'!$B$318</definedName>
    <definedName name="FSPackAmt51A">'Formula sheet'!$C$318</definedName>
    <definedName name="FSPackAmt61">'Formula sheet'!$B$320</definedName>
    <definedName name="FSPackAmt61A">'Formula sheet'!$C$320</definedName>
    <definedName name="FSPackAmt71">'Formula sheet'!$B$322</definedName>
    <definedName name="FSPackAmt71A">'Formula sheet'!$C$322</definedName>
    <definedName name="FSPackAmt81">'Formula sheet'!$B$324</definedName>
    <definedName name="FSPackAmt81A">'Formula sheet'!$C$324</definedName>
    <definedName name="FSPackAmt91">'Formula sheet'!$B$326</definedName>
    <definedName name="FSPackAmt91A">'Formula sheet'!$C$326</definedName>
    <definedName name="FSPackCost1">'Formula sheet'!$B$192</definedName>
    <definedName name="FSPackCost10">'Formula sheet'!$M$192</definedName>
    <definedName name="FSPackCost2">'Formula sheet'!$C$192</definedName>
    <definedName name="FSPackCost3">'Formula sheet'!$D$192</definedName>
    <definedName name="FSPackCost4">'Formula sheet'!$E$192</definedName>
    <definedName name="FSPackCost5">'Formula sheet'!$F$192</definedName>
    <definedName name="FSPackCost6">'Formula sheet'!$I$192</definedName>
    <definedName name="FSPackCost7">'Formula sheet'!$J$192</definedName>
    <definedName name="FSPackCost8">'Formula sheet'!$K$192</definedName>
    <definedName name="FSPackCost9">'Formula sheet'!$L$192</definedName>
    <definedName name="FSPackCostPercentage11">'Formula sheet'!$B$217</definedName>
    <definedName name="FSPackCostPercentage12">'Formula sheet'!$C$217</definedName>
    <definedName name="FSPackCostPercentage13">'Formula sheet'!$D$217</definedName>
    <definedName name="FSPackCostPercentage14">'Formula sheet'!$E$217</definedName>
    <definedName name="FSPackCostPercentage15">'Formula sheet'!$F$217</definedName>
    <definedName name="FSPackCostPercentage21">'Formula sheet'!$I$217</definedName>
    <definedName name="FSPackCostPercentage22">'Formula sheet'!$J$217</definedName>
    <definedName name="FSPackCostPercentage23">'Formula sheet'!$K$217</definedName>
    <definedName name="FSPackCostPercentage24">'Formula sheet'!$L$217</definedName>
    <definedName name="FSPackCostPercentage25">'Formula sheet'!$M$217</definedName>
    <definedName name="FSPackLookup1">'Formula sheet'!#REF!</definedName>
    <definedName name="FSPackLookup2">'Formula sheet'!#REF!</definedName>
    <definedName name="FSPackLookup28">'Formula sheet'!#REF!</definedName>
    <definedName name="FSPackLookup8">'Formula sheet'!#REF!</definedName>
    <definedName name="FSPackPrice1">'Formula sheet'!$B$193</definedName>
    <definedName name="FSPackPrice10">'Formula sheet'!$M$193</definedName>
    <definedName name="FSPackPrice2">'Formula sheet'!$C$193</definedName>
    <definedName name="FSPackPrice3">'Formula sheet'!$D$193</definedName>
    <definedName name="FSPackPrice4">'Formula sheet'!$E$193</definedName>
    <definedName name="FSPackPrice5">'Formula sheet'!$F$193</definedName>
    <definedName name="FSPackPrice6">'Formula sheet'!$I$193</definedName>
    <definedName name="FSPackPrice7">'Formula sheet'!$J$193</definedName>
    <definedName name="FSPackPrice8">'Formula sheet'!$K$193</definedName>
    <definedName name="FSPackPrice9">'Formula sheet'!$L$193</definedName>
    <definedName name="FSPartWeight1">'Formula sheet'!$B$4</definedName>
    <definedName name="FSPartWeight2">'Formula sheet'!$C$4</definedName>
    <definedName name="FSPathName">'Formula sheet'!#REF!</definedName>
    <definedName name="FSPcsHrD27">'Formula sheet'!$D$60</definedName>
    <definedName name="FSPcsHrD28">'Formula sheet'!$D$61</definedName>
    <definedName name="FSPcsHrD29">'Formula sheet'!$D$62</definedName>
    <definedName name="FSPcsHrD35">'Formula sheet'!$D$63</definedName>
    <definedName name="FSPcsHrD36">'Formula sheet'!$D$64</definedName>
    <definedName name="FSPcsHrD37">'Formula sheet'!$D$65</definedName>
    <definedName name="FSPcsHrD38">'Formula sheet'!$D$66</definedName>
    <definedName name="FSPcsHrD39">'Formula sheet'!$D$67</definedName>
    <definedName name="FSPcsHrD40">'Formula sheet'!$D$68</definedName>
    <definedName name="FSPcsHrD41">'Formula sheet'!$D$69</definedName>
    <definedName name="FSPcsHrE27">'Formula sheet'!$E$60</definedName>
    <definedName name="FSPcsHrE28">'Formula sheet'!$E$61</definedName>
    <definedName name="FSPcsHrE29">'Formula sheet'!$E$62</definedName>
    <definedName name="FSPcsHrE35">'Formula sheet'!$E$63</definedName>
    <definedName name="FSPcsHrE36">'Formula sheet'!$E$64</definedName>
    <definedName name="FSPcsHrE37">'Formula sheet'!$E$65</definedName>
    <definedName name="FSPcsHrE38">'Formula sheet'!$E$66</definedName>
    <definedName name="FSPcsHrE39">'Formula sheet'!$E$67</definedName>
    <definedName name="FSPcsHrE40">'Formula sheet'!$E$68</definedName>
    <definedName name="FSPcsHrE41">'Formula sheet'!$E$69</definedName>
    <definedName name="FSPCSScr1">'Formula sheet'!$A$60</definedName>
    <definedName name="FSPCSScr1A">'Formula sheet'!$A$61</definedName>
    <definedName name="FSPCSScr1B">'Formula sheet'!$A$62</definedName>
    <definedName name="FSPCSScr1C">'Formula sheet'!$A$63</definedName>
    <definedName name="FSPCSScr1D">'Formula sheet'!$A$64</definedName>
    <definedName name="FSPCSScr1E">'Formula sheet'!$A$65</definedName>
    <definedName name="FSPCSScr1F">'Formula sheet'!$A$66</definedName>
    <definedName name="FSPCSScr1G">'Formula sheet'!$A$67</definedName>
    <definedName name="FSPCSScr1H">'Formula sheet'!$A$68</definedName>
    <definedName name="FSPCSScr1I">'Formula sheet'!$A$69</definedName>
    <definedName name="FSPCSScr2">'Formula sheet'!$B$60</definedName>
    <definedName name="FSPCSScr2A">'Formula sheet'!$B$61</definedName>
    <definedName name="FSPCSScr2B">'Formula sheet'!$B$62</definedName>
    <definedName name="FSPCSScr2C">'Formula sheet'!$B$63</definedName>
    <definedName name="FSPCSScr2D">'Formula sheet'!$B$64</definedName>
    <definedName name="FSPCSScr2E">'Formula sheet'!$B$65</definedName>
    <definedName name="FSPCSScr2F">'Formula sheet'!$B$66</definedName>
    <definedName name="FSPCSScr2G">'Formula sheet'!$B$67</definedName>
    <definedName name="FSPCSScr2H">'Formula sheet'!$B$68</definedName>
    <definedName name="FSPCSScr2I">'Formula sheet'!$B$69</definedName>
    <definedName name="FSPrCostCalc11">'Formula sheet'!$D$76</definedName>
    <definedName name="FSPrCostCalc12">'Formula sheet'!$D$77</definedName>
    <definedName name="FSPrCostCalc13">'Formula sheet'!$D$78</definedName>
    <definedName name="FSPrCostCalc14">'Formula sheet'!$D$79</definedName>
    <definedName name="FSPrCostCalc15">'Formula sheet'!$D$80</definedName>
    <definedName name="FSPrCostCalc16">'Formula sheet'!$D$81</definedName>
    <definedName name="FSPrCostCalc17">'Formula sheet'!$D$82</definedName>
    <definedName name="FSPrCostCalc17A">'Formula sheet'!$D$83</definedName>
    <definedName name="FSPrCostCalc17B">'Formula sheet'!$D$84</definedName>
    <definedName name="FSPrCostCalc18">'Formula sheet'!$D$85</definedName>
    <definedName name="FSPrCostCalc21">'Formula sheet'!$E$76</definedName>
    <definedName name="FSPrCostCalc22">'Formula sheet'!$E$77</definedName>
    <definedName name="FSPrCostCalc23">'Formula sheet'!$E$78</definedName>
    <definedName name="FSPrCostCalc24">'Formula sheet'!$E$79</definedName>
    <definedName name="FSPrCostCalc25">'Formula sheet'!$E$80</definedName>
    <definedName name="FSPrCostCalc26">'Formula sheet'!$E$81</definedName>
    <definedName name="FSPrCostCalc27">'Formula sheet'!$E$82</definedName>
    <definedName name="FSPrCostCalc27A">'Formula sheet'!$E$83</definedName>
    <definedName name="FSPrCostCalc27B">'Formula sheet'!$E$84</definedName>
    <definedName name="FSPrCostCalc28">'Formula sheet'!$E$85</definedName>
    <definedName name="FSPrePr1">'Formula sheet'!$B$201</definedName>
    <definedName name="FSPrePr10">'Formula sheet'!$M$201</definedName>
    <definedName name="FSPrePr2">'Formula sheet'!$C$201</definedName>
    <definedName name="FSPrePr3">'Formula sheet'!$D$201</definedName>
    <definedName name="FSPrePr4">'Formula sheet'!$E$201</definedName>
    <definedName name="FSPrePr5">'Formula sheet'!$F$201</definedName>
    <definedName name="FSPrePr6">'Formula sheet'!$I$201</definedName>
    <definedName name="FSPrePr7">'Formula sheet'!$J$201</definedName>
    <definedName name="FSPrePr8">'Formula sheet'!$K$201</definedName>
    <definedName name="FSPrePr9">'Formula sheet'!$L$201</definedName>
    <definedName name="FSPrePrWO1">'Formula sheet'!$B$199</definedName>
    <definedName name="FSPrePrWO10">'Formula sheet'!$M$199</definedName>
    <definedName name="FSPrePrWO2">'Formula sheet'!$C$199</definedName>
    <definedName name="FSPrePrWO3">'Formula sheet'!$D$199</definedName>
    <definedName name="FSPrePrWO4">'Formula sheet'!$E$199</definedName>
    <definedName name="FSPrePrWO5">'Formula sheet'!$F$199</definedName>
    <definedName name="FSPrePrWO6">'Formula sheet'!$I$199</definedName>
    <definedName name="FSPrePrWO7">'Formula sheet'!$J$199</definedName>
    <definedName name="FSPrePrWO8">'Formula sheet'!$K$199</definedName>
    <definedName name="FSPrePrWO9">'Formula sheet'!$L$199</definedName>
    <definedName name="FSPressCost11">'Formula sheet'!$A$76</definedName>
    <definedName name="FSPressCost12">'Formula sheet'!$A$77</definedName>
    <definedName name="FSPressCost13">'Formula sheet'!$A$78</definedName>
    <definedName name="FSPressCost14">'Formula sheet'!$A$79</definedName>
    <definedName name="FSPressCost15">'Formula sheet'!$A$80</definedName>
    <definedName name="FSPressCost16">'Formula sheet'!$A$81</definedName>
    <definedName name="FSPressCost17">'Formula sheet'!$A$82</definedName>
    <definedName name="FSPressCost17A">'Formula sheet'!$A$83</definedName>
    <definedName name="FSPressCost17B">'Formula sheet'!$A$84</definedName>
    <definedName name="FSPressCost18">'Formula sheet'!$A$85</definedName>
    <definedName name="FSPressCost21">'Formula sheet'!$B$76</definedName>
    <definedName name="FSPressCost22">'Formula sheet'!$B$77</definedName>
    <definedName name="FSPressCost23">'Formula sheet'!$B$78</definedName>
    <definedName name="FSPressCost24">'Formula sheet'!$B$79</definedName>
    <definedName name="FSPressCost25">'Formula sheet'!$B$80</definedName>
    <definedName name="FSPressCost26">'Formula sheet'!$B$81</definedName>
    <definedName name="FSPressCost27">'Formula sheet'!$B$82</definedName>
    <definedName name="FSPressCost27A">'Formula sheet'!$B$83</definedName>
    <definedName name="FSPressCost27B">'Formula sheet'!$B$84</definedName>
    <definedName name="FSPressCost28">'Formula sheet'!$B$85</definedName>
    <definedName name="FSPressCostA38">'Formula sheet'!$A$86</definedName>
    <definedName name="FSPressCostB38">'Formula sheet'!$B$86</definedName>
    <definedName name="FSPressCostPercentage11">'Formula sheet'!$B$211</definedName>
    <definedName name="FSPressCostPercentage12">'Formula sheet'!$C$211</definedName>
    <definedName name="FSPressCostPercentage13">'Formula sheet'!$D$211</definedName>
    <definedName name="FSPressCostPercentage14">'Formula sheet'!$E$211</definedName>
    <definedName name="FSPressCostPercentage15">'Formula sheet'!$F$211</definedName>
    <definedName name="FSPressCostPercentage21">'Formula sheet'!$I$211</definedName>
    <definedName name="FSPressCostPercentage22">'Formula sheet'!$J$211</definedName>
    <definedName name="FSPressCostPercentage23">'Formula sheet'!$K$211</definedName>
    <definedName name="FSPressCostPercentage24">'Formula sheet'!$L$211</definedName>
    <definedName name="FSPressCostPercentage25">'Formula sheet'!$M$211</definedName>
    <definedName name="FSPressHrs101">'Formula sheet'!$B$174</definedName>
    <definedName name="FSPressHrs1010">'Formula sheet'!$M$174</definedName>
    <definedName name="FSPressHrs102">'Formula sheet'!$C$174</definedName>
    <definedName name="FSPressHrs103">'Formula sheet'!$D$174</definedName>
    <definedName name="FSPressHrs104">'Formula sheet'!$E$174</definedName>
    <definedName name="FSPressHrs105">'Formula sheet'!$F$174</definedName>
    <definedName name="FSPressHrs106">'Formula sheet'!$I$174</definedName>
    <definedName name="FSPressHrs107">'Formula sheet'!$J$174</definedName>
    <definedName name="FSPressHrs108">'Formula sheet'!$K$174</definedName>
    <definedName name="FSPressHrs109">'Formula sheet'!$L$174</definedName>
    <definedName name="FSPressHrs11">'Formula sheet'!$B$165</definedName>
    <definedName name="FSPressHrs110">'Formula sheet'!$M$165</definedName>
    <definedName name="FSPressHrs12">'Formula sheet'!$C$165</definedName>
    <definedName name="FSPressHrs13">'Formula sheet'!$D$165</definedName>
    <definedName name="FSPressHrs14">'Formula sheet'!$E$165</definedName>
    <definedName name="FSPressHrs15">'Formula sheet'!$F$165</definedName>
    <definedName name="FSPressHrs16">'Formula sheet'!$I$165</definedName>
    <definedName name="FSPressHrs17">'Formula sheet'!$J$165</definedName>
    <definedName name="FSPressHrs18">'Formula sheet'!$K$165</definedName>
    <definedName name="FSPressHrs19">'Formula sheet'!$L$165</definedName>
    <definedName name="FSPressHrs21">'Formula sheet'!$B$166</definedName>
    <definedName name="FSPressHrs210">'Formula sheet'!$M$166</definedName>
    <definedName name="FSPressHrs22">'Formula sheet'!$C$166</definedName>
    <definedName name="FSPressHrs23">'Formula sheet'!$D$166</definedName>
    <definedName name="FSPressHrs24">'Formula sheet'!$E$166</definedName>
    <definedName name="FSPressHrs25">'Formula sheet'!$F$166</definedName>
    <definedName name="FSPressHrs26">'Formula sheet'!$I$166</definedName>
    <definedName name="FSPressHrs27">'Formula sheet'!$J$166</definedName>
    <definedName name="FSPressHrs28">'Formula sheet'!$K$166</definedName>
    <definedName name="FSPressHrs29">'Formula sheet'!$L$166</definedName>
    <definedName name="FSPressHrs31">'Formula sheet'!$B$167</definedName>
    <definedName name="FSPressHrs310">'Formula sheet'!$M$167</definedName>
    <definedName name="FSPressHrs32">'Formula sheet'!$C$167</definedName>
    <definedName name="FSPressHrs33">'Formula sheet'!$D$167</definedName>
    <definedName name="FSPressHrs34">'Formula sheet'!$E$167</definedName>
    <definedName name="FSPressHrs35">'Formula sheet'!$F$167</definedName>
    <definedName name="FSPressHrs36">'Formula sheet'!$I$167</definedName>
    <definedName name="FSPressHrs37">'Formula sheet'!$J$167</definedName>
    <definedName name="FSPressHrs38">'Formula sheet'!$K$167</definedName>
    <definedName name="FSPressHrs39">'Formula sheet'!$L$167</definedName>
    <definedName name="FSPressHrs41">'Formula sheet'!$B$168</definedName>
    <definedName name="FSPressHrs410">'Formula sheet'!$M$168</definedName>
    <definedName name="FSPressHrs42">'Formula sheet'!$C$168</definedName>
    <definedName name="FSPressHrs43">'Formula sheet'!$D$168</definedName>
    <definedName name="FSPressHrs44">'Formula sheet'!$E$168</definedName>
    <definedName name="FSPressHrs45">'Formula sheet'!$F$168</definedName>
    <definedName name="FSPressHrs46">'Formula sheet'!$I$168</definedName>
    <definedName name="FSPressHrs47">'Formula sheet'!$J$168</definedName>
    <definedName name="FSPressHrs48">'Formula sheet'!$K$168</definedName>
    <definedName name="FSPressHrs49">'Formula sheet'!$L$168</definedName>
    <definedName name="FSPressHrs51">'Formula sheet'!$B$169</definedName>
    <definedName name="FSPressHrs510">'Formula sheet'!$M$169</definedName>
    <definedName name="FSPressHrs52">'Formula sheet'!$C$169</definedName>
    <definedName name="FSPressHrs53">'Formula sheet'!$D$169</definedName>
    <definedName name="FSPressHrs54">'Formula sheet'!$E$169</definedName>
    <definedName name="FSPressHrs55">'Formula sheet'!$F$169</definedName>
    <definedName name="FSPressHrs56">'Formula sheet'!$I$169</definedName>
    <definedName name="FSPressHrs57">'Formula sheet'!$J$169</definedName>
    <definedName name="FSPressHrs58">'Formula sheet'!$K$169</definedName>
    <definedName name="FSPressHrs59">'Formula sheet'!$L$169</definedName>
    <definedName name="FSPressHrs61">'Formula sheet'!$B$170</definedName>
    <definedName name="FSPressHrs610">'Formula sheet'!$M$170</definedName>
    <definedName name="FSPressHrs62">'Formula sheet'!$C$170</definedName>
    <definedName name="FSPressHrs63">'Formula sheet'!$D$170</definedName>
    <definedName name="FSPressHrs64">'Formula sheet'!$E$170</definedName>
    <definedName name="FSPressHrs65">'Formula sheet'!$F$170</definedName>
    <definedName name="FSPressHrs66">'Formula sheet'!$I$170</definedName>
    <definedName name="FSPressHrs67">'Formula sheet'!$J$170</definedName>
    <definedName name="FSPressHrs68">'Formula sheet'!$K$170</definedName>
    <definedName name="FSPressHrs69">'Formula sheet'!$L$170</definedName>
    <definedName name="FSPressHrs71">'Formula sheet'!$B$171</definedName>
    <definedName name="FSPressHrs710">'Formula sheet'!$M$171</definedName>
    <definedName name="FSPressHrs72">'Formula sheet'!$C$171</definedName>
    <definedName name="FSPressHrs73">'Formula sheet'!$D$171</definedName>
    <definedName name="FSPressHrs74">'Formula sheet'!$E$171</definedName>
    <definedName name="FSPressHrs75">'Formula sheet'!$F$171</definedName>
    <definedName name="FSPressHrs76">'Formula sheet'!$I$171</definedName>
    <definedName name="FSPressHrs77">'Formula sheet'!$J$171</definedName>
    <definedName name="FSPressHrs78">'Formula sheet'!$K$171</definedName>
    <definedName name="FSPressHrs79">'Formula sheet'!$L$171</definedName>
    <definedName name="FSPressHrs81">'Formula sheet'!$B$172</definedName>
    <definedName name="FSPressHrs810">'Formula sheet'!$M$172</definedName>
    <definedName name="FSPressHrs82">'Formula sheet'!$C$172</definedName>
    <definedName name="FSPressHrs83">'Formula sheet'!$D$172</definedName>
    <definedName name="FSPressHrs84">'Formula sheet'!$E$172</definedName>
    <definedName name="FSPressHrs85">'Formula sheet'!$F$172</definedName>
    <definedName name="FSPressHrs86">'Formula sheet'!$I$172</definedName>
    <definedName name="FSPressHrs87">'Formula sheet'!$J$172</definedName>
    <definedName name="FSPressHrs88">'Formula sheet'!$K$172</definedName>
    <definedName name="FSPressHrs89">'Formula sheet'!$L$172</definedName>
    <definedName name="FSPressHrs91">'Formula sheet'!$B$173</definedName>
    <definedName name="FSPressHrs910">'Formula sheet'!$M$173</definedName>
    <definedName name="FSPressHrs92">'Formula sheet'!$C$173</definedName>
    <definedName name="FSPressHrs93">'Formula sheet'!$D$173</definedName>
    <definedName name="FSPressHrs94">'Formula sheet'!$E$173</definedName>
    <definedName name="FSPressHrs95">'Formula sheet'!$F$173</definedName>
    <definedName name="FSPressHrs96">'Formula sheet'!$I$173</definedName>
    <definedName name="FSPressHrs97">'Formula sheet'!$J$173</definedName>
    <definedName name="FSPressHrs98">'Formula sheet'!$K$173</definedName>
    <definedName name="FSPressHrs99">'Formula sheet'!$L$173</definedName>
    <definedName name="FSPressInd1">'Formula sheet'!$B$249</definedName>
    <definedName name="FSPressInd10">'Formula sheet'!$M$249</definedName>
    <definedName name="FSPressInd101">'Formula sheet'!$B$294</definedName>
    <definedName name="FSPressInd1010">'Formula sheet'!$M$294</definedName>
    <definedName name="FSPressInd102">'Formula sheet'!$C$294</definedName>
    <definedName name="FSPressInd103">'Formula sheet'!$D$294</definedName>
    <definedName name="FSPressInd104">'Formula sheet'!$E$294</definedName>
    <definedName name="FSPressInd105">'Formula sheet'!$F$294</definedName>
    <definedName name="FSPressInd106">'Formula sheet'!$I$294</definedName>
    <definedName name="FSPressInd107">'Formula sheet'!$J$294</definedName>
    <definedName name="FSPressInd108">'Formula sheet'!$K$294</definedName>
    <definedName name="FSPressInd109">'Formula sheet'!$L$294</definedName>
    <definedName name="FSPressInd2">'Formula sheet'!$C$249</definedName>
    <definedName name="FSPressInd21">'Formula sheet'!$B$254</definedName>
    <definedName name="FSPressInd210">'Formula sheet'!$M$254</definedName>
    <definedName name="FSPressInd22">'Formula sheet'!$C$254</definedName>
    <definedName name="FSPressInd23">'Formula sheet'!$D$254</definedName>
    <definedName name="FSPressInd24">'Formula sheet'!$E$254</definedName>
    <definedName name="FSPressInd25">'Formula sheet'!$F$254</definedName>
    <definedName name="FSPressInd26">'Formula sheet'!$I$254</definedName>
    <definedName name="FSPressInd27">'Formula sheet'!$J$254</definedName>
    <definedName name="FSPressInd28">'Formula sheet'!$K$254</definedName>
    <definedName name="FSPressInd29">'Formula sheet'!$L$254</definedName>
    <definedName name="FSPressInd3">'Formula sheet'!$D$249</definedName>
    <definedName name="FSPressInd31">'Formula sheet'!$B$259</definedName>
    <definedName name="FSPressInd310">'Formula sheet'!$M$259</definedName>
    <definedName name="FSPressInd32">'Formula sheet'!$C$259</definedName>
    <definedName name="FSPressInd33">'Formula sheet'!$D$259</definedName>
    <definedName name="FSPressInd34">'Formula sheet'!$E$259</definedName>
    <definedName name="FSPressInd35">'Formula sheet'!$F$259</definedName>
    <definedName name="FSPressInd36">'Formula sheet'!$I$259</definedName>
    <definedName name="FSPressInd37">'Formula sheet'!$J$259</definedName>
    <definedName name="FSPressInd38">'Formula sheet'!$K$259</definedName>
    <definedName name="FSPressInd39">'Formula sheet'!$L$259</definedName>
    <definedName name="FSPressInd4">'Formula sheet'!$E$249</definedName>
    <definedName name="FSPressInd41">'Formula sheet'!$B$264</definedName>
    <definedName name="FSPressInd410">'Formula sheet'!$M$264</definedName>
    <definedName name="FSPressInd42">'Formula sheet'!$C$264</definedName>
    <definedName name="FSPressInd43">'Formula sheet'!$D$264</definedName>
    <definedName name="FSPressInd44">'Formula sheet'!$E$264</definedName>
    <definedName name="FSPressInd45">'Formula sheet'!$F$264</definedName>
    <definedName name="FSPressInd46">'Formula sheet'!$I$264</definedName>
    <definedName name="FSPressInd47">'Formula sheet'!$J$264</definedName>
    <definedName name="FSPressInd48">'Formula sheet'!$K$264</definedName>
    <definedName name="FSPressInd49">'Formula sheet'!$L$264</definedName>
    <definedName name="FSPressInd5">'Formula sheet'!$F$249</definedName>
    <definedName name="FSPressInd51">'Formula sheet'!$B$269</definedName>
    <definedName name="FSPressInd510">'Formula sheet'!$M$269</definedName>
    <definedName name="FSPressInd52">'Formula sheet'!$C$269</definedName>
    <definedName name="FSPressInd53">'Formula sheet'!$D$269</definedName>
    <definedName name="FSPressInd54">'Formula sheet'!$E$269</definedName>
    <definedName name="FSPressInd55">'Formula sheet'!$F$269</definedName>
    <definedName name="FSPressInd56">'Formula sheet'!$I$269</definedName>
    <definedName name="FSPressInd57">'Formula sheet'!$J$269</definedName>
    <definedName name="FSPressInd58">'Formula sheet'!$K$269</definedName>
    <definedName name="FSPressInd59">'Formula sheet'!$L$269</definedName>
    <definedName name="FSPressInd6">'Formula sheet'!$I$249</definedName>
    <definedName name="FSPressInd61">'Formula sheet'!$B$274</definedName>
    <definedName name="FSPressInd610">'Formula sheet'!$M$274</definedName>
    <definedName name="FSPressInd62">'Formula sheet'!$C$274</definedName>
    <definedName name="FSPressInd63">'Formula sheet'!$D$274</definedName>
    <definedName name="FSPressInd64">'Formula sheet'!$E$274</definedName>
    <definedName name="FSPressInd65">'Formula sheet'!$F$274</definedName>
    <definedName name="FSPressInd66">'Formula sheet'!$I$274</definedName>
    <definedName name="FSPressInd67">'Formula sheet'!$J$274</definedName>
    <definedName name="FSPressInd68">'Formula sheet'!$K$274</definedName>
    <definedName name="FSPressInd69">'Formula sheet'!$L$274</definedName>
    <definedName name="FSPressInd7">'Formula sheet'!$J$249</definedName>
    <definedName name="FSPressInd71">'Formula sheet'!$B$279</definedName>
    <definedName name="FSPressInd710">'Formula sheet'!$M$279</definedName>
    <definedName name="FSPressInd72">'Formula sheet'!$C$279</definedName>
    <definedName name="FSPressInd73">'Formula sheet'!$D$279</definedName>
    <definedName name="FSPressInd74">'Formula sheet'!$E$279</definedName>
    <definedName name="FSPressInd75">'Formula sheet'!$F$279</definedName>
    <definedName name="FSPressInd76">'Formula sheet'!$I$279</definedName>
    <definedName name="FSPressInd77">'Formula sheet'!$J$279</definedName>
    <definedName name="FSPressInd78">'Formula sheet'!$K$279</definedName>
    <definedName name="FSPressInd79">'Formula sheet'!$L$279</definedName>
    <definedName name="FSPressInd8">'Formula sheet'!$K$249</definedName>
    <definedName name="FSPressInd81">'Formula sheet'!$B$284</definedName>
    <definedName name="FSPressInd810">'Formula sheet'!$M$284</definedName>
    <definedName name="FSPressInd82">'Formula sheet'!$C$284</definedName>
    <definedName name="FSPressInd83">'Formula sheet'!$D$284</definedName>
    <definedName name="FSPressInd84">'Formula sheet'!$E$284</definedName>
    <definedName name="FSPressInd85">'Formula sheet'!$F$284</definedName>
    <definedName name="FSPressInd86">'Formula sheet'!$I$284</definedName>
    <definedName name="FSPressInd87">'Formula sheet'!$J$284</definedName>
    <definedName name="FSPressInd88">'Formula sheet'!$K$284</definedName>
    <definedName name="FSPressInd89">'Formula sheet'!$L$284</definedName>
    <definedName name="FSPressInd9">'Formula sheet'!$L$249</definedName>
    <definedName name="FSPressInd91">'Formula sheet'!$B$289</definedName>
    <definedName name="FSPressInd910">'Formula sheet'!$M$289</definedName>
    <definedName name="FSPressInd92">'Formula sheet'!$C$289</definedName>
    <definedName name="FSPressInd93">'Formula sheet'!$D$289</definedName>
    <definedName name="FSPressInd94">'Formula sheet'!$E$289</definedName>
    <definedName name="FSPressInd95">'Formula sheet'!$F$289</definedName>
    <definedName name="FSPressInd96">'Formula sheet'!$I$289</definedName>
    <definedName name="FSPressInd97">'Formula sheet'!$J$289</definedName>
    <definedName name="FSPressInd98">'Formula sheet'!$K$289</definedName>
    <definedName name="FSPressInd99">'Formula sheet'!$L$289</definedName>
    <definedName name="FSPressSales1">'Formula sheet'!$B$220</definedName>
    <definedName name="FSPressSales10">'Formula sheet'!$M$220</definedName>
    <definedName name="FSPressSales2">'Formula sheet'!$C$220</definedName>
    <definedName name="FSPressSales3">'Formula sheet'!$D$220</definedName>
    <definedName name="FSPressSales4">'Formula sheet'!$E$220</definedName>
    <definedName name="FSPressSales5">'Formula sheet'!$F$220</definedName>
    <definedName name="FSPressSales6">'Formula sheet'!$I$220</definedName>
    <definedName name="FSPressSales7">'Formula sheet'!$J$220</definedName>
    <definedName name="FSPressSales8">'Formula sheet'!$K$220</definedName>
    <definedName name="FSPressSales9">'Formula sheet'!$L$220</definedName>
    <definedName name="FSPressShotSize1">'Formula sheet'!$B$384</definedName>
    <definedName name="FSPressShotSize2">'Formula sheet'!$C$384</definedName>
    <definedName name="FSPressTest1">'Formula sheet'!#REF!</definedName>
    <definedName name="FSPressTest2">'Formula sheet'!#REF!</definedName>
    <definedName name="FSPressTest3">'Formula sheet'!#REF!</definedName>
    <definedName name="FSPressTest4">'Formula sheet'!#REF!</definedName>
    <definedName name="FSPressTest5">'Formula sheet'!#REF!</definedName>
    <definedName name="FSPrice1">'Formula sheet'!$B$202</definedName>
    <definedName name="FSPrice10">'Formula sheet'!$M$202</definedName>
    <definedName name="FSPrice2">'Formula sheet'!$C$202</definedName>
    <definedName name="FSPrice3">'Formula sheet'!$D$202</definedName>
    <definedName name="FSPrice4">'Formula sheet'!$E$202</definedName>
    <definedName name="FSPrice5">'Formula sheet'!$F$202</definedName>
    <definedName name="FSPrice6">'Formula sheet'!$I$202</definedName>
    <definedName name="FSPrice7">'Formula sheet'!$J$202</definedName>
    <definedName name="FSPrice8">'Formula sheet'!$K$202</definedName>
    <definedName name="FSPrice9">'Formula sheet'!$L$202</definedName>
    <definedName name="FSPriceAdj1">'Formula sheet'!$B$197</definedName>
    <definedName name="FSPriceAdj10">'Formula sheet'!$M$197</definedName>
    <definedName name="FSPriceAdj2">'Formula sheet'!$C$197</definedName>
    <definedName name="FSPriceAdj3">'Formula sheet'!$D$197</definedName>
    <definedName name="FSPriceAdj4">'Formula sheet'!$E$197</definedName>
    <definedName name="FSPriceAdj5">'Formula sheet'!$F$197</definedName>
    <definedName name="FSPriceAdj6">'Formula sheet'!$I$197</definedName>
    <definedName name="FSPriceAdj7">'Formula sheet'!$J$197</definedName>
    <definedName name="FSPriceAdj8">'Formula sheet'!$K$197</definedName>
    <definedName name="FSPriceAdj9">'Formula sheet'!$L$197</definedName>
    <definedName name="FSPrsIndLogTest1">'Formula sheet'!$B$248</definedName>
    <definedName name="FSPrsIndLogTest10">'Formula sheet'!$M$248</definedName>
    <definedName name="FSPrsIndLogTest101">'Formula sheet'!$B$293</definedName>
    <definedName name="FSPrsIndLogTest1010">'Formula sheet'!$M$293</definedName>
    <definedName name="FSPrsIndLogTest102">'Formula sheet'!$C$293</definedName>
    <definedName name="FSPrsIndLogTest103">'Formula sheet'!$D$293</definedName>
    <definedName name="FSPrsIndLogTest104">'Formula sheet'!$E$293</definedName>
    <definedName name="FSPrsIndLogTest105">'Formula sheet'!$F$293</definedName>
    <definedName name="FSPrsIndLogTest106">'Formula sheet'!$I$293</definedName>
    <definedName name="FSPrsIndLogTest107">'Formula sheet'!$J$293</definedName>
    <definedName name="FSPrsIndLogTest108">'Formula sheet'!$K$293</definedName>
    <definedName name="FSPrsIndLogTest109">'Formula sheet'!$L$293</definedName>
    <definedName name="FSPrsIndLogTest2">'Formula sheet'!$C$248</definedName>
    <definedName name="FSPrsIndLogTest21">'Formula sheet'!$B$253</definedName>
    <definedName name="FSPrsIndLogTest210">'Formula sheet'!$M$253</definedName>
    <definedName name="FSPrsIndLogTest22">'Formula sheet'!$C$253</definedName>
    <definedName name="FSPrsIndLogTest23">'Formula sheet'!$D$253</definedName>
    <definedName name="FSPrsIndLogTest24">'Formula sheet'!$E$253</definedName>
    <definedName name="FSPrsIndLogTest25">'Formula sheet'!$F$253</definedName>
    <definedName name="FSPrsIndLogTest26">'Formula sheet'!$I$253</definedName>
    <definedName name="FSPrsIndLogTest27">'Formula sheet'!$J$253</definedName>
    <definedName name="FSPrsIndLogTest28">'Formula sheet'!$K$253</definedName>
    <definedName name="FSPrsIndLogTest29">'Formula sheet'!$L$253</definedName>
    <definedName name="FSPrsIndLogTest3">'Formula sheet'!$D$248</definedName>
    <definedName name="FSPrsIndLogTest31">'Formula sheet'!$B$258</definedName>
    <definedName name="FSPrsIndLogTest310">'Formula sheet'!$M$258</definedName>
    <definedName name="FSPrsIndLogTest32">'Formula sheet'!$C$258</definedName>
    <definedName name="FSPrsIndLogTest33">'Formula sheet'!$D$258</definedName>
    <definedName name="FSPrsIndLogTest34">'Formula sheet'!$E$258</definedName>
    <definedName name="FSPrsIndLogTest35">'Formula sheet'!$F$258</definedName>
    <definedName name="FSPrsIndLogTest36">'Formula sheet'!$I$258</definedName>
    <definedName name="FSPrsIndLogTest37">'Formula sheet'!$J$258</definedName>
    <definedName name="FSPrsIndLogTest38">'Formula sheet'!$K$258</definedName>
    <definedName name="FSPrsIndLogTest39">'Formula sheet'!$L$258</definedName>
    <definedName name="FSPrsIndLogTest4">'Formula sheet'!$E$248</definedName>
    <definedName name="FSPrsIndLogTest41">'Formula sheet'!$B$263</definedName>
    <definedName name="FSPrsIndLogTest410">'Formula sheet'!$M$263</definedName>
    <definedName name="FSPrsIndLogTest42">'Formula sheet'!$C$263</definedName>
    <definedName name="FSPrsIndLogTest43">'Formula sheet'!$D$263</definedName>
    <definedName name="FSPrsIndLogTest44">'Formula sheet'!$E$263</definedName>
    <definedName name="FSPrsIndLogTest45">'Formula sheet'!$F$263</definedName>
    <definedName name="FSPrsIndLogTest46">'Formula sheet'!$I$263</definedName>
    <definedName name="FSPrsIndLogTest47">'Formula sheet'!$J$263</definedName>
    <definedName name="FSPrsIndLogTest48">'Formula sheet'!$K$263</definedName>
    <definedName name="FSPrsIndLogTest49">'Formula sheet'!$L$263</definedName>
    <definedName name="FSPrsIndLogTest5">'Formula sheet'!$F$248</definedName>
    <definedName name="FSPrsIndLogTest51">'Formula sheet'!$B$268</definedName>
    <definedName name="FSPrsIndLogTest510">'Formula sheet'!$M$268</definedName>
    <definedName name="FSPrsIndLogTest52">'Formula sheet'!$C$268</definedName>
    <definedName name="FSPrsIndLogTest53">'Formula sheet'!$D$268</definedName>
    <definedName name="FSPrsIndLogTest54">'Formula sheet'!$E$268</definedName>
    <definedName name="FSPrsIndLogTest55">'Formula sheet'!$F$268</definedName>
    <definedName name="FSPrsIndLogTest56">'Formula sheet'!$I$268</definedName>
    <definedName name="FSPrsIndLogTest57">'Formula sheet'!$J$268</definedName>
    <definedName name="FSPrsIndLogTest58">'Formula sheet'!$K$268</definedName>
    <definedName name="FSPrsIndLogTest59">'Formula sheet'!$L$268</definedName>
    <definedName name="FSPrsIndLogTest6">'Formula sheet'!$I$248</definedName>
    <definedName name="FSPrsIndLogTest61">'Formula sheet'!$B$273</definedName>
    <definedName name="FSPrsIndLogTest610">'Formula sheet'!$M$273</definedName>
    <definedName name="FSPrsIndLogTest62">'Formula sheet'!$C$273</definedName>
    <definedName name="FSPrsIndLogTest63">'Formula sheet'!$D$273</definedName>
    <definedName name="FSPrsIndLogTest64">'Formula sheet'!$E$273</definedName>
    <definedName name="FSPrsIndLogTest65">'Formula sheet'!$F$273</definedName>
    <definedName name="FSPrsIndLogTest66">'Formula sheet'!$I$273</definedName>
    <definedName name="FSPrsIndLogTest67">'Formula sheet'!$J$273</definedName>
    <definedName name="FSPrsIndLogTest68">'Formula sheet'!$K$273</definedName>
    <definedName name="FSPrsIndLogTest69">'Formula sheet'!$L$273</definedName>
    <definedName name="FSPrsIndLogTest7">'Formula sheet'!$J$248</definedName>
    <definedName name="FSPrsIndLogTest71">'Formula sheet'!$B$278</definedName>
    <definedName name="FSPrsIndLogTest710">'Formula sheet'!$M$278</definedName>
    <definedName name="FSPrsIndLogTest72">'Formula sheet'!$C$278</definedName>
    <definedName name="FSPrsIndLogTest73">'Formula sheet'!$D$278</definedName>
    <definedName name="FSPrsIndLogTest74">'Formula sheet'!$E$278</definedName>
    <definedName name="FSPrsIndLogTest75">'Formula sheet'!$F$278</definedName>
    <definedName name="FSPrsIndLogTest76">'Formula sheet'!$I$278</definedName>
    <definedName name="FSPrsIndLogTest77">'Formula sheet'!$J$278</definedName>
    <definedName name="FSPrsIndLogTest78">'Formula sheet'!$K$278</definedName>
    <definedName name="FSPrsIndLogTest79">'Formula sheet'!$L$278</definedName>
    <definedName name="FSPrsIndLogTest8">'Formula sheet'!$K$248</definedName>
    <definedName name="FSPrsIndLogTest81">'Formula sheet'!$B$283</definedName>
    <definedName name="FSPrsIndLogTest810">'Formula sheet'!$M$283</definedName>
    <definedName name="FSPrsIndLogTest82">'Formula sheet'!$C$283</definedName>
    <definedName name="FSPrsIndLogTest83">'Formula sheet'!$D$283</definedName>
    <definedName name="FSPrsIndLogTest84">'Formula sheet'!$E$283</definedName>
    <definedName name="FSPrsIndLogTest85">'Formula sheet'!$F$283</definedName>
    <definedName name="FSPrsIndLogTest86">'Formula sheet'!$I$283</definedName>
    <definedName name="FSPrsIndLogTest87">'Formula sheet'!$J$283</definedName>
    <definedName name="FSPrsIndLogTest88">'Formula sheet'!$K$283</definedName>
    <definedName name="FSPrsIndLogTest89">'Formula sheet'!$L$283</definedName>
    <definedName name="FSPrsIndLogTest9">'Formula sheet'!$L$248</definedName>
    <definedName name="FSPrsIndLogTest91">'Formula sheet'!$B$288</definedName>
    <definedName name="FSPrsIndLogTest910">'Formula sheet'!$M$288</definedName>
    <definedName name="FSPrsIndLogTest92">'Formula sheet'!$C$288</definedName>
    <definedName name="FSPrsIndLogTest93">'Formula sheet'!$D$288</definedName>
    <definedName name="FSPrsIndLogTest94">'Formula sheet'!$E$288</definedName>
    <definedName name="FSPrsIndLogTest95">'Formula sheet'!$F$288</definedName>
    <definedName name="FSPrsIndLogTest96">'Formula sheet'!$I$288</definedName>
    <definedName name="FSPrsIndLogTest97">'Formula sheet'!$J$288</definedName>
    <definedName name="FSPrsIndLogTest98">'Formula sheet'!$K$288</definedName>
    <definedName name="FSPrsIndLogTest99">'Formula sheet'!$L$288</definedName>
    <definedName name="FSPrsList1">'Master Data'!$A$2</definedName>
    <definedName name="FSPrsList10">'Master Data'!$A$20</definedName>
    <definedName name="FSPrsList11">'Master Data'!$A$21</definedName>
    <definedName name="FSPrsList12">'Formula sheet'!#REF!</definedName>
    <definedName name="FSPrsList13">'Formula sheet'!#REF!</definedName>
    <definedName name="FSPrsList14">'Formula sheet'!#REF!</definedName>
    <definedName name="FSPrsList15">'Formula sheet'!#REF!</definedName>
    <definedName name="FSPrsList16">'Master Data'!$A$22</definedName>
    <definedName name="FSPrsList17">'Master Data'!$A$23</definedName>
    <definedName name="FSPrsList18">'Master Data'!$A$24</definedName>
    <definedName name="FSPrsList19">'Master Data'!$A$25</definedName>
    <definedName name="FSPrsList2">'Master Data'!$A$11</definedName>
    <definedName name="FSPrsList20">'Master Data'!$A$26</definedName>
    <definedName name="FSPrsList21">'Master Data'!$A$27</definedName>
    <definedName name="FSPrsList22">'Master Data'!$A$28</definedName>
    <definedName name="FSPrsList23">'Master Data'!$A$29</definedName>
    <definedName name="FSPrsList24">'Formula sheet'!$A$422</definedName>
    <definedName name="FSPrsList25">'Formula sheet'!$A$433</definedName>
    <definedName name="FSPrsList26">'Formula sheet'!$A$424</definedName>
    <definedName name="FSPrsList3">'Master Data'!$A$13</definedName>
    <definedName name="FSPrsList4">'Master Data'!$A$14</definedName>
    <definedName name="FSPrsList5">'Master Data'!$A$15</definedName>
    <definedName name="FSPrsList6">'Master Data'!$A$16</definedName>
    <definedName name="FSPrsList7">'Master Data'!$A$17</definedName>
    <definedName name="FSPrsList8">'Master Data'!$A$18</definedName>
    <definedName name="FSPrsList9">'Master Data'!$A$19</definedName>
    <definedName name="FSPrsLookup1">'Formula sheet'!#REF!</definedName>
    <definedName name="FSPrsLookup2">'Formula sheet'!#REF!</definedName>
    <definedName name="FSPrsLookup28">'Formula sheet'!#REF!</definedName>
    <definedName name="FSPrsLookup8">'Formula sheet'!#REF!</definedName>
    <definedName name="FSRatio1">'Formula sheet'!$B$226</definedName>
    <definedName name="FSRatio10">'Formula sheet'!$M$226</definedName>
    <definedName name="FSRatio2">'Formula sheet'!$C$226</definedName>
    <definedName name="FSRatio3">'Formula sheet'!$D$226</definedName>
    <definedName name="FSRatio4">'Formula sheet'!$E$226</definedName>
    <definedName name="FSRatio5">'Formula sheet'!$F$226</definedName>
    <definedName name="FSRatio6">'Formula sheet'!$I$226</definedName>
    <definedName name="FSRatio7">'Formula sheet'!$J$226</definedName>
    <definedName name="FSRatio8">'Formula sheet'!$K$226</definedName>
    <definedName name="FSRatio9">'Formula sheet'!$L$226</definedName>
    <definedName name="FSRecalcShotSize1">'Formula sheet'!$B$385</definedName>
    <definedName name="FSRecalcShotSize2">'Formula sheet'!$C$385</definedName>
    <definedName name="FSReduction1">'Formula sheet'!$B$206</definedName>
    <definedName name="FSReduction10">'Formula sheet'!$M$206</definedName>
    <definedName name="FSReduction2">'Formula sheet'!$C$206</definedName>
    <definedName name="FSReduction3">'Formula sheet'!$D$206</definedName>
    <definedName name="FSReduction4">'Formula sheet'!$E$206</definedName>
    <definedName name="FSReduction5">'Formula sheet'!$F$206</definedName>
    <definedName name="FSReduction6">'Formula sheet'!$I$206</definedName>
    <definedName name="FSReduction7">'Formula sheet'!$J$206</definedName>
    <definedName name="FSReduction8">'Formula sheet'!$K$206</definedName>
    <definedName name="FSReduction9">'Formula sheet'!$L$206</definedName>
    <definedName name="FSRegrind1">'Formula sheet'!$B$8</definedName>
    <definedName name="FSRegrind2">'Formula sheet'!$C$8</definedName>
    <definedName name="FSRepCost1">'Formula sheet'!$B$231</definedName>
    <definedName name="FSRepCost10">'Formula sheet'!$M$231</definedName>
    <definedName name="FSRepCost2">'Formula sheet'!$C$231</definedName>
    <definedName name="FSRepCost3">'Formula sheet'!$D$231</definedName>
    <definedName name="FSRepCost4">'Formula sheet'!$E$231</definedName>
    <definedName name="FSRepCost5">'Formula sheet'!$F$231</definedName>
    <definedName name="FSRepCost6">'Formula sheet'!$I$231</definedName>
    <definedName name="FSRepCost7">'Formula sheet'!$J$231</definedName>
    <definedName name="FSRepCost8">'Formula sheet'!$K$231</definedName>
    <definedName name="FSRepCost9">'Formula sheet'!$L$231</definedName>
    <definedName name="FSResinCostPercentage11">'Formula sheet'!$B$209</definedName>
    <definedName name="FSResinCostPercentage12">'Formula sheet'!$C$209</definedName>
    <definedName name="FSResinCostPercentage13">'Formula sheet'!$D$209</definedName>
    <definedName name="FSResinCostPercentage14">'Formula sheet'!$E$209</definedName>
    <definedName name="FSResinCostPercentage15">'Formula sheet'!$F$209</definedName>
    <definedName name="FSResinCostPercentage21">'Formula sheet'!$I$209</definedName>
    <definedName name="FSResinCostPercentage22">'Formula sheet'!$J$209</definedName>
    <definedName name="FSResinCostPercentage23">'Formula sheet'!$K$209</definedName>
    <definedName name="FSResinCostPercentage24">'Formula sheet'!$L$209</definedName>
    <definedName name="FSResinCostPercentage25">'Formula sheet'!$M$209</definedName>
    <definedName name="FSResinTest11">'Formula sheet'!$G$3</definedName>
    <definedName name="FSResinTest110">'Formula sheet'!$G$21</definedName>
    <definedName name="FSResinTest110A">'Formula sheet'!$H$21</definedName>
    <definedName name="FSResinTest110B">'Formula sheet'!$I$21</definedName>
    <definedName name="FSResinTest11A">'Formula sheet'!$H$3</definedName>
    <definedName name="FSResinTest11B">'Formula sheet'!$I$3</definedName>
    <definedName name="FSResinTest12">'Formula sheet'!$G$5</definedName>
    <definedName name="FSResinTest12A">'Formula sheet'!$H$5</definedName>
    <definedName name="FSResinTest12B">'Formula sheet'!$I$5</definedName>
    <definedName name="FSResinTest13">'Formula sheet'!$G$7</definedName>
    <definedName name="FSResinTest13A">'Formula sheet'!$H$7</definedName>
    <definedName name="FSResinTest13B">'Formula sheet'!$I$7</definedName>
    <definedName name="FSResinTest14">'Formula sheet'!$G$9</definedName>
    <definedName name="FSResinTest14A">'Formula sheet'!$H$9</definedName>
    <definedName name="FSResinTest14B">'Formula sheet'!$I$9</definedName>
    <definedName name="FSResinTest15">'Formula sheet'!$G$11</definedName>
    <definedName name="FSResinTest15A">'Formula sheet'!$H$11</definedName>
    <definedName name="FSResinTest15B">'Formula sheet'!$I$11</definedName>
    <definedName name="FSResinTest16">'Formula sheet'!$G$13</definedName>
    <definedName name="FSResinTest16A">'Formula sheet'!$H$13</definedName>
    <definedName name="FSResinTest16B">'Formula sheet'!$I$13</definedName>
    <definedName name="FSResinTest17">'Formula sheet'!$G$15</definedName>
    <definedName name="FSResinTest17A">'Formula sheet'!$H$15</definedName>
    <definedName name="FSResinTest17B">'Formula sheet'!$I$15</definedName>
    <definedName name="FSResinTest18">'Formula sheet'!$G$17</definedName>
    <definedName name="FSResinTest18A">'Formula sheet'!$H$17</definedName>
    <definedName name="FSResinTest18B">'Formula sheet'!$I$17</definedName>
    <definedName name="FSResinTest19">'Formula sheet'!$G$19</definedName>
    <definedName name="FSResinTest19A">'Formula sheet'!$H$19</definedName>
    <definedName name="FSResinTest19B">'Formula sheet'!$I$19</definedName>
    <definedName name="FSResinTest21">'Formula sheet'!$G$38</definedName>
    <definedName name="FSResinTest210">'Formula sheet'!$G$56</definedName>
    <definedName name="FSResinTest210A">'Formula sheet'!$H$56</definedName>
    <definedName name="FSResinTest210B">'Formula sheet'!$I$56</definedName>
    <definedName name="FSResinTest21A">'Formula sheet'!$H$38</definedName>
    <definedName name="FSResinTest21B">'Formula sheet'!$I$38</definedName>
    <definedName name="FSResinTest22">'Formula sheet'!$G$40</definedName>
    <definedName name="FSResinTest22A">'Formula sheet'!$H$40</definedName>
    <definedName name="FSResinTest22B">'Formula sheet'!$I$40</definedName>
    <definedName name="FSResinTest23">'Formula sheet'!$G$42</definedName>
    <definedName name="FSResinTest23A">'Formula sheet'!$H$42</definedName>
    <definedName name="FSResinTest23B">'Formula sheet'!$I$42</definedName>
    <definedName name="FSResinTest24">'Formula sheet'!$G$44</definedName>
    <definedName name="FSResinTest24A">'Formula sheet'!$H$44</definedName>
    <definedName name="FSResinTest24B">'Formula sheet'!$I$44</definedName>
    <definedName name="FSResinTest25">'Formula sheet'!$G$46</definedName>
    <definedName name="FSResinTest25A">'Formula sheet'!$H$46</definedName>
    <definedName name="FSResinTest25B">'Formula sheet'!$I$46</definedName>
    <definedName name="FSResinTest26">'Formula sheet'!$G$48</definedName>
    <definedName name="FSResinTest26A">'Formula sheet'!$H$48</definedName>
    <definedName name="FSResinTest26B">'Formula sheet'!$I$48</definedName>
    <definedName name="FSResinTest27">'Formula sheet'!$G$50</definedName>
    <definedName name="FSResinTest27A">'Formula sheet'!$H$50</definedName>
    <definedName name="FSResinTest27B">'Formula sheet'!$I$50</definedName>
    <definedName name="FSResinTest28">'Formula sheet'!$G$52</definedName>
    <definedName name="FSResinTest28A">'Formula sheet'!$H$52</definedName>
    <definedName name="FSResinTest28B">'Formula sheet'!$I$52</definedName>
    <definedName name="FSResinTest29">'Formula sheet'!$G$54</definedName>
    <definedName name="FSResinTest29A">'Formula sheet'!$H$54</definedName>
    <definedName name="FSResinTest29B">'Formula sheet'!$I$54</definedName>
    <definedName name="FSResinTest31">'Formula sheet'!$G$75</definedName>
    <definedName name="FSResinTest310">'Formula sheet'!$G$93</definedName>
    <definedName name="FSResinTest310A">'Formula sheet'!$H$93</definedName>
    <definedName name="FSResinTest310B">'Formula sheet'!$I$93</definedName>
    <definedName name="FSResinTest31A">'Formula sheet'!$H$75</definedName>
    <definedName name="FSResinTest31B">'Formula sheet'!$I$75</definedName>
    <definedName name="FSResinTest32">'Formula sheet'!$G$77</definedName>
    <definedName name="FSResinTest32A">'Formula sheet'!$H$77</definedName>
    <definedName name="FSResinTest32B">'Formula sheet'!$I$77</definedName>
    <definedName name="FSResinTest33">'Formula sheet'!$G$79</definedName>
    <definedName name="FSResinTest33A">'Formula sheet'!$H$79</definedName>
    <definedName name="FSResinTest33B">'Formula sheet'!$I$79</definedName>
    <definedName name="FSResinTest34">'Formula sheet'!$G$81</definedName>
    <definedName name="FSResinTest34A">'Formula sheet'!$H$81</definedName>
    <definedName name="FSResinTest34B">'Formula sheet'!$I$81</definedName>
    <definedName name="FSResinTest35">'Formula sheet'!$G$83</definedName>
    <definedName name="FSResinTest35A">'Formula sheet'!$H$83</definedName>
    <definedName name="FSResinTest35B">'Formula sheet'!$I$83</definedName>
    <definedName name="FSResinTest36">'Formula sheet'!$G$85</definedName>
    <definedName name="FSResinTest36A">'Formula sheet'!$H$85</definedName>
    <definedName name="FSResinTest36B">'Formula sheet'!$I$85</definedName>
    <definedName name="FSResinTest37">'Formula sheet'!$G$87</definedName>
    <definedName name="FSResinTest37A">'Formula sheet'!$H$87</definedName>
    <definedName name="FSResinTest37B">'Formula sheet'!$I$87</definedName>
    <definedName name="FSResinTest38">'Formula sheet'!$G$89</definedName>
    <definedName name="FSResinTest38A">'Formula sheet'!$H$89</definedName>
    <definedName name="FSResinTest38B">'Formula sheet'!$I$89</definedName>
    <definedName name="FSResinTest39">'Formula sheet'!$G$91</definedName>
    <definedName name="FSResinTest39A">'Formula sheet'!$H$91</definedName>
    <definedName name="FSResinTest39B">'Formula sheet'!$I$91</definedName>
    <definedName name="FSResinTest41">'Formula sheet'!$G$110</definedName>
    <definedName name="FSResinTest410">'Formula sheet'!$G$128</definedName>
    <definedName name="FSResinTest410A">'Formula sheet'!$H$128</definedName>
    <definedName name="FSResinTest410B">'Formula sheet'!$I$128</definedName>
    <definedName name="FSResinTest411">'Formula sheet'!$G$130</definedName>
    <definedName name="FSResinTest411A">'Formula sheet'!$H$130</definedName>
    <definedName name="FSResinTest411B">'Formula sheet'!$I$130</definedName>
    <definedName name="FSResinTest412">'Formula sheet'!$G$132</definedName>
    <definedName name="FSResinTest412A">'Formula sheet'!$H$132</definedName>
    <definedName name="FSResinTest412B">'Formula sheet'!$I$132</definedName>
    <definedName name="FSResinTest413">'Formula sheet'!$G$134</definedName>
    <definedName name="FSResinTest413A">'Formula sheet'!$H$134</definedName>
    <definedName name="FSResinTest413B">'Formula sheet'!$I$134</definedName>
    <definedName name="FSResinTest414">'Formula sheet'!$G$136</definedName>
    <definedName name="FSResinTest414A">'Formula sheet'!$H$136</definedName>
    <definedName name="FSResinTest414B">'Formula sheet'!$I$136</definedName>
    <definedName name="FSResinTest415">'Formula sheet'!$G$138</definedName>
    <definedName name="FSResinTest415A">'Formula sheet'!$H$138</definedName>
    <definedName name="FSResinTest415B">'Formula sheet'!$I$138</definedName>
    <definedName name="FSResinTest41A">'Formula sheet'!$H$110</definedName>
    <definedName name="FSResinTest41B">'Formula sheet'!$I$110</definedName>
    <definedName name="FSResinTest42">'Formula sheet'!$G$112</definedName>
    <definedName name="FSResinTest42A">'Formula sheet'!$H$112</definedName>
    <definedName name="FSResinTest42B">'Formula sheet'!$I$112</definedName>
    <definedName name="FSResinTest43">'Formula sheet'!$G$114</definedName>
    <definedName name="FSResinTest43A">'Formula sheet'!$H$114</definedName>
    <definedName name="FSResinTest43B">'Formula sheet'!$I$114</definedName>
    <definedName name="FSResinTest44">'Formula sheet'!$G$116</definedName>
    <definedName name="FSResinTest44A">'Formula sheet'!$H$116</definedName>
    <definedName name="FSResinTest44B">'Formula sheet'!$I$116</definedName>
    <definedName name="FSResinTest45">'Formula sheet'!$G$118</definedName>
    <definedName name="FSResinTest45A">'Formula sheet'!$H$118</definedName>
    <definedName name="FSResinTest45B">'Formula sheet'!$I$118</definedName>
    <definedName name="FSResinTest46">'Formula sheet'!$G$120</definedName>
    <definedName name="FSResinTest46A">'Formula sheet'!$H$120</definedName>
    <definedName name="FSResinTest46B">'Formula sheet'!$I$120</definedName>
    <definedName name="FSResinTest47">'Formula sheet'!$G$122</definedName>
    <definedName name="FSResinTest47A">'Formula sheet'!$H$122</definedName>
    <definedName name="FSResinTest47B">'Formula sheet'!$I$122</definedName>
    <definedName name="FSResinTest48">'Formula sheet'!$G$124</definedName>
    <definedName name="FSResinTest48A">'Formula sheet'!$H$124</definedName>
    <definedName name="FSResinTest48B">'Formula sheet'!$I$124</definedName>
    <definedName name="FSResinTest49">'Formula sheet'!$G$126</definedName>
    <definedName name="FSResinTest49A">'Formula sheet'!$H$126</definedName>
    <definedName name="FSResinTest49B">'Formula sheet'!$I$126</definedName>
    <definedName name="FSResinTotQty">'Formula sheet'!$B$53</definedName>
    <definedName name="FSResinTotQty1">'Formula sheet'!$C$53</definedName>
    <definedName name="FSResRel1">'Formula sheet'!$B$236</definedName>
    <definedName name="FSResRel10">'Formula sheet'!$M$236</definedName>
    <definedName name="FSResRel2">'Formula sheet'!$C$236</definedName>
    <definedName name="FSResRel3">'Formula sheet'!$D$236</definedName>
    <definedName name="FSResRel4">'Formula sheet'!$E$236</definedName>
    <definedName name="FSResRel5">'Formula sheet'!$F$236</definedName>
    <definedName name="FSResRel6">'Formula sheet'!$I$236</definedName>
    <definedName name="FSResRel7">'Formula sheet'!$J$236</definedName>
    <definedName name="FSResRel8">'Formula sheet'!$K$236</definedName>
    <definedName name="FSResRel9">'Formula sheet'!$L$236</definedName>
    <definedName name="FSResSales1">'Formula sheet'!$B$218</definedName>
    <definedName name="FSResSales10">'Formula sheet'!$M$218</definedName>
    <definedName name="FSResSales2">'Formula sheet'!$C$218</definedName>
    <definedName name="FSResSales3">'Formula sheet'!$D$218</definedName>
    <definedName name="FSResSales4">'Formula sheet'!$E$218</definedName>
    <definedName name="FSResSales5">'Formula sheet'!$F$218</definedName>
    <definedName name="FSResSales6">'Formula sheet'!$I$218</definedName>
    <definedName name="FSResSales7">'Formula sheet'!$J$218</definedName>
    <definedName name="FSResSales8">'Formula sheet'!$K$218</definedName>
    <definedName name="FSResSales9">'Formula sheet'!$L$218</definedName>
    <definedName name="FSRevisedFinalPrice1">'Formula sheet'!$B$207</definedName>
    <definedName name="FSRevisedFinalPrice10">'Formula sheet'!$M$207</definedName>
    <definedName name="FSRevisedFinalPrice2">'Formula sheet'!$C$207</definedName>
    <definedName name="FSRevisedFinalPrice3">'Formula sheet'!$D$207</definedName>
    <definedName name="FSRevisedFinalPrice4">'Formula sheet'!$E$207</definedName>
    <definedName name="FSRevisedFinalPrice5">'Formula sheet'!$F$207</definedName>
    <definedName name="FSRevisedFinalPrice6">'Formula sheet'!$I$207</definedName>
    <definedName name="FSRevisedFinalPrice7">'Formula sheet'!$J$207</definedName>
    <definedName name="FSRevisedFinalPrice8">'Formula sheet'!$K$207</definedName>
    <definedName name="FSRevisedFinalPrice9">'Formula sheet'!$L$207</definedName>
    <definedName name="FSRevMargin1">'Formula sheet'!$B$208</definedName>
    <definedName name="FSRevMargin10">'Formula sheet'!$M$208</definedName>
    <definedName name="FSRevMargin2">'Formula sheet'!$C$208</definedName>
    <definedName name="FSRevMargin3">'Formula sheet'!$D$208</definedName>
    <definedName name="FSRevMargin4">'Formula sheet'!$E$208</definedName>
    <definedName name="FSRevMargin5">'Formula sheet'!$F$208</definedName>
    <definedName name="FSRevMargin6">'Formula sheet'!$I$208</definedName>
    <definedName name="FSRevMargin7">'Formula sheet'!$J$208</definedName>
    <definedName name="FSRevMargin8">'Formula sheet'!$K$208</definedName>
    <definedName name="FSRevMargin9">'Formula sheet'!$L$208</definedName>
    <definedName name="FSRobotCost1">'Formula sheet'!$B$240</definedName>
    <definedName name="FSRobotCost10">'Formula sheet'!$M$240</definedName>
    <definedName name="FSRobotCost2">'Formula sheet'!$C$240</definedName>
    <definedName name="FSRobotCost3">'Formula sheet'!$D$240</definedName>
    <definedName name="FSRobotCost4">'Formula sheet'!$E$240</definedName>
    <definedName name="FSRobotCost5">'Formula sheet'!$F$240</definedName>
    <definedName name="FSRobotCost6">'Formula sheet'!$I$240</definedName>
    <definedName name="FSRobotCost7">'Formula sheet'!$J$240</definedName>
    <definedName name="FSRobotCost8">'Formula sheet'!$K$240</definedName>
    <definedName name="FSRobotCost9">'Formula sheet'!$L$240</definedName>
    <definedName name="FSRobotCostPercentage11">'Formula sheet'!$B$216</definedName>
    <definedName name="FSRobotCostPercentage12">'Formula sheet'!$C$216</definedName>
    <definedName name="FSRobotCostPercentage13">'Formula sheet'!$D$216</definedName>
    <definedName name="FSRobotCostPercentage14">'Formula sheet'!$E$216</definedName>
    <definedName name="FSRobotCostPercentage15">'Formula sheet'!$F$216</definedName>
    <definedName name="FSRobotCostPercentage21">'Formula sheet'!$I$216</definedName>
    <definedName name="FSRobotCostPercentage22">'Formula sheet'!$J$216</definedName>
    <definedName name="FSRobotCostPercentage23">'Formula sheet'!$K$216</definedName>
    <definedName name="FSRobotCostPercentage24">'Formula sheet'!$L$216</definedName>
    <definedName name="FSRobotCostPercentage25">'Formula sheet'!$M$216</definedName>
    <definedName name="FSRobotPrice1">'Formula sheet'!$B$241</definedName>
    <definedName name="FSRobotPrice10">'Formula sheet'!$M$241</definedName>
    <definedName name="FSRobotPrice2">'Formula sheet'!$C$241</definedName>
    <definedName name="FSRobotPrice3">'Formula sheet'!$D$241</definedName>
    <definedName name="FSRobotPrice4">'Formula sheet'!$E$241</definedName>
    <definedName name="FSRobotPrice5">'Formula sheet'!$F$241</definedName>
    <definedName name="FSRobotPrice6">'Formula sheet'!$I$241</definedName>
    <definedName name="FSRobotPrice7">'Formula sheet'!$J$241</definedName>
    <definedName name="FSRobotPrice8">'Formula sheet'!$K$241</definedName>
    <definedName name="FSRobotPrice9">'Formula sheet'!$L$241</definedName>
    <definedName name="FSRobotTest1">'Formula sheet'!$B$239</definedName>
    <definedName name="FSRobotTest10">'Formula sheet'!$M$239</definedName>
    <definedName name="FSRobotTest2">'Formula sheet'!$C$239</definedName>
    <definedName name="FSRobotTest3">'Formula sheet'!$D$239</definedName>
    <definedName name="FSRobotTest4">'Formula sheet'!$E$239</definedName>
    <definedName name="FSRobotTest5">'Formula sheet'!$F$239</definedName>
    <definedName name="FSRobotTest6">'Formula sheet'!$I$239</definedName>
    <definedName name="FSRobotTest7">'Formula sheet'!$J$239</definedName>
    <definedName name="FSRobotTest8">'Formula sheet'!$K$239</definedName>
    <definedName name="FSRobotTest9">'Formula sheet'!$L$239</definedName>
    <definedName name="FSRunCalcCIV1">'Formula sheet'!$B$342</definedName>
    <definedName name="FSRunCalcCIV2">'Formula sheet'!$C$342</definedName>
    <definedName name="FSRunCalcDia">'Formula sheet'!$B$340</definedName>
    <definedName name="FSRunCalcLgth">'Formula sheet'!$B$341</definedName>
    <definedName name="FSRunCalcLgth1">'Formula sheet'!$C$341</definedName>
    <definedName name="FSRunnerWt1">'Formula sheet'!$B$5</definedName>
    <definedName name="FSRunnerWt2">'Formula sheet'!$C$5</definedName>
    <definedName name="FSRunWtCalc1">'Formula sheet'!$B$343</definedName>
    <definedName name="FSRunWtCalc2">'Formula sheet'!$C$343</definedName>
    <definedName name="FSScn1TotPcs">'Formula sheet'!$A$72</definedName>
    <definedName name="FSScn2TotPcs">'Formula sheet'!$B$72</definedName>
    <definedName name="FSScrap1">'Formula sheet'!$B$11</definedName>
    <definedName name="FSScrap2">'Formula sheet'!$C$11</definedName>
    <definedName name="FSSetUp1">'Formula sheet'!$B$187</definedName>
    <definedName name="FSSetUp10">'Formula sheet'!$M$187</definedName>
    <definedName name="FSSetUp2">'Formula sheet'!$C$187</definedName>
    <definedName name="FSSetUp3">'Formula sheet'!$D$187</definedName>
    <definedName name="FSSetUp4">'Formula sheet'!$E$187</definedName>
    <definedName name="FSSetUp5">'Formula sheet'!$F$187</definedName>
    <definedName name="FSSetUp6">'Formula sheet'!$I$187</definedName>
    <definedName name="FSSetUp7">'Formula sheet'!$J$187</definedName>
    <definedName name="FSSetUp8">'Formula sheet'!$K$187</definedName>
    <definedName name="FSSetUp9">'Formula sheet'!$L$187</definedName>
    <definedName name="FSShotSize1">'Formula sheet'!$B$7</definedName>
    <definedName name="FSShotSize2">'Formula sheet'!$C$7</definedName>
    <definedName name="FSShotSizeA1">'Formula sheet'!$B$14</definedName>
    <definedName name="FSShotSizeA2">'Formula sheet'!$C$14</definedName>
    <definedName name="FSShotSizeComparison1">'Formula sheet'!$B$387</definedName>
    <definedName name="FSShotSizeComparison2">'Formula sheet'!$C$387</definedName>
    <definedName name="FSSpecPack">'Formula sheet'!$A$140</definedName>
    <definedName name="FSSpecPack1">'Formula sheet'!$C$140</definedName>
    <definedName name="FSSpecPackCost">'Formula sheet'!$B$140</definedName>
    <definedName name="FSSpecPackCost1">'Formula sheet'!$A$142</definedName>
    <definedName name="FSSpecPackCost2">'Formula sheet'!$C$142</definedName>
    <definedName name="FSSpecPackCostA">'Formula sheet'!$D$140</definedName>
    <definedName name="FSSpecPackPrice1">'Formula sheet'!$B$142</definedName>
    <definedName name="FSSpecPackPrice2">'Formula sheet'!$D$142</definedName>
    <definedName name="FSSprueFactor1">'Formula sheet'!$B$12</definedName>
    <definedName name="FSSprueFactor2">'Formula sheet'!$C$12</definedName>
    <definedName name="FSTargetMar1">'Formula sheet'!$B$204</definedName>
    <definedName name="FSTargetMar10">'Formula sheet'!$M$204</definedName>
    <definedName name="FSTargetMar2">'Formula sheet'!$C$204</definedName>
    <definedName name="FSTargetMar3">'Formula sheet'!$D$204</definedName>
    <definedName name="FSTargetMar4">'Formula sheet'!$E$204</definedName>
    <definedName name="FSTargetMar5">'Formula sheet'!$F$204</definedName>
    <definedName name="FSTargetMar6">'Formula sheet'!$I$204</definedName>
    <definedName name="FSTargetMar7">'Formula sheet'!$J$204</definedName>
    <definedName name="FSTargetMar8">'Formula sheet'!$K$204</definedName>
    <definedName name="FSTargetMar9">'Formula sheet'!$L$204</definedName>
    <definedName name="FStmCostPercentage11">'Formula sheet'!$B$212</definedName>
    <definedName name="FStmCostPercentage12">'Formula sheet'!$C$212</definedName>
    <definedName name="FStmCostPercentage13">'Formula sheet'!$D$212</definedName>
    <definedName name="FStmCostPercentage14">'Formula sheet'!$E$212</definedName>
    <definedName name="FStmCostPercentage15">'Formula sheet'!$F$212</definedName>
    <definedName name="FStmCostPercentage21">'Formula sheet'!$I$212</definedName>
    <definedName name="FStmCostPercentage22">'Formula sheet'!$J$212</definedName>
    <definedName name="FStmCostPercentage23">'Formula sheet'!$K$212</definedName>
    <definedName name="FStmCostPercentage24">'Formula sheet'!$L$212</definedName>
    <definedName name="FStmCostPercentage25">'Formula sheet'!$M$212</definedName>
    <definedName name="FSToolMaint11">'Formula sheet'!$D$91</definedName>
    <definedName name="FSToolMaint12">'Formula sheet'!$D$92</definedName>
    <definedName name="FSToolMaint13">'Formula sheet'!$D$93</definedName>
    <definedName name="FSToolMaint14">'Formula sheet'!$D$94</definedName>
    <definedName name="FSToolMaint15">'Formula sheet'!$D$95</definedName>
    <definedName name="FSToolMaint16">'Formula sheet'!$D$96</definedName>
    <definedName name="FSToolMaint17">'Formula sheet'!$D$97</definedName>
    <definedName name="FSToolMaint17A">'Formula sheet'!$D$98</definedName>
    <definedName name="FSToolMaint17B">'Formula sheet'!$D$99</definedName>
    <definedName name="FSToolMaint18">'Formula sheet'!$D$100</definedName>
    <definedName name="FSToolMaint21">'Formula sheet'!$E$91</definedName>
    <definedName name="FSToolMaint22">'Formula sheet'!$E$92</definedName>
    <definedName name="FSToolMaint23">'Formula sheet'!$E$93</definedName>
    <definedName name="FSToolMaint24">'Formula sheet'!$E$94</definedName>
    <definedName name="FSToolMaint25">'Formula sheet'!$E$95</definedName>
    <definedName name="FSToolMaint26">'Formula sheet'!$E$96</definedName>
    <definedName name="FSToolMaint27">'Formula sheet'!$E$97</definedName>
    <definedName name="FSToolMaint27A">'Formula sheet'!$E$98</definedName>
    <definedName name="FSToolMaint27B">'Formula sheet'!$E$99</definedName>
    <definedName name="FSToolMaint28">'Formula sheet'!$E$100</definedName>
    <definedName name="FSToolMaintCost11">'Formula sheet'!$A$91</definedName>
    <definedName name="FSToolMaintCost12">'Formula sheet'!$A$92</definedName>
    <definedName name="FSToolMaintCost13">'Formula sheet'!$A$93</definedName>
    <definedName name="FSToolMaintCost14">'Formula sheet'!$A$94</definedName>
    <definedName name="FSToolMaintCost15">'Formula sheet'!$A$95</definedName>
    <definedName name="FSToolMaintCost16">'Formula sheet'!$A$96</definedName>
    <definedName name="FSToolMaintCost17">'Formula sheet'!$A$97</definedName>
    <definedName name="FSToolMaintCost17A">'Formula sheet'!$A$98</definedName>
    <definedName name="FSToolMaintCost17B">'Formula sheet'!$A$99</definedName>
    <definedName name="FSToolMaintCost18">'Formula sheet'!$A$100</definedName>
    <definedName name="FSToolMaintCost21">'Formula sheet'!$B$91</definedName>
    <definedName name="FSToolMaintCost22">'Formula sheet'!$B$92</definedName>
    <definedName name="FSToolMaintCost23">'Formula sheet'!$B$93</definedName>
    <definedName name="FSToolMaintCost24">'Formula sheet'!$B$94</definedName>
    <definedName name="FSToolMaintCost25">'Formula sheet'!$B$95</definedName>
    <definedName name="FSToolMaintCost26">'Formula sheet'!$B$96</definedName>
    <definedName name="FSToolMaintCost27">'Formula sheet'!$B$97</definedName>
    <definedName name="FSToolMaintCost27A">'Formula sheet'!$B$98</definedName>
    <definedName name="FSToolMaintCost27B">'Formula sheet'!$B$99</definedName>
    <definedName name="FSToolMaintCost28">'Formula sheet'!$B$100</definedName>
    <definedName name="FSToolMaintCostTot1">'Formula sheet'!$A$101</definedName>
    <definedName name="FSToolMaintCostTot2">'Formula sheet'!$B$101</definedName>
    <definedName name="FSToolPrice1">'Formula sheet'!$B$347</definedName>
    <definedName name="FSToolPrice2">'Formula sheet'!$C$347</definedName>
    <definedName name="FSTotBOJ43">'Formula sheet'!$K$105</definedName>
    <definedName name="FSTotBOJ44">'Formula sheet'!$K$106</definedName>
    <definedName name="FSTotBOJ58">'Formula sheet'!$K$140</definedName>
    <definedName name="FSTotBOJ59">'Formula sheet'!$K$141</definedName>
    <definedName name="FSTotBOK43">'Formula sheet'!$L$105</definedName>
    <definedName name="FSTotBOK44">'Formula sheet'!$L$106</definedName>
    <definedName name="FSTotBOK58">'Formula sheet'!$L$140</definedName>
    <definedName name="FSTotBOK59">'Formula sheet'!$L$141</definedName>
    <definedName name="FSTotBOL43">'Formula sheet'!$M$105</definedName>
    <definedName name="FSTotBOL44">'Formula sheet'!$M$106</definedName>
    <definedName name="FSTotBOL58">'Formula sheet'!$M$140</definedName>
    <definedName name="FSTotBOL59">'Formula sheet'!$M$141</definedName>
    <definedName name="FSTotBOM43">'Formula sheet'!$N$105</definedName>
    <definedName name="FSTotBOM44">'Formula sheet'!$N$106</definedName>
    <definedName name="FSTotBOM58">'Formula sheet'!$N$140</definedName>
    <definedName name="FSTotBOM59">'Formula sheet'!$N$141</definedName>
    <definedName name="FSTotBON43">'Formula sheet'!$O$105</definedName>
    <definedName name="FSTotBON44">'Formula sheet'!$O$106</definedName>
    <definedName name="FSTotBON58">'Formula sheet'!$O$140</definedName>
    <definedName name="FSTotBON59">'Formula sheet'!$O$141</definedName>
    <definedName name="FSTotBurriedPack1">'Formula sheet'!$B$330</definedName>
    <definedName name="FSTotBurriedPack2">'Formula sheet'!$C$330</definedName>
    <definedName name="FSTotHrs1">'Formula sheet'!$B$175</definedName>
    <definedName name="FSTotHrs10">'Formula sheet'!$M$175</definedName>
    <definedName name="FSTotHrs2">'Formula sheet'!$C$175</definedName>
    <definedName name="FSTotHrs3">'Formula sheet'!$D$175</definedName>
    <definedName name="FSTotHrs4">'Formula sheet'!$E$175</definedName>
    <definedName name="FSTotHrs5">'Formula sheet'!$F$175</definedName>
    <definedName name="FSTotHrs6">'Formula sheet'!$I$175</definedName>
    <definedName name="FSTotHrs7">'Formula sheet'!$J$175</definedName>
    <definedName name="FSTotHrs8">'Formula sheet'!$K$175</definedName>
    <definedName name="FSTotHrs9">'Formula sheet'!$L$175</definedName>
    <definedName name="FSTotMatJ13">'Formula sheet'!$K$33</definedName>
    <definedName name="FSTotMatJ14">'Formula sheet'!$K$34</definedName>
    <definedName name="FSTotMatJ28">'Formula sheet'!$K$68</definedName>
    <definedName name="FSTotMatJ29">'Formula sheet'!$K$69</definedName>
    <definedName name="FSTotMatK13">'Formula sheet'!$L$33</definedName>
    <definedName name="FSTotMatK14">'Formula sheet'!$L$34</definedName>
    <definedName name="FSTotMatK28">'Formula sheet'!$L$68</definedName>
    <definedName name="FSTotMatK29">'Formula sheet'!$L$69</definedName>
    <definedName name="FSTotMatL13">'Formula sheet'!$M$33</definedName>
    <definedName name="FSTotMatL14">'Formula sheet'!$M$34</definedName>
    <definedName name="FSTotMatL28">'Formula sheet'!$M$68</definedName>
    <definedName name="FSTotMatL29">'Formula sheet'!$M$69</definedName>
    <definedName name="FSTotMatM13">'Formula sheet'!$N$33</definedName>
    <definedName name="FSTotMatM14">'Formula sheet'!$N$34</definedName>
    <definedName name="FSTotMatM28">'Formula sheet'!$N$68</definedName>
    <definedName name="FSTotMatM29">'Formula sheet'!$N$69</definedName>
    <definedName name="FSTotMatN13">'Formula sheet'!$O$33</definedName>
    <definedName name="FSTotMatN14">'Formula sheet'!$O$34</definedName>
    <definedName name="FSTotMatN28">'Formula sheet'!$O$68</definedName>
    <definedName name="FSTotMatN29">'Formula sheet'!$O$69</definedName>
    <definedName name="FSTotMin1">'Formula sheet'!$A$130</definedName>
    <definedName name="FSTotMin2">'Formula sheet'!$B$130</definedName>
    <definedName name="FSTotMinRel1">'Formula sheet'!$B$298</definedName>
    <definedName name="FSTotMinRel10">'Formula sheet'!$M$298</definedName>
    <definedName name="FSTotMinRel2">'Formula sheet'!$C$298</definedName>
    <definedName name="FSTotMinRel3">'Formula sheet'!$D$298</definedName>
    <definedName name="FSTotMinRel4">'Formula sheet'!$E$298</definedName>
    <definedName name="FSTotMinRel5">'Formula sheet'!$F$298</definedName>
    <definedName name="FSTotMinRel6">'Formula sheet'!$I$298</definedName>
    <definedName name="FSTotMinRel7">'Formula sheet'!$J$298</definedName>
    <definedName name="FSTotMinRel8">'Formula sheet'!$K$298</definedName>
    <definedName name="FSTotMinRel9">'Formula sheet'!$L$298</definedName>
    <definedName name="FSTotRes1">'Formula sheet'!$B$235</definedName>
    <definedName name="FSTotRes10">'Formula sheet'!$M$235</definedName>
    <definedName name="FSTotRes2">'Formula sheet'!$C$235</definedName>
    <definedName name="FSTotRes3">'Formula sheet'!$D$235</definedName>
    <definedName name="FSTotRes4">'Formula sheet'!$E$235</definedName>
    <definedName name="FSTotRes5">'Formula sheet'!$F$235</definedName>
    <definedName name="FSTotRes6">'Formula sheet'!$I$235</definedName>
    <definedName name="FSTotRes7">'Formula sheet'!$J$235</definedName>
    <definedName name="FSTotRes8">'Formula sheet'!$K$235</definedName>
    <definedName name="FSTotRes9">'Formula sheet'!$L$235</definedName>
    <definedName name="FSVAHour1">'Formula sheet'!$B$245</definedName>
    <definedName name="FSVAHour10">'Formula sheet'!$M$245</definedName>
    <definedName name="FSVAHour2">'Formula sheet'!$C$245</definedName>
    <definedName name="FSVAHour3">'Formula sheet'!$D$245</definedName>
    <definedName name="FSVAHour4">'Formula sheet'!$E$245</definedName>
    <definedName name="FSVAHour5">'Formula sheet'!$F$245</definedName>
    <definedName name="FSVAHour6">'Formula sheet'!$I$245</definedName>
    <definedName name="FSVAHour7">'Formula sheet'!$J$245</definedName>
    <definedName name="FSVAHour8">'Formula sheet'!$K$245</definedName>
    <definedName name="FSVAHour9">'Formula sheet'!$L$245</definedName>
    <definedName name="FSWgtCIVol">'Formula sheet'!$E$340</definedName>
    <definedName name="FSWgtMetricVol">'Formula sheet'!$E$341</definedName>
    <definedName name="GFLADDER1">'Formula sheet'!$B$353</definedName>
    <definedName name="GFLADDER2">'Formula sheet'!$C$353</definedName>
    <definedName name="GFLFactor1">'Formula sheet'!$B$350</definedName>
    <definedName name="GFLFactor2">'Formula sheet'!$C$350</definedName>
    <definedName name="GFLFlag">'Quote Entry'!$N$119</definedName>
    <definedName name="GFLMultiplier">'Variable Sheet'!$B$5</definedName>
    <definedName name="GFLOnNoteA">Notes!$C$119</definedName>
    <definedName name="GFLOnNoteAA">Notes!$C$120</definedName>
    <definedName name="GFLOnNoteAAA">Notes!$G$120</definedName>
    <definedName name="Hierarchy1">'Master Data'!$E$2:$E$9</definedName>
    <definedName name="Hierarchy2">'Master Data'!$F$2:$F$7</definedName>
    <definedName name="Hierarchy3">'Master Data'!$G$2:$G$7</definedName>
    <definedName name="HotRunner1">'Formula sheet'!$B$357</definedName>
    <definedName name="HotRunner10">'Formula sheet'!$B$366</definedName>
    <definedName name="HotRunner2">'Formula sheet'!$B$358</definedName>
    <definedName name="HotRunner3">'Formula sheet'!$B$359</definedName>
    <definedName name="HotRunner4">'Formula sheet'!$B$360</definedName>
    <definedName name="HotRunner5">'Formula sheet'!$B$361</definedName>
    <definedName name="HotRunner6">'Formula sheet'!$B$362</definedName>
    <definedName name="HotRunner7">'Formula sheet'!$B$363</definedName>
    <definedName name="HotRunner8">'Formula sheet'!$B$364</definedName>
    <definedName name="HotRunner9">'Formula sheet'!$B$365</definedName>
    <definedName name="HotRunnerFlag">'Quote Entry'!$N$116</definedName>
    <definedName name="HRSFactor">'Variable Sheet'!$B$4</definedName>
    <definedName name="IntNote250">'Quote Entry'!$B$185</definedName>
    <definedName name="LogTestMat1">'Formula sheet'!$B$180</definedName>
    <definedName name="LogTestMat10">'Formula sheet'!$M$180</definedName>
    <definedName name="LogTestMat2">'Formula sheet'!$C$180</definedName>
    <definedName name="LogTestMat3">'Formula sheet'!$D$180</definedName>
    <definedName name="LogTestMat4">'Formula sheet'!$E$180</definedName>
    <definedName name="LogTestMat5">'Formula sheet'!$F$180</definedName>
    <definedName name="LogTestMat6">'Formula sheet'!$I$180</definedName>
    <definedName name="LogTestMat7">'Formula sheet'!$J$180</definedName>
    <definedName name="LogTestMat8">'Formula sheet'!$K$180</definedName>
    <definedName name="LogTestMat9">'Formula sheet'!$L$180</definedName>
    <definedName name="MarketCodes">'Master Data'!$D$2:$D$8</definedName>
    <definedName name="_Mat10">'Quote Entry'!$G$30</definedName>
    <definedName name="_Mat102">'Quote Entry'!$H$30</definedName>
    <definedName name="_Mat103">'Quote Entry'!$I$30</definedName>
    <definedName name="_Mat104">'Quote Entry'!$J$30</definedName>
    <definedName name="_Mat105">'Quote Entry'!$K$30</definedName>
    <definedName name="_Mat11">'Quote Entry'!$G$32</definedName>
    <definedName name="_Mat112">'Quote Entry'!$H$32</definedName>
    <definedName name="_Mat113">'Quote Entry'!$I$32</definedName>
    <definedName name="_Mat114">'Quote Entry'!$J$32</definedName>
    <definedName name="_Mat115">'Quote Entry'!$K$32</definedName>
    <definedName name="_Mat12">'Quote Entry'!$G$34</definedName>
    <definedName name="_Mat122">'Quote Entry'!$H$34</definedName>
    <definedName name="_Mat123">'Quote Entry'!$I$34</definedName>
    <definedName name="_Mat124">'Quote Entry'!$J$34</definedName>
    <definedName name="_Mat125">'Quote Entry'!$K$34</definedName>
    <definedName name="_Mat13">'Quote Entry'!$G$36</definedName>
    <definedName name="_Mat132">'Quote Entry'!$H$36</definedName>
    <definedName name="_Mat133">'Quote Entry'!$I$36</definedName>
    <definedName name="_Mat134">'Quote Entry'!$J$36</definedName>
    <definedName name="_Mat135">'Quote Entry'!$K$36</definedName>
    <definedName name="_Mat14">'Quote Entry'!$G$38</definedName>
    <definedName name="_Mat142">'Quote Entry'!$H$38</definedName>
    <definedName name="_Mat143">'Quote Entry'!$I$38</definedName>
    <definedName name="_Mat144">'Quote Entry'!$J$38</definedName>
    <definedName name="_Mat145">'Quote Entry'!$K$38</definedName>
    <definedName name="_Mat15">'Quote Entry'!$G$40</definedName>
    <definedName name="_Mat152">'Quote Entry'!$H$40</definedName>
    <definedName name="_Mat153">'Quote Entry'!$I$40</definedName>
    <definedName name="_Mat154">'Quote Entry'!$J$40</definedName>
    <definedName name="_Mat155">'Quote Entry'!$K$40</definedName>
    <definedName name="_Mat6">'Quote Entry'!$G$22</definedName>
    <definedName name="_Mat62">'Quote Entry'!$H$22</definedName>
    <definedName name="_Mat63">'Quote Entry'!$I$22</definedName>
    <definedName name="_Mat64">'Quote Entry'!$J$22</definedName>
    <definedName name="_Mat65">'Quote Entry'!$K$22</definedName>
    <definedName name="_Mat7">'Quote Entry'!$G$24</definedName>
    <definedName name="_Mat72">'Quote Entry'!$H$24</definedName>
    <definedName name="_Mat73">'Quote Entry'!$I$24</definedName>
    <definedName name="_Mat74">'Quote Entry'!$J$24</definedName>
    <definedName name="_Mat75">'Quote Entry'!$K$24</definedName>
    <definedName name="_Mat8">'Quote Entry'!$G$26</definedName>
    <definedName name="_Mat82">'Quote Entry'!$H$26</definedName>
    <definedName name="_Mat83">'Quote Entry'!$I$26</definedName>
    <definedName name="_Mat84">'Quote Entry'!$J$26</definedName>
    <definedName name="_Mat85">'Quote Entry'!$K$26</definedName>
    <definedName name="_Mat9">'Quote Entry'!$G$28</definedName>
    <definedName name="_Mat92">'Quote Entry'!$H$28</definedName>
    <definedName name="_Mat93">'Quote Entry'!$I$28</definedName>
    <definedName name="_Mat94">'Quote Entry'!$J$28</definedName>
    <definedName name="_Mat95">'Quote Entry'!$K$28</definedName>
    <definedName name="MatFive">'Quote Entry'!$G$20</definedName>
    <definedName name="MatFive2">'Quote Entry'!$H$20</definedName>
    <definedName name="MatFive3">'Quote Entry'!$I$20</definedName>
    <definedName name="MatFive4">'Quote Entry'!$J$20</definedName>
    <definedName name="MatFive5">'Quote Entry'!$K$20</definedName>
    <definedName name="MatFour">'Quote Entry'!$G$18</definedName>
    <definedName name="MatFour2">'Quote Entry'!$H$18</definedName>
    <definedName name="MatFour3">'Quote Entry'!$I$18</definedName>
    <definedName name="MatFour4">'Quote Entry'!$J$18</definedName>
    <definedName name="MatFour5">'Quote Entry'!$K$18</definedName>
    <definedName name="Matl10Req">'Quote Entry'!$E$30</definedName>
    <definedName name="Matl11Req">'Quote Entry'!$E$32</definedName>
    <definedName name="Matl12Req">'Quote Entry'!$E$34</definedName>
    <definedName name="Matl13Req">'Quote Entry'!$E$36</definedName>
    <definedName name="Matl14Req">'Quote Entry'!$E$38</definedName>
    <definedName name="Matl15Req">'Quote Entry'!$E$40</definedName>
    <definedName name="Matl6Req">'Quote Entry'!$E$22</definedName>
    <definedName name="Matl7Req">'Quote Entry'!$E$24</definedName>
    <definedName name="Matl8Req">'Quote Entry'!$E$26</definedName>
    <definedName name="Matl9Req">'Quote Entry'!$E$28</definedName>
    <definedName name="MatlfiveReq">'Quote Entry'!$E$20</definedName>
    <definedName name="MatlfourReq">'Quote Entry'!$E$18</definedName>
    <definedName name="MatlOneReq">'Quote Entry'!$E$12</definedName>
    <definedName name="MatlThreeReq">'Quote Entry'!$E$16</definedName>
    <definedName name="MatlTwoReq">'Quote Entry'!$E$14</definedName>
    <definedName name="MatOne">'Quote Entry'!$G$12</definedName>
    <definedName name="MatOne2">'Quote Entry'!$H$12</definedName>
    <definedName name="MatOne3">'Quote Entry'!$I$12</definedName>
    <definedName name="MatOne4">'Quote Entry'!$J$12</definedName>
    <definedName name="MatOne5">'Quote Entry'!$K$12</definedName>
    <definedName name="MatThree">'Quote Entry'!$G$16</definedName>
    <definedName name="MatThree2">'Quote Entry'!$H$16</definedName>
    <definedName name="MatThree3">'Quote Entry'!$I$16</definedName>
    <definedName name="MatThree4">'Quote Entry'!$J$16</definedName>
    <definedName name="MatThree5">'Quote Entry'!$K$16</definedName>
    <definedName name="MatTwo">'Quote Entry'!$G$14</definedName>
    <definedName name="MatTwo2">'Quote Entry'!$H$14</definedName>
    <definedName name="MatTwo3">'Quote Entry'!$I$14</definedName>
    <definedName name="MatTwo4">'Quote Entry'!$J$14</definedName>
    <definedName name="MatTwo5">'Quote Entry'!$K$14</definedName>
    <definedName name="MCAutom1">#REF!</definedName>
    <definedName name="MCAutom2">#REF!</definedName>
    <definedName name="MCAutom3">#REF!</definedName>
    <definedName name="MCClose1">#REF!</definedName>
    <definedName name="MCClose2">#REF!</definedName>
    <definedName name="MCClose3">#REF!</definedName>
    <definedName name="MCEAV1">#REF!</definedName>
    <definedName name="MCEAV2">#REF!</definedName>
    <definedName name="MCEAV3">#REF!</definedName>
    <definedName name="MCMold1">#REF!</definedName>
    <definedName name="MCMold2">#REF!</definedName>
    <definedName name="MCMold3">#REF!</definedName>
    <definedName name="MCOpsRate1">#REF!</definedName>
    <definedName name="MCOpsRate2">#REF!</definedName>
    <definedName name="MCOpsRate3">#REF!</definedName>
    <definedName name="MCPlant1">#REF!</definedName>
    <definedName name="MCPlant2">#REF!</definedName>
    <definedName name="MCPlant3">#REF!</definedName>
    <definedName name="MCPrRate1">#REF!</definedName>
    <definedName name="MCPrRate2">#REF!</definedName>
    <definedName name="MCPrRate3">#REF!</definedName>
    <definedName name="MDMoldType">'Master Data'!$J$2:$J$3</definedName>
    <definedName name="MDPlantList">'Master Data'!$K$2:$K$4</definedName>
    <definedName name="Metric">Calculator!#REF!</definedName>
    <definedName name="MfgConceptPrintFlag">#REF!</definedName>
    <definedName name="MinRel1">'Quote Entry'!$B$157</definedName>
    <definedName name="MinRel10">'Quote Entry'!$L$157</definedName>
    <definedName name="MinRel2">'Quote Entry'!$C$157</definedName>
    <definedName name="MinRel3">'Quote Entry'!$D$157</definedName>
    <definedName name="MinRel4">'Quote Entry'!$E$157</definedName>
    <definedName name="MinRel5">'Quote Entry'!$F$157</definedName>
    <definedName name="MinRel6">'Quote Entry'!$H$157</definedName>
    <definedName name="MinRel7">'Quote Entry'!$I$157</definedName>
    <definedName name="MinRel8">'Quote Entry'!$J$157</definedName>
    <definedName name="MinRel9">'Quote Entry'!$K$157</definedName>
    <definedName name="MinRelFlag">'Quote Entry'!$N$121</definedName>
    <definedName name="MinShip1">'Quote Entry'!$B$158</definedName>
    <definedName name="MinShip10">'Quote Entry'!$L$158</definedName>
    <definedName name="MinShip2">'Quote Entry'!$C$158</definedName>
    <definedName name="MinShip3">'Quote Entry'!$D$158</definedName>
    <definedName name="MinShip4">'Quote Entry'!$E$158</definedName>
    <definedName name="MinShip5">'Quote Entry'!$F$158</definedName>
    <definedName name="MinShip6">'Quote Entry'!$H$158</definedName>
    <definedName name="MinShip7">'Quote Entry'!$I$158</definedName>
    <definedName name="MinShip8">'Quote Entry'!$J$158</definedName>
    <definedName name="MinShip9">'Quote Entry'!$K$158</definedName>
    <definedName name="MinShipFlag">'Quote Entry'!$N$123</definedName>
    <definedName name="MuCell1">'Formula sheet'!$B$369</definedName>
    <definedName name="MuCell2">'Formula sheet'!$B$370</definedName>
    <definedName name="MucellFactor11">'Formula sheet'!$C$369</definedName>
    <definedName name="MucellFactor12">'Formula sheet'!$C$370</definedName>
    <definedName name="MuCellFlag">'Quote Entry'!$N$115</definedName>
    <definedName name="MucellMultiplier1">'Formula sheet'!#REF!</definedName>
    <definedName name="MucellMultiplier2">'Formula sheet'!#REF!</definedName>
    <definedName name="MuCellNote">Notes!$C$48:$C$68</definedName>
    <definedName name="MuCellNoteA">Notes!$C$151</definedName>
    <definedName name="Notes142">Notes!$C$96</definedName>
    <definedName name="Notes158">Notes!$C$110</definedName>
    <definedName name="NotesAmort1">Notes!$C$145</definedName>
    <definedName name="NotesAmort2">Notes!$C$146</definedName>
    <definedName name="NotesFLSalesTax">Notes!#REF!</definedName>
    <definedName name="NotesGearEnd">Notes!#REF!</definedName>
    <definedName name="NotesGearStart">Notes!$C$122</definedName>
    <definedName name="NotesInsertEnd">Notes!$C$94</definedName>
    <definedName name="NotesInsertStart">Notes!$C$71</definedName>
    <definedName name="NotesPAEnd">Notes!$C$118</definedName>
    <definedName name="NotesPAStart">Notes!$C$111</definedName>
    <definedName name="NotesProtoEnd">Notes!$C$141</definedName>
    <definedName name="NotesProtoStart">Notes!$C$136</definedName>
    <definedName name="OtherSheets">'Master Data'!$I$2:$I$12</definedName>
    <definedName name="PartWeight">Calculator!$H$1</definedName>
    <definedName name="PFAddr">'Precision Foam'!$A$14</definedName>
    <definedName name="PFCitySt">'Precision Foam'!$A$16</definedName>
    <definedName name="PFCustAttn">'Precision Foam'!$A$13</definedName>
    <definedName name="PFCustName">'Precision Foam'!$A$12</definedName>
    <definedName name="PFPOBox">'Precision Foam'!$A$15</definedName>
    <definedName name="PFSalutation">'Precision Foam'!$A$19</definedName>
    <definedName name="Plant2101Rate">PressRate!$A$1</definedName>
    <definedName name="Plant2101ToolRate">PressRate!$A$24</definedName>
    <definedName name="Plant2103Rate">PressRate!$F$1</definedName>
    <definedName name="Plant2103ToolRate">PressRate!$F$24</definedName>
    <definedName name="Plant2104Note">Notes!$C$134</definedName>
    <definedName name="Plant2104Rate">PressRate!$K$1</definedName>
    <definedName name="Plant2104ToolRate">PressRate!$K$24</definedName>
    <definedName name="PreDevPrice1">'Formula sheet'!#REF!</definedName>
    <definedName name="PreDevPrice2">'Formula sheet'!#REF!</definedName>
    <definedName name="PreDevPrice3">'Formula sheet'!#REF!</definedName>
    <definedName name="PreDevPrice4">'Formula sheet'!#REF!</definedName>
    <definedName name="PreDevPrice5">'Formula sheet'!#REF!</definedName>
    <definedName name="PrePr1">'Formula sheet'!$B$198</definedName>
    <definedName name="PrePr10">'Formula sheet'!$M$198</definedName>
    <definedName name="PrePr2">'Formula sheet'!$C$198</definedName>
    <definedName name="PrePr21">'Formula sheet'!$B$200</definedName>
    <definedName name="PrePr210">'Formula sheet'!$M$200</definedName>
    <definedName name="PrePr22">'Formula sheet'!$C$200</definedName>
    <definedName name="PrePr23">'Formula sheet'!$D$200</definedName>
    <definedName name="PrePr24">'Formula sheet'!$E$200</definedName>
    <definedName name="PrePr25">'Formula sheet'!$F$200</definedName>
    <definedName name="PrePr26">'Formula sheet'!$I$200</definedName>
    <definedName name="PrePr27">'Formula sheet'!$J$200</definedName>
    <definedName name="PrePr28">'Formula sheet'!$K$200</definedName>
    <definedName name="PrePr29">'Formula sheet'!$L$200</definedName>
    <definedName name="PrePr3">'Formula sheet'!$D$198</definedName>
    <definedName name="PrePr4">'Formula sheet'!$E$198</definedName>
    <definedName name="PrePr5">'Formula sheet'!$F$198</definedName>
    <definedName name="PrePr6">'Formula sheet'!$I$198</definedName>
    <definedName name="PrePr7">'Formula sheet'!$J$198</definedName>
    <definedName name="PrePr8">'Formula sheet'!$K$198</definedName>
    <definedName name="PrePr9">'Formula sheet'!$L$198</definedName>
    <definedName name="Press1">'Quote Entry'!$B$45</definedName>
    <definedName name="Press10">'Quote Entry'!$B$69</definedName>
    <definedName name="Press2">'Quote Entry'!$B$49</definedName>
    <definedName name="Press2101">PressRate!$A$4:$A$22</definedName>
    <definedName name="Press2103">PressRate!$F$4:$F$16</definedName>
    <definedName name="Press2104">PressRate!$A$4:$A$22</definedName>
    <definedName name="Press2104A">PressRate!$K$4:$K$13</definedName>
    <definedName name="Press3">'Quote Entry'!$B$53</definedName>
    <definedName name="Press4">'Quote Entry'!$B$57</definedName>
    <definedName name="Press5">'Quote Entry'!$B$61</definedName>
    <definedName name="Press6">'Quote Entry'!$B$73</definedName>
    <definedName name="Press7">'Quote Entry'!$B$77</definedName>
    <definedName name="Press8">'Quote Entry'!$B$81</definedName>
    <definedName name="Press9">'Quote Entry'!$B$65</definedName>
    <definedName name="PressList">'Formula sheet'!$A$420:$A$424</definedName>
    <definedName name="PriceAdjuster1">'Quote Entry'!$B$131</definedName>
    <definedName name="PriceAdjuster12">'Quote Entry'!$C$131</definedName>
    <definedName name="PriceAdjuster13">'Quote Entry'!$D$131</definedName>
    <definedName name="PriceAdjuster14">'Quote Entry'!$E$131</definedName>
    <definedName name="PriceAdjuster15">'Quote Entry'!$F$131</definedName>
    <definedName name="PriceAdjuster2">'Quote Entry'!$H$131</definedName>
    <definedName name="PriceAdjuster22">'Quote Entry'!$I$131</definedName>
    <definedName name="PriceAdjuster23">'Quote Entry'!$J$131</definedName>
    <definedName name="PriceAdjuster24">'Quote Entry'!$K$131</definedName>
    <definedName name="PriceAdjuster25">'Quote Entry'!$L$131</definedName>
    <definedName name="PriceDev31">'Formula sheet'!#REF!</definedName>
    <definedName name="PriceDev310">'Formula sheet'!#REF!</definedName>
    <definedName name="PriceDev32">'Formula sheet'!#REF!</definedName>
    <definedName name="PriceDev33">'Formula sheet'!#REF!</definedName>
    <definedName name="PriceDev34">'Formula sheet'!#REF!</definedName>
    <definedName name="PriceDev35">'Formula sheet'!#REF!</definedName>
    <definedName name="PriceDev36">'Formula sheet'!#REF!</definedName>
    <definedName name="PriceDev37">'Formula sheet'!#REF!</definedName>
    <definedName name="PriceDev38">'Formula sheet'!#REF!</definedName>
    <definedName name="PriceDev39">'Formula sheet'!#REF!</definedName>
    <definedName name="PriceDev51">'Formula sheet'!#REF!</definedName>
    <definedName name="PriceDev510">'Formula sheet'!#REF!</definedName>
    <definedName name="PriceDev52">'Formula sheet'!#REF!</definedName>
    <definedName name="PriceDev53">'Formula sheet'!#REF!</definedName>
    <definedName name="PriceDev54">'Formula sheet'!#REF!</definedName>
    <definedName name="PriceDev55">'Formula sheet'!#REF!</definedName>
    <definedName name="PriceDev56">'Formula sheet'!#REF!</definedName>
    <definedName name="PriceDev57">'Formula sheet'!#REF!</definedName>
    <definedName name="PriceDev58">'Formula sheet'!#REF!</definedName>
    <definedName name="PriceDev59">'Formula sheet'!#REF!</definedName>
    <definedName name="_xlnm.Print_Area" localSheetId="4">'Autoliv Mold Cost Breakdown'!$D$1:$T$52</definedName>
    <definedName name="_xlnm.Print_Area" localSheetId="7">'Cost Breakdown'!$D$1:$H$62</definedName>
    <definedName name="_xlnm.Print_Area" localSheetId="8">'Cost Breakdown Two'!$D$1:$H$62</definedName>
    <definedName name="PrintSecurityEnd">'Quote Entry'!$C$224</definedName>
    <definedName name="PrintSecurityEndA">'Quote Entry'!$O$226</definedName>
    <definedName name="PrintSecurityStart">'Quote Entry'!$B$213</definedName>
    <definedName name="PrintSecurityStartA">'Quote Entry'!$C$213</definedName>
    <definedName name="PRList">'Master Data'!$A$2:$A$43</definedName>
    <definedName name="ProjAnalNotesStart">Notes!$C$1</definedName>
    <definedName name="PRPackAmt">PressRate!$M$19</definedName>
    <definedName name="PRPackAmt1">PressRate!$N$29</definedName>
    <definedName name="PRPackAmt1A">PressRate!$M$29</definedName>
    <definedName name="PSPack">'Packaging Sheet'!$A$3:$A$28</definedName>
    <definedName name="PSPackArray">'Packaging Sheet'!$A$3:$B$28</definedName>
    <definedName name="PSPackDol">'Packaging Sheet'!$B$3:$B$28</definedName>
    <definedName name="QEAmortAmt1">'Quote Entry'!$I$89</definedName>
    <definedName name="QEAmortAmt2">'Quote Entry'!$I$90</definedName>
    <definedName name="QEAmortYears">'Quote Entry'!$I$91</definedName>
    <definedName name="QEAnnSale1">'Quote Entry'!$B$143</definedName>
    <definedName name="QEAnnSale10">'Quote Entry'!$L$143</definedName>
    <definedName name="QEAnnSale2">'Quote Entry'!$C$143</definedName>
    <definedName name="QEAnnSale3">'Quote Entry'!$D$143</definedName>
    <definedName name="QEAnnSale4">'Quote Entry'!$E$143</definedName>
    <definedName name="QEAnnSale5">'Quote Entry'!$F$143</definedName>
    <definedName name="QEAnnSale6">'Quote Entry'!$H$143</definedName>
    <definedName name="QEAnnSale7">'Quote Entry'!$I$143</definedName>
    <definedName name="QEAnnSale8">'Quote Entry'!$J$143</definedName>
    <definedName name="QEAnnSale9">'Quote Entry'!$K$143</definedName>
    <definedName name="QEAutoCost1">'Quote Entry'!$L$90</definedName>
    <definedName name="QEAutoCost2">'Quote Entry'!$M$90</definedName>
    <definedName name="QEAutomationCost">'Quote Entry'!$B$89</definedName>
    <definedName name="QEAutomationCost2">'Quote Entry'!$C$89</definedName>
    <definedName name="QEAutoPrice1">'Quote Entry'!$L$91</definedName>
    <definedName name="QEAutoPrice2">'Quote Entry'!$M$91</definedName>
    <definedName name="_QEB90">'Quote Entry'!$B$90</definedName>
    <definedName name="QEBurriedPack1">'Quote Entry'!$E$91</definedName>
    <definedName name="QEBurriedPack2">'Quote Entry'!$F$91</definedName>
    <definedName name="QEBuyout">'Quote Entry'!$A$149</definedName>
    <definedName name="_QEC90">'Quote Entry'!$C$90</definedName>
    <definedName name="QECalcMar1">'Quote Entry'!$B$133</definedName>
    <definedName name="QECalcMar10">'Quote Entry'!$L$133</definedName>
    <definedName name="QECalcMar2">'Quote Entry'!$C$133</definedName>
    <definedName name="QECalcMar3">'Quote Entry'!$D$133</definedName>
    <definedName name="QECalcMar4">'Quote Entry'!$E$133</definedName>
    <definedName name="QECalcMar5">'Quote Entry'!$F$133</definedName>
    <definedName name="QECalcMar6">'Quote Entry'!$H$133</definedName>
    <definedName name="QECalcMar7">'Quote Entry'!$I$133</definedName>
    <definedName name="QECalcMar8">'Quote Entry'!$J$133</definedName>
    <definedName name="QECalcMar9">'Quote Entry'!$K$133</definedName>
    <definedName name="QECavPrs1">'Quote Entry'!$D$45</definedName>
    <definedName name="QECavPrs10">'Quote Entry'!$D$81</definedName>
    <definedName name="QECavPrs2">'Quote Entry'!$D$49</definedName>
    <definedName name="QECavPrs21">'Quote Entry'!$E$45</definedName>
    <definedName name="QECavPrs210">'Quote Entry'!$E$81</definedName>
    <definedName name="QECavPrs22">'Quote Entry'!$E$49</definedName>
    <definedName name="QECavPrs23">'Quote Entry'!$E$53</definedName>
    <definedName name="QECavPrs24">'Quote Entry'!$E$57</definedName>
    <definedName name="QECavPrs25">'Quote Entry'!$E$61</definedName>
    <definedName name="QECavPrs26">'Quote Entry'!$E$65</definedName>
    <definedName name="QECavPrs27">'Quote Entry'!$E$69</definedName>
    <definedName name="QECavPrs28">'Quote Entry'!$E$73</definedName>
    <definedName name="QECavPrs29">'Quote Entry'!$E$77</definedName>
    <definedName name="QECavPrs3">'Quote Entry'!$D$53</definedName>
    <definedName name="QECavPrs4">'Quote Entry'!$D$57</definedName>
    <definedName name="QECavPrs5">'Quote Entry'!$D$61</definedName>
    <definedName name="QECavPrs6">'Quote Entry'!$D$65</definedName>
    <definedName name="QECavPrs7">'Quote Entry'!$D$69</definedName>
    <definedName name="QECavPrs8">'Quote Entry'!$D$73</definedName>
    <definedName name="QECavPrs9">'Quote Entry'!$D$77</definedName>
    <definedName name="QECommVal">'Quote Entry'!$F$3</definedName>
    <definedName name="QECustAttn">'Quote Entry'!$B$6</definedName>
    <definedName name="QECustFax">'Quote Entry'!$B$8</definedName>
    <definedName name="QECustInq">'Quote Entry'!$D$5</definedName>
    <definedName name="QECustName">'Quote Entry'!$B$5</definedName>
    <definedName name="QECustNum">'Quote Entry'!$B$3</definedName>
    <definedName name="QECustPhone">'Quote Entry'!$B$7</definedName>
    <definedName name="QECycle1">'Quote Entry'!$N$45</definedName>
    <definedName name="QECycle10">'Quote Entry'!$N$69</definedName>
    <definedName name="QECycle2">'Quote Entry'!$N$49</definedName>
    <definedName name="QECycle3">'Quote Entry'!$N$53</definedName>
    <definedName name="QECycle4">'Quote Entry'!$N$73</definedName>
    <definedName name="QECycle5">'Quote Entry'!$N$77</definedName>
    <definedName name="QECycle6">'Quote Entry'!$N$57</definedName>
    <definedName name="QECycle7">'Quote Entry'!$N$61</definedName>
    <definedName name="QECycle8">'Quote Entry'!$N$81</definedName>
    <definedName name="QECycle9">'Quote Entry'!$N$65</definedName>
    <definedName name="QEDateDue">'Quote Entry'!$D$7</definedName>
    <definedName name="QEDateRec">'Quote Entry'!$D$6</definedName>
    <definedName name="QEDeselect1">'Quote Entry'!$B$146</definedName>
    <definedName name="QEDeselect10">'Quote Entry'!$L$146</definedName>
    <definedName name="QEDeselect2">'Quote Entry'!$C$146</definedName>
    <definedName name="QEDeselect3">'Quote Entry'!$D$146</definedName>
    <definedName name="QEDeselect4">'Quote Entry'!$E$146</definedName>
    <definedName name="QEDeselect5">'Quote Entry'!$F$146</definedName>
    <definedName name="QEDeselect6">'Quote Entry'!$H$146</definedName>
    <definedName name="QEDeselect7">'Quote Entry'!$I$146</definedName>
    <definedName name="QEDeselect8">'Quote Entry'!$J$146</definedName>
    <definedName name="QEDeselect9">'Quote Entry'!$K$146</definedName>
    <definedName name="QEEndReport">'Quote Entry'!$C$212</definedName>
    <definedName name="QEEst">'Quote Entry'!$F$6</definedName>
    <definedName name="QEEstMoldPrice1">'Quote Entry'!$L$89</definedName>
    <definedName name="QEEstMoldPrice2">'Quote Entry'!$M$89</definedName>
    <definedName name="QEFinalPrice1">'Quote Entry'!$B$136</definedName>
    <definedName name="QEFinalPrice10">'Quote Entry'!$L$136</definedName>
    <definedName name="QEFinalPrice2">'Quote Entry'!$C$136</definedName>
    <definedName name="QEFinalPrice3">'Quote Entry'!$D$136</definedName>
    <definedName name="QEFinalPrice4">'Quote Entry'!$E$136</definedName>
    <definedName name="QEFinalPrice5">'Quote Entry'!$F$136</definedName>
    <definedName name="QEFinalPrice6">'Quote Entry'!$H$136</definedName>
    <definedName name="QEFinalPrice7">'Quote Entry'!$I$136</definedName>
    <definedName name="QEFinalPrice8">'Quote Entry'!$J$136</definedName>
    <definedName name="QEFinalPrice9">'Quote Entry'!$K$136</definedName>
    <definedName name="QEFinMinShip1">'Formula sheet'!$B$305</definedName>
    <definedName name="QEFinMinShip10">'Formula sheet'!$M$305</definedName>
    <definedName name="QEFinMinShip2">'Formula sheet'!$C$305</definedName>
    <definedName name="QEFinMinShip3">'Formula sheet'!$D$305</definedName>
    <definedName name="QEFinMinShip4">'Formula sheet'!$E$305</definedName>
    <definedName name="QEFinMinShip5">'Formula sheet'!$F$305</definedName>
    <definedName name="QEFinMinShip6">'Formula sheet'!$I$305</definedName>
    <definedName name="QEFinMinShip7">'Formula sheet'!$J$305</definedName>
    <definedName name="QEFinMinShip8">'Formula sheet'!$K$305</definedName>
    <definedName name="QEFinMinShip9">'Formula sheet'!$L$305</definedName>
    <definedName name="QEFinPriceStart">'Quote Entry'!$A$136</definedName>
    <definedName name="QEGFLRobot">'Quote Entry'!$A$154</definedName>
    <definedName name="QEHierarchy1">'Quote Entry'!$F$7</definedName>
    <definedName name="QEHierarchy2">'Quote Entry'!$F$8</definedName>
    <definedName name="QEHierarchy3">'Quote Entry'!$F$9</definedName>
    <definedName name="QELabor">'Quote Entry'!$A$152</definedName>
    <definedName name="QELaborRate1">'Quote Entry'!$M$45</definedName>
    <definedName name="QELaborRate10">'Quote Entry'!$M$69</definedName>
    <definedName name="QELaborRate2">'Quote Entry'!$M$49</definedName>
    <definedName name="QELaborRate3">'Quote Entry'!$M$53</definedName>
    <definedName name="QELaborRate4">'Quote Entry'!$M$73</definedName>
    <definedName name="QELaborRate5">'Quote Entry'!$M$77</definedName>
    <definedName name="QELaborRate6">'Quote Entry'!$M$57</definedName>
    <definedName name="QELaborRate7">'Quote Entry'!$M$61</definedName>
    <definedName name="QELaborRate8">'Quote Entry'!$M$81</definedName>
    <definedName name="QELaborRate9">'Quote Entry'!$M$65</definedName>
    <definedName name="QEMarketCode">'Quote Entry'!$D$9</definedName>
    <definedName name="QEMat10Cost1">'Quote Entry'!$G$31</definedName>
    <definedName name="QEMat10Cost2">'Quote Entry'!$H$31</definedName>
    <definedName name="QEMat10Cost3">'Quote Entry'!$I$31</definedName>
    <definedName name="QEMat10Cost4">'Quote Entry'!$J$31</definedName>
    <definedName name="QEMat10Cost5">'Quote Entry'!$K$31</definedName>
    <definedName name="QEMat1Cost1">'Quote Entry'!$G$13</definedName>
    <definedName name="QEMat1Cost2">'Quote Entry'!$H$13</definedName>
    <definedName name="QEMat1Cost3">'Quote Entry'!$I$13</definedName>
    <definedName name="QEMat1Cost4">'Quote Entry'!$J$13</definedName>
    <definedName name="QEMat1Cost5">'Quote Entry'!$K$13</definedName>
    <definedName name="QEMat2Cost1">'Quote Entry'!$G$15</definedName>
    <definedName name="QEMat2Cost2">'Quote Entry'!$H$15</definedName>
    <definedName name="QEMat2Cost3">'Quote Entry'!$I$15</definedName>
    <definedName name="QEMat2Cost4">'Quote Entry'!$J$15</definedName>
    <definedName name="QEMat2Cost5">'Quote Entry'!$K$15</definedName>
    <definedName name="QEMat3Cost1">'Quote Entry'!$G$17</definedName>
    <definedName name="QEMat3Cost2">'Quote Entry'!$H$17</definedName>
    <definedName name="QEMat3Cost3">'Quote Entry'!$I$17</definedName>
    <definedName name="QEMat3Cost4">'Quote Entry'!$J$17</definedName>
    <definedName name="QEMat3Cost5">'Quote Entry'!$K$17</definedName>
    <definedName name="QEMat4Cost1">'Quote Entry'!$G$19</definedName>
    <definedName name="QEMat4Cost2">'Quote Entry'!$H$19</definedName>
    <definedName name="QEMat4Cost3">'Quote Entry'!$I$19</definedName>
    <definedName name="QEMat4Cost4">'Quote Entry'!$J$19</definedName>
    <definedName name="QEMat4Cost5">'Quote Entry'!$K$19</definedName>
    <definedName name="QEMat5Cost1">'Quote Entry'!$G$21</definedName>
    <definedName name="QEMat5Cost2">'Quote Entry'!$H$21</definedName>
    <definedName name="QEMat5Cost3">'Quote Entry'!$I$21</definedName>
    <definedName name="QEMat5Cost4">'Quote Entry'!$J$21</definedName>
    <definedName name="QEMat5Cost5">'Quote Entry'!$K$21</definedName>
    <definedName name="QEMat6Cost1">'Quote Entry'!$G$23</definedName>
    <definedName name="QEMat6Cost2">'Quote Entry'!$H$23</definedName>
    <definedName name="QEMat6Cost3">'Quote Entry'!$I$23</definedName>
    <definedName name="QEMat6Cost4">'Quote Entry'!$J$23</definedName>
    <definedName name="QEMat6Cost5">'Quote Entry'!$K$23</definedName>
    <definedName name="QEMat7Cost1">'Quote Entry'!$G$25</definedName>
    <definedName name="QEMat7Cost2">'Quote Entry'!$H$25</definedName>
    <definedName name="QEMat7Cost3">'Quote Entry'!$I$25</definedName>
    <definedName name="QEMat7Cost4">'Quote Entry'!$J$25</definedName>
    <definedName name="QEMat7Cost5">'Quote Entry'!$K$25</definedName>
    <definedName name="QEMat8Cost1">'Quote Entry'!$G$27</definedName>
    <definedName name="QEMat8Cost2">'Quote Entry'!$H$27</definedName>
    <definedName name="QEMat8Cost3">'Quote Entry'!$I$27</definedName>
    <definedName name="QEMat8Cost4">'Quote Entry'!$J$27</definedName>
    <definedName name="QEMat8Cost5">'Quote Entry'!$K$27</definedName>
    <definedName name="QEMat9Cost1">'Quote Entry'!$G$29</definedName>
    <definedName name="QEMat9Cost2">'Quote Entry'!$H$29</definedName>
    <definedName name="QEMat9Cost3">'Quote Entry'!$I$29</definedName>
    <definedName name="QEMat9Cost4">'Quote Entry'!$J$29</definedName>
    <definedName name="QEMat9Cost5">'Quote Entry'!$K$29</definedName>
    <definedName name="QEMatCostM1">'Quote Entry'!#REF!</definedName>
    <definedName name="QEMatCostM10">'Quote Entry'!#REF!</definedName>
    <definedName name="QEMatCostM2">'Quote Entry'!#REF!</definedName>
    <definedName name="QEMatCostM3">'Quote Entry'!#REF!</definedName>
    <definedName name="QEMatCostM4">'Quote Entry'!#REF!</definedName>
    <definedName name="QEMatCostM5">'Quote Entry'!#REF!</definedName>
    <definedName name="QEMatCostM6">'Quote Entry'!#REF!</definedName>
    <definedName name="QEMatCostM7">'Quote Entry'!#REF!</definedName>
    <definedName name="QEMatCostM8">'Quote Entry'!#REF!</definedName>
    <definedName name="QEMatCostM9">'Quote Entry'!#REF!</definedName>
    <definedName name="QEMaterial1">'Quote Entry'!$A$12</definedName>
    <definedName name="QEMaterial10">'Quote Entry'!$A$30</definedName>
    <definedName name="QEMaterial2">'Quote Entry'!$A$14</definedName>
    <definedName name="QEMaterial3">'Quote Entry'!$A$16</definedName>
    <definedName name="QEMaterial4">'Quote Entry'!$A$18</definedName>
    <definedName name="QEMaterial5">'Quote Entry'!$A$20</definedName>
    <definedName name="QEMaterial6">'Quote Entry'!$A$22</definedName>
    <definedName name="QEMaterial7">'Quote Entry'!$A$24</definedName>
    <definedName name="QEMaterial8">'Quote Entry'!$A$26</definedName>
    <definedName name="QEMaterial9">'Quote Entry'!$A$28</definedName>
    <definedName name="QEMatl10">'Quote Entry'!$B$30</definedName>
    <definedName name="QEMatl11">'Quote Entry'!$B$32</definedName>
    <definedName name="QEMatl12">'Quote Entry'!$B$34</definedName>
    <definedName name="QEMatl13">'Quote Entry'!$B$36</definedName>
    <definedName name="QEMatl14">'Quote Entry'!$B$38</definedName>
    <definedName name="QEMatl15">'Quote Entry'!$B$40</definedName>
    <definedName name="QEMatl6">'Quote Entry'!$B$22</definedName>
    <definedName name="QEMatl7">'Quote Entry'!$B$24</definedName>
    <definedName name="QEMatl8">'Quote Entry'!$B$26</definedName>
    <definedName name="QEMatl9">'Quote Entry'!$B$28</definedName>
    <definedName name="QEMatlFive">'Quote Entry'!$B$20</definedName>
    <definedName name="QEMatlFour">'Quote Entry'!$B$18</definedName>
    <definedName name="QEMatlInsertFlag">'Quote Entry'!$A$42</definedName>
    <definedName name="QEMatlMU1">'Quote Entry'!$F$12</definedName>
    <definedName name="QEMatlMU10">'Quote Entry'!$F$30</definedName>
    <definedName name="QEMatlMU11">'Quote Entry'!$F$32</definedName>
    <definedName name="QEMatlMU12">'Quote Entry'!$F$34</definedName>
    <definedName name="QEMatlMU13">'Quote Entry'!$F$36</definedName>
    <definedName name="QEMatlMU14">'Quote Entry'!$F$38</definedName>
    <definedName name="QEMatlMU15">'Quote Entry'!$F$40</definedName>
    <definedName name="QEMatlMU2">'Quote Entry'!$F$14</definedName>
    <definedName name="QEMatlMU3">'Quote Entry'!$F$16</definedName>
    <definedName name="QEMatlMU4">'Quote Entry'!$F$18</definedName>
    <definedName name="QEMatlMU5">'Quote Entry'!$F$20</definedName>
    <definedName name="QEMatlMU6">'Quote Entry'!$F$22</definedName>
    <definedName name="QEMatlMU7">'Quote Entry'!$F$24</definedName>
    <definedName name="QEMatlMU8">'Quote Entry'!$F$26</definedName>
    <definedName name="QEMatlMU9">'Quote Entry'!$F$28</definedName>
    <definedName name="QEMatlOne">'Quote Entry'!$B$12</definedName>
    <definedName name="QEMatlScr10">'Quote Entry'!$C$30</definedName>
    <definedName name="QEMatlScr11">'Quote Entry'!$C$32</definedName>
    <definedName name="QEMatlScr12">'Quote Entry'!$C$34</definedName>
    <definedName name="QEMatlScr13">'Quote Entry'!$C$36</definedName>
    <definedName name="QEMatlScr14">'Quote Entry'!$C$38</definedName>
    <definedName name="QEMatlScr15">'Quote Entry'!$C$40</definedName>
    <definedName name="QEMatlScr6">'Quote Entry'!$C$22</definedName>
    <definedName name="QEMatlScr7">'Quote Entry'!$C$24</definedName>
    <definedName name="QEMatlScr8">'Quote Entry'!$C$26</definedName>
    <definedName name="QEMatlScr9">'Quote Entry'!$C$28</definedName>
    <definedName name="QEMatlScrFive">'Quote Entry'!$C$20</definedName>
    <definedName name="QEMatlScrFour">'Quote Entry'!$C$18</definedName>
    <definedName name="QEMatlScrOne">'Quote Entry'!$C$12</definedName>
    <definedName name="QEMatlScrThree">'Quote Entry'!$C$16</definedName>
    <definedName name="QEMatlScrTwo">'Quote Entry'!$C$14</definedName>
    <definedName name="QEMatlThree">'Quote Entry'!$B$16</definedName>
    <definedName name="QEMatlTwo">'Quote Entry'!$B$14</definedName>
    <definedName name="QEMatlYield">'Quote Entry'!$B$42</definedName>
    <definedName name="QEMatStart">'Quote Entry'!$B$11</definedName>
    <definedName name="QEMatType1">'Quote Entry'!$D$12</definedName>
    <definedName name="QEMatType10">'Quote Entry'!$D$30</definedName>
    <definedName name="QEMatType11">'Quote Entry'!$D$32</definedName>
    <definedName name="QEMatType12">'Quote Entry'!$D$34</definedName>
    <definedName name="QEMatType13">'Quote Entry'!$D$36</definedName>
    <definedName name="QEMatType14">'Quote Entry'!$D$38</definedName>
    <definedName name="QEMatType15">'Quote Entry'!$D$40</definedName>
    <definedName name="QEMatType2">'Quote Entry'!$D$14</definedName>
    <definedName name="QEMatType3">'Quote Entry'!$D$16</definedName>
    <definedName name="QEMatType4">'Quote Entry'!$D$18</definedName>
    <definedName name="QEMatType5">'Quote Entry'!$D$20</definedName>
    <definedName name="QEMatType6">'Quote Entry'!$D$22</definedName>
    <definedName name="QEMatType7">'Quote Entry'!$D$24</definedName>
    <definedName name="QEMatType8">'Quote Entry'!$D$26</definedName>
    <definedName name="QEMatType9">'Quote Entry'!$D$28</definedName>
    <definedName name="QEMfgRate1">'Quote Entry'!$F$45</definedName>
    <definedName name="QEMfgRate10">'Quote Entry'!$F$69</definedName>
    <definedName name="QEMfgRate2">'Quote Entry'!$F$49</definedName>
    <definedName name="QEMfgRate3">'Quote Entry'!$F$53</definedName>
    <definedName name="QEMfgRate4">'Quote Entry'!$F$73</definedName>
    <definedName name="QEMfgRate5">'Quote Entry'!$F$77</definedName>
    <definedName name="QEMfgRate6">'Quote Entry'!$F$57</definedName>
    <definedName name="QEMfgRate7">'Quote Entry'!$F$61</definedName>
    <definedName name="QEMfgRate8">'Quote Entry'!$F$81</definedName>
    <definedName name="QEMfgRate9">'Quote Entry'!$F$65</definedName>
    <definedName name="QEMin">'Quote Entry'!$A$153</definedName>
    <definedName name="QEMin1">'Quote Entry'!$H$45</definedName>
    <definedName name="QEMin10">'Quote Entry'!$H$69</definedName>
    <definedName name="QEMin2">'Quote Entry'!$H$49</definedName>
    <definedName name="QEMin3">'Quote Entry'!$H$53</definedName>
    <definedName name="QEMin4">'Quote Entry'!$H$73</definedName>
    <definedName name="QEMin5">'Quote Entry'!$H$77</definedName>
    <definedName name="QEMin6">'Quote Entry'!$H$57</definedName>
    <definedName name="QEMin7">'Quote Entry'!$H$61</definedName>
    <definedName name="QEMin8">'Quote Entry'!$H$81</definedName>
    <definedName name="QEMin9">'Quote Entry'!$H$65</definedName>
    <definedName name="QEMinCost1">'Quote Entry'!$I$45</definedName>
    <definedName name="QEMinCost10">'Quote Entry'!$I$69</definedName>
    <definedName name="QEMinCost2">'Quote Entry'!$I$49</definedName>
    <definedName name="QEMinCost3">'Quote Entry'!$I$53</definedName>
    <definedName name="QEMinCost4">'Quote Entry'!$I$73</definedName>
    <definedName name="QEMinCost5">'Quote Entry'!$I$77</definedName>
    <definedName name="QEMinCost6">'Quote Entry'!$I$57</definedName>
    <definedName name="QEMinCost7">'Quote Entry'!$I$61</definedName>
    <definedName name="QEMinCost8">'Quote Entry'!$I$81</definedName>
    <definedName name="QEMinCost9">'Quote Entry'!$I$65</definedName>
    <definedName name="QEMinRel1">'Formula sheet'!$B$302</definedName>
    <definedName name="QEMinRel10">'Formula sheet'!$M$302</definedName>
    <definedName name="QEMinRel1012">'Formula sheet'!$M$306</definedName>
    <definedName name="QEMinRel112">'Formula sheet'!$B$306</definedName>
    <definedName name="QEMinRel2">'Formula sheet'!$C$302</definedName>
    <definedName name="QEMinRel212">'Formula sheet'!$C$306</definedName>
    <definedName name="QEMinRel3">'Formula sheet'!$D$302</definedName>
    <definedName name="QEMinRel312">'Formula sheet'!$D$306</definedName>
    <definedName name="QEMinRel4">'Formula sheet'!$E$302</definedName>
    <definedName name="QEMinRel412">'Formula sheet'!$E$306</definedName>
    <definedName name="QEMinRel5">'Formula sheet'!$F$302</definedName>
    <definedName name="QEMinRel512">'Formula sheet'!$F$306</definedName>
    <definedName name="QEMinRel6">'Formula sheet'!$I$302</definedName>
    <definedName name="QEMinRel612">'Formula sheet'!$I$306</definedName>
    <definedName name="QEMinRel7">'Formula sheet'!$J$302</definedName>
    <definedName name="QEMinRel712">'Formula sheet'!$J$306</definedName>
    <definedName name="QEMinRel8">'Formula sheet'!$K$302</definedName>
    <definedName name="QEMinRel812">'Formula sheet'!$K$306</definedName>
    <definedName name="QEMinRel9">'Formula sheet'!$L$302</definedName>
    <definedName name="QEMinRel912">'Formula sheet'!$L$306</definedName>
    <definedName name="QEMinRelFlag">'Quote Entry'!$N$122</definedName>
    <definedName name="QEMinShip1">'Formula sheet'!$B$303</definedName>
    <definedName name="QEMinShip10">'Formula sheet'!$M$303</definedName>
    <definedName name="QEMinShip2">'Formula sheet'!$C$303</definedName>
    <definedName name="QEMinShip3">'Formula sheet'!$D$303</definedName>
    <definedName name="QEMinShip4">'Formula sheet'!$E$303</definedName>
    <definedName name="QEMinShip5">'Formula sheet'!$F$303</definedName>
    <definedName name="QEMinShip6">'Formula sheet'!$I$303</definedName>
    <definedName name="QEMinShip7">'Formula sheet'!$J$303</definedName>
    <definedName name="QEMinShip8">'Formula sheet'!$K$303</definedName>
    <definedName name="QEMinShip8X1">'Formula sheet'!$B$304</definedName>
    <definedName name="QEMinShip8X10">'Formula sheet'!$M$304</definedName>
    <definedName name="QEMinShip8X2">'Formula sheet'!$C$304</definedName>
    <definedName name="QEMinShip8X3">'Formula sheet'!$D$304</definedName>
    <definedName name="QEMinShip8X4">'Formula sheet'!$E$304</definedName>
    <definedName name="QEMinShip8X5">'Formula sheet'!$F$304</definedName>
    <definedName name="QEMinShip8X6">'Formula sheet'!$I$304</definedName>
    <definedName name="QEMinShip8X7">'Formula sheet'!$J$304</definedName>
    <definedName name="QEMinShip8X8">'Formula sheet'!$K$304</definedName>
    <definedName name="QEMinShip8X9">'Formula sheet'!$L$304</definedName>
    <definedName name="QEMinShip9">'Formula sheet'!$L$303</definedName>
    <definedName name="QEMinShipFlag">'Quote Entry'!$N$124</definedName>
    <definedName name="QEMoldCost">'Quote Entry'!$L$87</definedName>
    <definedName name="QEMoldCost2">'Quote Entry'!$M$87</definedName>
    <definedName name="QEMoldQual">'Quote Entry'!$L$88</definedName>
    <definedName name="QEMoldQual2">'Quote Entry'!$M$88</definedName>
    <definedName name="QEOper1">'Quote Entry'!$L$45</definedName>
    <definedName name="QEOper10">'Quote Entry'!$L$69</definedName>
    <definedName name="QEOper2">'Quote Entry'!$L$49</definedName>
    <definedName name="QEOper3">'Quote Entry'!$L$53</definedName>
    <definedName name="QEOper4">'Quote Entry'!$L$73</definedName>
    <definedName name="QEOper5">'Quote Entry'!$L$77</definedName>
    <definedName name="QEOper6">'Quote Entry'!$L$57</definedName>
    <definedName name="QEOper7">'Quote Entry'!$L$61</definedName>
    <definedName name="QEOper8">'Quote Entry'!$L$81</definedName>
    <definedName name="QEOper9">'Quote Entry'!$L$65</definedName>
    <definedName name="QEOpsDesc1">'Quote Entry'!$B$46</definedName>
    <definedName name="QEOpsDesc10">'Quote Entry'!$B$70</definedName>
    <definedName name="QEOpsDesc2">'Quote Entry'!$B$50</definedName>
    <definedName name="QEOpsDesc3">'Quote Entry'!$B$54</definedName>
    <definedName name="QEOpsDesc4">'Quote Entry'!$B$58</definedName>
    <definedName name="QEOpsDesc5">'Quote Entry'!$B$62</definedName>
    <definedName name="QEOpsDesc6">'Quote Entry'!$B$74</definedName>
    <definedName name="QEOpsDesc7">'Quote Entry'!$B$78</definedName>
    <definedName name="QEOpsDesc8">'Quote Entry'!$B$82</definedName>
    <definedName name="QEOpsDesc9">'Quote Entry'!$B$66</definedName>
    <definedName name="QEOrder">'Quote Entry'!$F$5</definedName>
    <definedName name="QEOrder1">'Quote Entry'!$G$5</definedName>
    <definedName name="QEPack">'Quote Entry'!$A$156</definedName>
    <definedName name="QEPackCost">'Quote Entry'!$E$90</definedName>
    <definedName name="QEPackCost1">'Quote Entry'!$F$90</definedName>
    <definedName name="QEPartWeight1">'Quote Entry'!$M$3</definedName>
    <definedName name="QEPartWeight2">'Quote Entry'!$N$3</definedName>
    <definedName name="QEPcsHrs1">'Quote Entry'!$O$73</definedName>
    <definedName name="QEPcsHrs12">'Quote Entry'!$P$73</definedName>
    <definedName name="QEPcsHrs2">'Quote Entry'!$O$77</definedName>
    <definedName name="QEPcsHrs22">'Quote Entry'!$P$77</definedName>
    <definedName name="QEPcsHrs3">'Quote Entry'!$O$81</definedName>
    <definedName name="QEPcsHrs32">'Quote Entry'!$P$81</definedName>
    <definedName name="QEPCSSCR1">'Quote Entry'!$O$45</definedName>
    <definedName name="QEPCSSCR1A">'Quote Entry'!$O$49</definedName>
    <definedName name="QEPCSSCR1B">'Quote Entry'!$O$53</definedName>
    <definedName name="QEPCSSCR1C">'Quote Entry'!$O$57</definedName>
    <definedName name="QEPCSSCR1D">'Quote Entry'!$O$61</definedName>
    <definedName name="QEPCSSCR1E">'Quote Entry'!$O$65</definedName>
    <definedName name="QEPCSSCR1F">'Quote Entry'!$O$69</definedName>
    <definedName name="QEPCSSCR2">'Quote Entry'!$P$45</definedName>
    <definedName name="QEPCSSCR2A">'Quote Entry'!$P$49</definedName>
    <definedName name="QEPCSSCR2B">'Quote Entry'!$P$53</definedName>
    <definedName name="QEPCSSCR2C">'Quote Entry'!$P$57</definedName>
    <definedName name="QEPCSSCR2D">'Quote Entry'!$P$61</definedName>
    <definedName name="QEPCSSCR2E">'Quote Entry'!$P$65</definedName>
    <definedName name="QEPCSSCR2F">'Quote Entry'!$P$69</definedName>
    <definedName name="QEPercFlag">'Quote Entry'!$N$120</definedName>
    <definedName name="QEPress1A">'Quote Entry'!$A$45</definedName>
    <definedName name="QEPress2A">'Quote Entry'!$A$49</definedName>
    <definedName name="QEPress3A">'Quote Entry'!$A$53</definedName>
    <definedName name="QEPress4A">'Quote Entry'!$A$57</definedName>
    <definedName name="QEPress5A">'Quote Entry'!$A$61</definedName>
    <definedName name="QEPressInsertFlag">'Quote Entry'!$A$85</definedName>
    <definedName name="QEPressScr10">'Quote Entry'!$C$69</definedName>
    <definedName name="QEPressScr6">'Quote Entry'!$C$57</definedName>
    <definedName name="QEPressScr7">'Quote Entry'!$C$61</definedName>
    <definedName name="QEPressScr8">'Quote Entry'!$C$81</definedName>
    <definedName name="QEPressScr9">'Quote Entry'!$C$65</definedName>
    <definedName name="QEPressScrFive">'Quote Entry'!$C$77</definedName>
    <definedName name="QEPressScrFour">'Quote Entry'!$C$73</definedName>
    <definedName name="QEPressScrOne">'Quote Entry'!$C$45</definedName>
    <definedName name="QEPressScrThree">'Quote Entry'!$C$53</definedName>
    <definedName name="QEPressScrTwo">'Quote Entry'!$C$49</definedName>
    <definedName name="QEPressStart">'Quote Entry'!$B$44</definedName>
    <definedName name="QEPressYield">'Quote Entry'!$B$86</definedName>
    <definedName name="QEPressYield1">'Quote Entry'!$C$86</definedName>
    <definedName name="QEPrice1">'Quote Entry'!$B$132</definedName>
    <definedName name="QEPrice10">'Quote Entry'!$L$132</definedName>
    <definedName name="QEPrice2">'Quote Entry'!$C$132</definedName>
    <definedName name="QEPrice3">'Quote Entry'!$D$132</definedName>
    <definedName name="QEPrice4">'Quote Entry'!$E$132</definedName>
    <definedName name="QEPrice5">'Quote Entry'!$F$132</definedName>
    <definedName name="QEPrice6">'Quote Entry'!$H$132</definedName>
    <definedName name="QEPrice7">'Quote Entry'!$I$132</definedName>
    <definedName name="QEPrice8">'Quote Entry'!$J$132</definedName>
    <definedName name="QEPrice9">'Quote Entry'!$K$132</definedName>
    <definedName name="QEPriceStart">'Quote Entry'!$A$132</definedName>
    <definedName name="QEPrintSet1">'Quote Entry'!$P$94</definedName>
    <definedName name="QEPrintSet2">'Quote Entry'!$A$95</definedName>
    <definedName name="QEPrintSet3">'Quote Entry'!$N$158</definedName>
    <definedName name="QEProdLT">'Quote Entry'!$I$7</definedName>
    <definedName name="QEPrsCost11">'Quote Entry'!$O$46</definedName>
    <definedName name="QEPrsCost12">'Quote Entry'!#REF!</definedName>
    <definedName name="QEPrsCost13">'Quote Entry'!#REF!</definedName>
    <definedName name="QEPrsCost14">'Quote Entry'!#REF!</definedName>
    <definedName name="QEPrsCost15">'Quote Entry'!#REF!</definedName>
    <definedName name="QEPrsCost21">'Quote Entry'!$O$47</definedName>
    <definedName name="QEPrsCost22">'Quote Entry'!#REF!</definedName>
    <definedName name="QEPrsCost23">'Quote Entry'!#REF!</definedName>
    <definedName name="QEPrsCost24">'Quote Entry'!#REF!</definedName>
    <definedName name="QEPrsCost25">'Quote Entry'!#REF!</definedName>
    <definedName name="QEPtName">'Quote Entry'!$D$4</definedName>
    <definedName name="QEPtNum">'Quote Entry'!$D$2</definedName>
    <definedName name="QEReduction1">'Quote Entry'!$B$137</definedName>
    <definedName name="QEReduction10">'Quote Entry'!$L$137</definedName>
    <definedName name="QEReduction2">'Quote Entry'!$C$137</definedName>
    <definedName name="QEReduction3">'Quote Entry'!$D$137</definedName>
    <definedName name="QEReduction4">'Quote Entry'!$E$137</definedName>
    <definedName name="QEReduction5">'Quote Entry'!$F$137</definedName>
    <definedName name="QEReduction6">'Quote Entry'!$H$137</definedName>
    <definedName name="QEReduction7">'Quote Entry'!$I$137</definedName>
    <definedName name="QEReduction8">'Quote Entry'!$J$137</definedName>
    <definedName name="QEReduction9">'Quote Entry'!$K$137</definedName>
    <definedName name="QERegrind1">'Quote Entry'!$M$5</definedName>
    <definedName name="QERegrind2">'Quote Entry'!$N$5</definedName>
    <definedName name="QERep">'Quote Entry'!$F$2</definedName>
    <definedName name="QERep1">'Quote Entry'!$G$2</definedName>
    <definedName name="QEResinCost">'Quote Entry'!$A$148</definedName>
    <definedName name="QEResinPercent1">'Quote Entry'!$B$148</definedName>
    <definedName name="QEResinPercent10">'Quote Entry'!$L$148</definedName>
    <definedName name="QEResinPercent2">'Quote Entry'!$C$148</definedName>
    <definedName name="QEResinPercent3">'Quote Entry'!$D$148</definedName>
    <definedName name="QEResinPercent4">'Quote Entry'!$E$148</definedName>
    <definedName name="QEResinPercent5">'Quote Entry'!$F$148</definedName>
    <definedName name="QEResinPercent6">'Quote Entry'!$H$148</definedName>
    <definedName name="QEResinPercent7">'Quote Entry'!$I$148</definedName>
    <definedName name="QEResinPercent8">'Quote Entry'!$J$148</definedName>
    <definedName name="QEResinPercent9">'Quote Entry'!$K$148</definedName>
    <definedName name="QEResRel1">'Quote Entry'!$B$99</definedName>
    <definedName name="QEResRel10">'Quote Entry'!$L$99</definedName>
    <definedName name="QEResRel2">'Quote Entry'!$C$99</definedName>
    <definedName name="QEResRel3">'Quote Entry'!$D$99</definedName>
    <definedName name="QEResRel4">'Quote Entry'!$E$99</definedName>
    <definedName name="QEResRel5">'Quote Entry'!$F$99</definedName>
    <definedName name="QEResRel6">'Quote Entry'!$H$99</definedName>
    <definedName name="QEResRel7">'Quote Entry'!$I$99</definedName>
    <definedName name="QEResRel8">'Quote Entry'!$J$99</definedName>
    <definedName name="QEResRel9">'Quote Entry'!$K$99</definedName>
    <definedName name="QERevLevel">'Quote Entry'!$D$3</definedName>
    <definedName name="QERobot">'Quote Entry'!$A$155</definedName>
    <definedName name="QERunnerWeight1">'Quote Entry'!$M$4</definedName>
    <definedName name="QERunnerWeight2">'Quote Entry'!$N$4</definedName>
    <definedName name="QERunQtyStart">'Quote Entry'!$I$1</definedName>
    <definedName name="QESales">'Quote Entry'!$F$4</definedName>
    <definedName name="QESales1">'Quote Entry'!$G$4</definedName>
    <definedName name="QESecOps1A">'Quote Entry'!$A$73</definedName>
    <definedName name="QESecOps2A">'Quote Entry'!$A$77</definedName>
    <definedName name="QESecOpsA">'Quote Entry'!$A$81</definedName>
    <definedName name="QESetUp1">'Quote Entry'!$B$120</definedName>
    <definedName name="QESetUp10">'Quote Entry'!$L$120</definedName>
    <definedName name="QESetUp2">'Quote Entry'!$C$120</definedName>
    <definedName name="QESetUp3">'Quote Entry'!$D$120</definedName>
    <definedName name="QESetUp4">'Quote Entry'!$E$120</definedName>
    <definedName name="QESetUp5">'Quote Entry'!$F$120</definedName>
    <definedName name="QESetUp6">'Quote Entry'!$H$120</definedName>
    <definedName name="QESetUp7">'Quote Entry'!$I$120</definedName>
    <definedName name="QESetUp8">'Quote Entry'!$J$120</definedName>
    <definedName name="QESetUp9">'Quote Entry'!$K$120</definedName>
    <definedName name="QEShotSize1">'Quote Entry'!$M$7</definedName>
    <definedName name="QEShotSize2">'Quote Entry'!$N$7</definedName>
    <definedName name="QEStartReduction">'Quote Entry'!$A$137</definedName>
    <definedName name="QEStatus">'Quote Entry'!$D$8</definedName>
    <definedName name="QETargetMar1">'Quote Entry'!$B$134</definedName>
    <definedName name="QETargetMar10">'Quote Entry'!$L$134</definedName>
    <definedName name="QETargetMar2">'Quote Entry'!$C$134</definedName>
    <definedName name="QETargetMar3">'Quote Entry'!$D$134</definedName>
    <definedName name="QETargetMar4">'Quote Entry'!$E$134</definedName>
    <definedName name="QETargetMar5">'Quote Entry'!$F$134</definedName>
    <definedName name="QETargetMar6">'Quote Entry'!$H$134</definedName>
    <definedName name="QETargetMar7">'Quote Entry'!$I$134</definedName>
    <definedName name="QETargetMar8">'Quote Entry'!$J$134</definedName>
    <definedName name="QETargetMar9">'Quote Entry'!$K$134</definedName>
    <definedName name="QEToolMaint">'Quote Entry'!$A$151</definedName>
    <definedName name="QEToolMaint1">'Quote Entry'!$J$45</definedName>
    <definedName name="QEToolMaint10">'Quote Entry'!$J$69</definedName>
    <definedName name="QEToolMaint2">'Quote Entry'!$J$49</definedName>
    <definedName name="QEToolMaint3">'Quote Entry'!$J$53</definedName>
    <definedName name="QEToolMaint4">'Quote Entry'!$J$73</definedName>
    <definedName name="QEToolMaint5">'Quote Entry'!$J$77</definedName>
    <definedName name="QEToolMaint6">'Quote Entry'!$J$57</definedName>
    <definedName name="QEToolMaint7">'Quote Entry'!$J$61</definedName>
    <definedName name="QEToolMaint8">'Quote Entry'!$J$81</definedName>
    <definedName name="QEToolMaint9">'Quote Entry'!$J$65</definedName>
    <definedName name="QEToolMaintRate1">'Quote Entry'!$K$45</definedName>
    <definedName name="QEToolMaintRate10">'Quote Entry'!$K$69</definedName>
    <definedName name="QEToolMaintRate2">'Quote Entry'!$K$49</definedName>
    <definedName name="QEToolMaintRate3">'Quote Entry'!$K$53</definedName>
    <definedName name="QEToolMaintRate4">'Quote Entry'!$K$73</definedName>
    <definedName name="QEToolMaintRate5">'Quote Entry'!$K$77</definedName>
    <definedName name="QEToolMaintRate6">'Quote Entry'!$K$57</definedName>
    <definedName name="QEToolMaintRate7">'Quote Entry'!$K$61</definedName>
    <definedName name="QEToolMaintRate8">'Quote Entry'!$K$81</definedName>
    <definedName name="QEToolMaintRate9">'Quote Entry'!$K$65</definedName>
    <definedName name="QETotMfgCost1">'Quote Entry'!$B$130</definedName>
    <definedName name="QETotMfgCost10">'Quote Entry'!$L$130</definedName>
    <definedName name="QETotMfgCost2">'Quote Entry'!$C$130</definedName>
    <definedName name="QETotMfgCost3">'Quote Entry'!$D$130</definedName>
    <definedName name="QETotMfgCost4">'Quote Entry'!$E$130</definedName>
    <definedName name="QETotMfgCost5">'Quote Entry'!$F$130</definedName>
    <definedName name="QETotMfgCost6">'Quote Entry'!$H$130</definedName>
    <definedName name="QETotMfgCost7">'Quote Entry'!$I$130</definedName>
    <definedName name="QETotMfgCost8">'Quote Entry'!$J$130</definedName>
    <definedName name="QETotMfgCost9">'Quote Entry'!$K$130</definedName>
    <definedName name="QualFactor">'Variable Sheet'!$B$18</definedName>
    <definedName name="QualReset">Tooling!$H$8</definedName>
    <definedName name="QualReset1">Tooling!$H$7</definedName>
    <definedName name="QualReset2">Tooling!$H$16</definedName>
    <definedName name="QualResetA">Tooling!$H$17</definedName>
    <definedName name="Quantity1">'Quote Entry'!$I$2</definedName>
    <definedName name="Quantity10">'Quote Entry'!$K$6</definedName>
    <definedName name="Quantity2">'Quote Entry'!$I$3</definedName>
    <definedName name="Quantity3">'Quote Entry'!$I$4</definedName>
    <definedName name="Quantity4">'Quote Entry'!$I$5</definedName>
    <definedName name="Quantity5">'Quote Entry'!$I$6</definedName>
    <definedName name="Quantity6">'Quote Entry'!$K$2</definedName>
    <definedName name="Quantity7">'Quote Entry'!$K$3</definedName>
    <definedName name="Quantity8">'Quote Entry'!$K$4</definedName>
    <definedName name="Quantity9">'Quote Entry'!$K$5</definedName>
    <definedName name="QuoteEntryEstimator">'Quote Entry'!$G$6</definedName>
    <definedName name="QuoteEntryMarkup1">'Quote Entry'!$B$85</definedName>
    <definedName name="QuoteEntryMarkup2">'Quote Entry'!$C$85</definedName>
    <definedName name="QuoteEntryPlantNumber">'Quote Entry'!$B$2</definedName>
    <definedName name="QuoteEntryQuoteNumber">'Quote Entry'!$B$4</definedName>
    <definedName name="RateAdjust1">'Quote Entry'!$G$45</definedName>
    <definedName name="RateAdjust10">'Quote Entry'!$G$69</definedName>
    <definedName name="RateAdjust2">'Quote Entry'!$G$49</definedName>
    <definedName name="RateAdjust3">'Quote Entry'!$G$53</definedName>
    <definedName name="RateAdjust4">'Quote Entry'!$G$73</definedName>
    <definedName name="RateAdjust5">'Quote Entry'!$G$77</definedName>
    <definedName name="RateAdjust6">'Quote Entry'!$G$57</definedName>
    <definedName name="RateAdjust7">'Quote Entry'!$G$61</definedName>
    <definedName name="RateAdjust8">'Quote Entry'!$G$81</definedName>
    <definedName name="RateAdjust9">'Quote Entry'!$G$65</definedName>
    <definedName name="Regrind">Calculator!$H$7</definedName>
    <definedName name="Res2Mat11Cost1">'Formula sheet'!$K$58</definedName>
    <definedName name="Res2Mat11Cost2">'Formula sheet'!$L$58</definedName>
    <definedName name="Res2Mat11Cost3">'Formula sheet'!$M$58</definedName>
    <definedName name="Res2Mat11Cost4">'Formula sheet'!$N$58</definedName>
    <definedName name="Res2Mat11Cost5">'Formula sheet'!$O$58</definedName>
    <definedName name="Res2Mat11Price1">'Formula sheet'!$K$59</definedName>
    <definedName name="Res2Mat12Cost1">'Formula sheet'!$K$60</definedName>
    <definedName name="Res2Mat12Cost2">'Formula sheet'!$L$60</definedName>
    <definedName name="Res2Mat12Cost3">'Formula sheet'!$M$60</definedName>
    <definedName name="Res2Mat12Cost4">'Formula sheet'!$N$60</definedName>
    <definedName name="Res2Mat12Cost5">'Formula sheet'!$O$60</definedName>
    <definedName name="Res2Mat13Cost1">'Formula sheet'!$K$62</definedName>
    <definedName name="Res2Mat13Cost2">'Formula sheet'!$L$62</definedName>
    <definedName name="Res2Mat13Cost3">'Formula sheet'!$M$62</definedName>
    <definedName name="Res2Mat13Cost4">'Formula sheet'!$N$62</definedName>
    <definedName name="Res2Mat13Cost5">'Formula sheet'!$O$62</definedName>
    <definedName name="Res2Mat14Cost1">'Formula sheet'!$K$64</definedName>
    <definedName name="Res2Mat14Cost2">'Formula sheet'!$L$64</definedName>
    <definedName name="Res2Mat14Cost3">'Formula sheet'!$M$64</definedName>
    <definedName name="Res2Mat14Cost4">'Formula sheet'!$N$64</definedName>
    <definedName name="Res2Mat14Cost5">'Formula sheet'!$O$64</definedName>
    <definedName name="Res2Mat15Cost1">'Formula sheet'!$K$66</definedName>
    <definedName name="Res2Mat15Cost2">'Formula sheet'!$L$66</definedName>
    <definedName name="Res2Mat15Cost3">'Formula sheet'!$M$66</definedName>
    <definedName name="Res2Mat15Cost4">'Formula sheet'!$N$66</definedName>
    <definedName name="Res2Mat15Cost5">'Formula sheet'!$O$66</definedName>
    <definedName name="ResMat11Cost1">'Formula sheet'!$K$23</definedName>
    <definedName name="ResMat11Cost2">'Formula sheet'!$L$23</definedName>
    <definedName name="ResMat11Cost3">'Formula sheet'!$M$23</definedName>
    <definedName name="ResMat11Cost4">'Formula sheet'!$N$23</definedName>
    <definedName name="ResMat11Cost5">'Formula sheet'!$O$23</definedName>
    <definedName name="ResMat12Cost1">'Formula sheet'!$K$25</definedName>
    <definedName name="ResMat12Cost2">'Formula sheet'!$L$25</definedName>
    <definedName name="ResMat12Cost3">'Formula sheet'!$M$25</definedName>
    <definedName name="ResMat12Cost4">'Formula sheet'!$N$25</definedName>
    <definedName name="ResMat12Cost5">'Formula sheet'!$O$25</definedName>
    <definedName name="ResMat13Cost1">'Formula sheet'!$K$27</definedName>
    <definedName name="ResMat13Cost2">'Formula sheet'!$L$27</definedName>
    <definedName name="ResMat13Cost3">'Formula sheet'!$M$27</definedName>
    <definedName name="ResMat13Cost4">'Formula sheet'!$N$27</definedName>
    <definedName name="ResMat13Cost5">'Formula sheet'!$O$27</definedName>
    <definedName name="ResMat14Cost1">'Formula sheet'!$K$29</definedName>
    <definedName name="ResMat14Cost2">'Formula sheet'!$L$29</definedName>
    <definedName name="ResMat14Cost3">'Formula sheet'!$M$29</definedName>
    <definedName name="ResMat14Cost4">'Formula sheet'!$N$29</definedName>
    <definedName name="ResMat14Cost5">'Formula sheet'!$O$29</definedName>
    <definedName name="ResMat15Cost1">'Formula sheet'!$K$31</definedName>
    <definedName name="ResMat15Cost2">'Formula sheet'!$L$31</definedName>
    <definedName name="ResMat15Cost3">'Formula sheet'!$M$31</definedName>
    <definedName name="ResMat15Cost4">'Formula sheet'!$N$31</definedName>
    <definedName name="ResMat15Cost5">'Formula sheet'!$O$31</definedName>
    <definedName name="Revision">Revision!$B$108</definedName>
    <definedName name="RevisionDate">Revision!$A$108</definedName>
    <definedName name="RFQEndNotes">'RFQ Sheet'!$A$58</definedName>
    <definedName name="RFQStartNotes">'RFQ Sheet'!$A$34</definedName>
    <definedName name="RobotNoteA">Notes!$C$143</definedName>
    <definedName name="RunnerDiameter">Calculator!$H$4</definedName>
    <definedName name="RunnerLen1">Calculator!$H$5</definedName>
    <definedName name="RunnerLen2">Calculator!$I$5</definedName>
    <definedName name="RunnerWeight1">Calculator!$H$6</definedName>
    <definedName name="RunnerWeight2">Calculator!$I$6</definedName>
    <definedName name="SalesContact">'Sales Contact'!$A$2:$A$39</definedName>
    <definedName name="ScnOneGFL">'Quote Entry'!$L$94</definedName>
    <definedName name="ScnOneToolLT">'Quote Entry'!$L$93</definedName>
    <definedName name="ScnOneToolPrice">'Quote Entry'!$L$92</definedName>
    <definedName name="ScnTwoGFL">'Quote Entry'!$M$94</definedName>
    <definedName name="ScnTwoToolLT">'Quote Entry'!$M$93</definedName>
    <definedName name="ScnTwoToolPrice">'Quote Entry'!$M$92</definedName>
    <definedName name="Scr1Robot">'Quote Entry'!$B$91</definedName>
    <definedName name="Scr2Robot">'Quote Entry'!$C$91</definedName>
    <definedName name="SpecialPackaging">'Quote Entry'!$E$89</definedName>
    <definedName name="SpecialPackaging1">'Quote Entry'!$F$89</definedName>
    <definedName name="StandardNote1">Notes!$C$48</definedName>
    <definedName name="StandardNote10">Notes!$C$65</definedName>
    <definedName name="StandardNote11">Notes!$C$66</definedName>
    <definedName name="StandardNote12">Notes!$C$67</definedName>
    <definedName name="StandardNote13">Notes!$C$68</definedName>
    <definedName name="StandardNote2">Notes!$C$50</definedName>
    <definedName name="StandardNote3">Notes!$C$51</definedName>
    <definedName name="StandardNote4">Notes!$C$52</definedName>
    <definedName name="StandardNote5">Notes!$C$53</definedName>
    <definedName name="StandardNote6">Notes!$C$54</definedName>
    <definedName name="StandardNote7">Notes!$C$55</definedName>
    <definedName name="StandardNote8">Notes!$C$57</definedName>
    <definedName name="StandardNote9">Notes!$C$62</definedName>
    <definedName name="StandardNote9A">Notes!#REF!</definedName>
    <definedName name="StartAutomation">Automation!$A$5</definedName>
    <definedName name="StartAutomation1">Automation!$D$5</definedName>
    <definedName name="StartAutomation2">Automation!$C$5</definedName>
    <definedName name="StartCustomerNotes">'Quote Entry'!$C$188</definedName>
    <definedName name="StartInternalNote">'Quote Entry'!$C$161</definedName>
    <definedName name="StartInternalNote1">'Quote Entry'!#REF!</definedName>
    <definedName name="StartInternalNote10">'Quote Entry'!#REF!</definedName>
    <definedName name="StartInternalNote11">'Quote Entry'!#REF!</definedName>
    <definedName name="StartInternalNote12">'Quote Entry'!#REF!</definedName>
    <definedName name="StartInternalNote13">'Quote Entry'!#REF!</definedName>
    <definedName name="StartInternalNote14">'Quote Entry'!#REF!</definedName>
    <definedName name="StartInternalNote2">'Quote Entry'!#REF!</definedName>
    <definedName name="StartInternalNote3">'Quote Entry'!#REF!</definedName>
    <definedName name="StartInternalNote4">'Quote Entry'!#REF!</definedName>
    <definedName name="StartInternalNote5">'Quote Entry'!#REF!</definedName>
    <definedName name="StartInternalNote6">'Quote Entry'!#REF!</definedName>
    <definedName name="StartInternalNote7">'Quote Entry'!#REF!</definedName>
    <definedName name="StartInternalNote8">'Quote Entry'!#REF!</definedName>
    <definedName name="StartInternalNote9">'Quote Entry'!#REF!</definedName>
    <definedName name="StartInternalNoteA">'Quote Entry'!$B$161</definedName>
    <definedName name="StartInternalNoteB">'Quote Entry'!$A$161</definedName>
    <definedName name="StartQuoteEntry">'Quote Entry'!$A$1</definedName>
    <definedName name="StartQuoteEntry1">'Quote Entry'!$P$159</definedName>
    <definedName name="Status">'Master Data'!$H$2:$H$6</definedName>
    <definedName name="Text1" localSheetId="21">'Customer Quote Each'!$J$51</definedName>
    <definedName name="ToolMaintList">'Master Data'!$B$2:$B$10</definedName>
    <definedName name="ToolMargin">Notes!$C$150</definedName>
    <definedName name="ToolPrice1">Tooling!$H$25</definedName>
    <definedName name="ToolPrice2">Tooling!$I$25</definedName>
    <definedName name="ToolPriceLT1">Tooling!$H$27</definedName>
    <definedName name="ToolPriceLT2">Tooling!$I$27</definedName>
    <definedName name="TSCavScr1">Tooling!$H$21</definedName>
    <definedName name="TSCavScr2">Tooling!$I$21</definedName>
    <definedName name="TSHrsWk1">Tooling!$H$26</definedName>
    <definedName name="TSHrsWk2">Tooling!$I$26</definedName>
    <definedName name="VSAutomationFactor">'Variable Sheet'!$B$8</definedName>
    <definedName name="VSAutomFactor">'Variable Sheet'!$B$9</definedName>
    <definedName name="VSCIMultiplier">'Variable Sheet'!$B$7</definedName>
    <definedName name="VSDuns2101">'Variable Sheet'!$B$37</definedName>
    <definedName name="VSDuns2103">'Variable Sheet'!$B$43</definedName>
    <definedName name="VSDuns2104">'Variable Sheet'!$B$50</definedName>
    <definedName name="VSELPLTAdd">'Variable Sheet'!$B$22</definedName>
    <definedName name="VSELPQualAdd">'Variable Sheet'!$B$20</definedName>
    <definedName name="VSGramConversion">'Variable Sheet'!$B$17</definedName>
    <definedName name="VSHotRunFac">'Variable Sheet'!$B$10</definedName>
    <definedName name="VSLT1">'Variable Sheet'!$B$23</definedName>
    <definedName name="VSLT2">'Variable Sheet'!$B$24</definedName>
    <definedName name="VSLT3">'Variable Sheet'!$B$25</definedName>
    <definedName name="VSMexLTAdd">'Variable Sheet'!$B$21</definedName>
    <definedName name="VSMexQualAdd">'Variable Sheet'!$B$19</definedName>
    <definedName name="VSMinShipAmt">'Variable Sheet'!#REF!</definedName>
    <definedName name="VSMucellMatl">'Variable Sheet'!$B$11</definedName>
    <definedName name="VSMuCellPress">'Variable Sheet'!$B$12</definedName>
    <definedName name="VSPackMU">'Variable Sheet'!$B$14</definedName>
    <definedName name="VSPathName">'Variable Sheet'!$B$28</definedName>
    <definedName name="VSPlant2101Address1">'Variable Sheet'!$B$32</definedName>
    <definedName name="VSPlant2101Address2">'Variable Sheet'!$B$33</definedName>
    <definedName name="VSPlant2101Address3">'Variable Sheet'!$B$34</definedName>
    <definedName name="VSPlant2101Address4">'Variable Sheet'!$B$35</definedName>
    <definedName name="VSPlant2101Address5">'Variable Sheet'!$B$36</definedName>
    <definedName name="VSPlant2103Address1">'Variable Sheet'!$B$38</definedName>
    <definedName name="VSPlant2103Address2">'Variable Sheet'!$B$39</definedName>
    <definedName name="VSPlant2103Address3">'Variable Sheet'!$B$40</definedName>
    <definedName name="VSPlant2103Address4">'Variable Sheet'!$B$41</definedName>
    <definedName name="VSPlant2103Address5">'Variable Sheet'!$B$42</definedName>
    <definedName name="VSPlant2104Address1">'Variable Sheet'!$B$44</definedName>
    <definedName name="VSPlant2104Address1A">'Variable Sheet'!$B$45</definedName>
    <definedName name="VSPlant2104Address2">'Variable Sheet'!$B$46</definedName>
    <definedName name="VSPlant2104Address3">'Variable Sheet'!$B$47</definedName>
    <definedName name="VSPlant2104Address4">'Variable Sheet'!$B$48</definedName>
    <definedName name="VSPlant2104Address5">'Variable Sheet'!$B$49</definedName>
    <definedName name="VSPrecFoamSal">'Variable Sheet'!$B$27</definedName>
    <definedName name="VSRNDFactor">'Variable Sheet'!$B$6</definedName>
    <definedName name="VSRobotAmort">'Variable Sheet'!$B$26</definedName>
    <definedName name="VSShotSizeFactor">'Variable Sheet'!$B$16</definedName>
    <definedName name="VSShotSizeVar">'Variable Sheet'!$B$15</definedName>
  </definedNames>
  <calcPr calcId="152511"/>
</workbook>
</file>

<file path=xl/calcChain.xml><?xml version="1.0" encoding="utf-8"?>
<calcChain xmlns="http://schemas.openxmlformats.org/spreadsheetml/2006/main">
  <c r="R2" i="61" l="1"/>
  <c r="G5" i="61"/>
  <c r="N5" i="61"/>
  <c r="G6" i="61"/>
  <c r="N6" i="61"/>
  <c r="B13" i="61"/>
  <c r="K13" i="61"/>
  <c r="B14" i="61"/>
  <c r="K14" i="61"/>
  <c r="B15" i="61"/>
  <c r="K15" i="61"/>
  <c r="B16" i="61"/>
  <c r="K16" i="61"/>
  <c r="B17" i="61"/>
  <c r="K17" i="61"/>
  <c r="B18" i="61"/>
  <c r="K18" i="61"/>
  <c r="B19" i="61"/>
  <c r="K19" i="61"/>
  <c r="B20" i="61"/>
  <c r="K20" i="61"/>
  <c r="B21" i="61"/>
  <c r="K21" i="61"/>
  <c r="K22" i="61"/>
  <c r="K27" i="61"/>
  <c r="K28" i="61"/>
  <c r="K29" i="61"/>
  <c r="K30" i="61"/>
  <c r="K31" i="61"/>
  <c r="K32" i="61"/>
  <c r="K33" i="61"/>
  <c r="K34" i="61"/>
  <c r="K35" i="61"/>
  <c r="K36" i="61"/>
  <c r="K37" i="61"/>
  <c r="K39" i="61"/>
  <c r="K40" i="61"/>
  <c r="K43" i="61"/>
  <c r="D5" i="63"/>
  <c r="D6" i="63"/>
  <c r="D7" i="63"/>
  <c r="D8" i="63"/>
  <c r="D9" i="63"/>
  <c r="D10" i="63"/>
  <c r="D11" i="63"/>
  <c r="D12" i="63"/>
  <c r="D13" i="63"/>
  <c r="D14" i="63"/>
  <c r="D15" i="63"/>
  <c r="D16" i="63"/>
  <c r="D17" i="63"/>
  <c r="D18" i="63"/>
  <c r="D19" i="63"/>
  <c r="D20" i="63"/>
  <c r="D21" i="63"/>
  <c r="D22" i="63"/>
  <c r="D23" i="63"/>
  <c r="D24" i="63"/>
  <c r="D25" i="63"/>
  <c r="D26" i="63"/>
  <c r="D27" i="63"/>
  <c r="D28" i="63"/>
  <c r="D29" i="63"/>
  <c r="D30" i="63"/>
  <c r="D31" i="63"/>
  <c r="D32" i="63"/>
  <c r="D33" i="63"/>
  <c r="D34" i="63"/>
  <c r="D35" i="63"/>
  <c r="D36" i="63"/>
  <c r="D37" i="63"/>
  <c r="D38" i="63"/>
  <c r="D39" i="63"/>
  <c r="D40" i="63"/>
  <c r="D41" i="63"/>
  <c r="D42" i="63"/>
  <c r="L90" i="1" s="1"/>
  <c r="H1" i="13"/>
  <c r="F4" i="13"/>
  <c r="D5" i="13"/>
  <c r="F10" i="13"/>
  <c r="H10" i="13"/>
  <c r="F11" i="13"/>
  <c r="H11" i="13"/>
  <c r="F12" i="13"/>
  <c r="H12" i="13"/>
  <c r="F13" i="13"/>
  <c r="H13" i="13"/>
  <c r="F14" i="13"/>
  <c r="H14" i="13"/>
  <c r="F15" i="13"/>
  <c r="H15" i="13"/>
  <c r="F16" i="13"/>
  <c r="H16" i="13"/>
  <c r="F17" i="13"/>
  <c r="H17" i="13"/>
  <c r="F18" i="13"/>
  <c r="H18" i="13"/>
  <c r="F19" i="13"/>
  <c r="H19" i="13"/>
  <c r="F21" i="13"/>
  <c r="H21" i="13"/>
  <c r="F22" i="13"/>
  <c r="H22" i="13"/>
  <c r="F23" i="13"/>
  <c r="H23" i="13"/>
  <c r="F24" i="13"/>
  <c r="H24" i="13"/>
  <c r="F25" i="13"/>
  <c r="H25" i="13"/>
  <c r="F26" i="13"/>
  <c r="H26" i="13"/>
  <c r="F27" i="13"/>
  <c r="H27" i="13"/>
  <c r="F28" i="13"/>
  <c r="H28" i="13"/>
  <c r="F29" i="13"/>
  <c r="H29" i="13"/>
  <c r="F30" i="13"/>
  <c r="H30" i="13"/>
  <c r="F32" i="13"/>
  <c r="H32" i="13"/>
  <c r="F33" i="13"/>
  <c r="H33" i="13"/>
  <c r="F34" i="13"/>
  <c r="H34" i="13"/>
  <c r="F35" i="13"/>
  <c r="H35" i="13"/>
  <c r="F36" i="13"/>
  <c r="H36" i="13"/>
  <c r="F37" i="13"/>
  <c r="H37" i="13"/>
  <c r="F38" i="13"/>
  <c r="H38" i="13"/>
  <c r="F39" i="13"/>
  <c r="H39" i="13"/>
  <c r="F40" i="13"/>
  <c r="H40" i="13"/>
  <c r="F41" i="13"/>
  <c r="H41" i="13"/>
  <c r="F43" i="13"/>
  <c r="H43" i="13"/>
  <c r="F44" i="13"/>
  <c r="H44" i="13"/>
  <c r="F45" i="13"/>
  <c r="H45" i="13"/>
  <c r="F46" i="13"/>
  <c r="H46" i="13"/>
  <c r="F47" i="13"/>
  <c r="H47" i="13"/>
  <c r="F48" i="13"/>
  <c r="H48" i="13"/>
  <c r="F50" i="13"/>
  <c r="H50" i="13"/>
  <c r="F51" i="13"/>
  <c r="H51" i="13"/>
  <c r="F52" i="13"/>
  <c r="H52" i="13"/>
  <c r="F53" i="13"/>
  <c r="H53" i="13"/>
  <c r="H54" i="13"/>
  <c r="F1" i="13" s="1"/>
  <c r="F65" i="13"/>
  <c r="D66" i="13"/>
  <c r="D67" i="13"/>
  <c r="F67" i="13"/>
  <c r="B69" i="13"/>
  <c r="B70" i="13" s="1"/>
  <c r="A4" i="34"/>
  <c r="A5" i="34" s="1"/>
  <c r="A6" i="34" s="1"/>
  <c r="A7" i="34" s="1"/>
  <c r="A8" i="34"/>
  <c r="A9" i="34" s="1"/>
  <c r="A10" i="34" s="1"/>
  <c r="A11" i="34" s="1"/>
  <c r="A12" i="34" s="1"/>
  <c r="A13" i="34" s="1"/>
  <c r="A14" i="34" s="1"/>
  <c r="A15" i="34" s="1"/>
  <c r="A16" i="34" s="1"/>
  <c r="A17" i="34" s="1"/>
  <c r="H1" i="56"/>
  <c r="E2" i="56"/>
  <c r="D4" i="56"/>
  <c r="D7" i="56"/>
  <c r="E7" i="56"/>
  <c r="E8" i="56"/>
  <c r="F13" i="56"/>
  <c r="H13" i="56"/>
  <c r="F14" i="56"/>
  <c r="H14" i="56"/>
  <c r="F15" i="56"/>
  <c r="H15" i="56"/>
  <c r="F16" i="56"/>
  <c r="H16" i="56"/>
  <c r="I16" i="56"/>
  <c r="H20" i="56"/>
  <c r="H21" i="56"/>
  <c r="H22" i="56"/>
  <c r="H23" i="56"/>
  <c r="B27" i="56"/>
  <c r="B28" i="56"/>
  <c r="B34" i="56"/>
  <c r="F47" i="56"/>
  <c r="H47" i="56"/>
  <c r="F48" i="56"/>
  <c r="H48" i="56"/>
  <c r="F49" i="56"/>
  <c r="H49" i="56"/>
  <c r="F50" i="56"/>
  <c r="H50" i="56"/>
  <c r="I59" i="56"/>
  <c r="H1" i="60"/>
  <c r="E2" i="60"/>
  <c r="D4" i="60"/>
  <c r="D7" i="60"/>
  <c r="E7" i="60"/>
  <c r="E8" i="60"/>
  <c r="F13" i="60"/>
  <c r="H13" i="60"/>
  <c r="F14" i="60"/>
  <c r="H14" i="60"/>
  <c r="F15" i="60"/>
  <c r="H15" i="60"/>
  <c r="F16" i="60"/>
  <c r="H16" i="60"/>
  <c r="H20" i="60"/>
  <c r="H21" i="60"/>
  <c r="H22" i="60"/>
  <c r="H23" i="60"/>
  <c r="B27" i="60"/>
  <c r="B28" i="60"/>
  <c r="B34" i="60"/>
  <c r="F47" i="60"/>
  <c r="H47" i="60"/>
  <c r="F48" i="60"/>
  <c r="H48" i="60"/>
  <c r="F49" i="60"/>
  <c r="H49" i="60"/>
  <c r="F50" i="60"/>
  <c r="H50" i="60"/>
  <c r="I59" i="60"/>
  <c r="D2" i="53"/>
  <c r="D3" i="53"/>
  <c r="G3" i="53"/>
  <c r="D4" i="53"/>
  <c r="D5" i="53"/>
  <c r="G5" i="53"/>
  <c r="D6" i="53"/>
  <c r="D7" i="53"/>
  <c r="G7" i="53"/>
  <c r="D8" i="53"/>
  <c r="A11" i="53"/>
  <c r="H2" i="56"/>
  <c r="C16" i="53"/>
  <c r="C17" i="53"/>
  <c r="C18" i="53"/>
  <c r="C19" i="53"/>
  <c r="A20" i="53"/>
  <c r="C20" i="53"/>
  <c r="B23" i="53"/>
  <c r="C23" i="53"/>
  <c r="D23" i="53"/>
  <c r="E23" i="53"/>
  <c r="F23" i="53"/>
  <c r="A24" i="53"/>
  <c r="B26" i="53"/>
  <c r="A29" i="53"/>
  <c r="A34" i="53"/>
  <c r="A35" i="53"/>
  <c r="A36" i="53"/>
  <c r="A37" i="53"/>
  <c r="A38" i="53"/>
  <c r="A39" i="53"/>
  <c r="A40" i="53"/>
  <c r="A41" i="53"/>
  <c r="A42" i="53"/>
  <c r="A43" i="53"/>
  <c r="A44" i="53"/>
  <c r="A45" i="53"/>
  <c r="A46" i="53"/>
  <c r="A47" i="53"/>
  <c r="A48" i="53"/>
  <c r="A49" i="53"/>
  <c r="A50" i="53"/>
  <c r="A51" i="53"/>
  <c r="A52" i="53"/>
  <c r="A53" i="53"/>
  <c r="A54" i="53"/>
  <c r="A55" i="53"/>
  <c r="A56" i="53"/>
  <c r="A57" i="53"/>
  <c r="G68" i="53"/>
  <c r="B5" i="2"/>
  <c r="B6" i="2"/>
  <c r="C6" i="2"/>
  <c r="C7" i="2" s="1"/>
  <c r="A18" i="2"/>
  <c r="C38" i="2" s="1"/>
  <c r="B18" i="2"/>
  <c r="C18" i="2"/>
  <c r="H3" i="2"/>
  <c r="E18" i="2"/>
  <c r="A19" i="2"/>
  <c r="A39" i="2" s="1"/>
  <c r="B19" i="2"/>
  <c r="C19" i="2"/>
  <c r="H5" i="2"/>
  <c r="E19" i="2"/>
  <c r="A20" i="2"/>
  <c r="A40" i="2" s="1"/>
  <c r="B20" i="2"/>
  <c r="G114" i="2" s="1"/>
  <c r="C20" i="2"/>
  <c r="H7" i="2"/>
  <c r="D20" i="2"/>
  <c r="E20" i="2"/>
  <c r="A21" i="2"/>
  <c r="B21" i="2"/>
  <c r="G116" i="2" s="1"/>
  <c r="C21" i="2"/>
  <c r="D21" i="2"/>
  <c r="E21" i="2"/>
  <c r="A22" i="2"/>
  <c r="B22" i="2"/>
  <c r="C22" i="2"/>
  <c r="H118" i="2" s="1"/>
  <c r="D22" i="2"/>
  <c r="E22" i="2"/>
  <c r="A23" i="2"/>
  <c r="B23" i="2"/>
  <c r="G120" i="2"/>
  <c r="C23" i="2"/>
  <c r="H13" i="2"/>
  <c r="D23" i="2"/>
  <c r="E23" i="2"/>
  <c r="A24" i="2"/>
  <c r="B24" i="2"/>
  <c r="G15" i="2"/>
  <c r="C24" i="2"/>
  <c r="D24" i="2"/>
  <c r="E24" i="2"/>
  <c r="A25" i="2"/>
  <c r="A45" i="2" s="1"/>
  <c r="B25" i="2"/>
  <c r="C25" i="2"/>
  <c r="H17" i="2" s="1"/>
  <c r="D25" i="2"/>
  <c r="E25" i="2"/>
  <c r="A26" i="2"/>
  <c r="B26" i="2"/>
  <c r="B46" i="2"/>
  <c r="C26" i="2"/>
  <c r="H19" i="2"/>
  <c r="D26" i="2"/>
  <c r="E26" i="2"/>
  <c r="A27" i="2"/>
  <c r="B27" i="2"/>
  <c r="C47" i="2" s="1"/>
  <c r="C27" i="2"/>
  <c r="D27" i="2"/>
  <c r="E27" i="2"/>
  <c r="A29" i="2"/>
  <c r="B29" i="2"/>
  <c r="G130" i="2" s="1"/>
  <c r="C29" i="2"/>
  <c r="H23" i="2" s="1"/>
  <c r="I23" i="2" s="1"/>
  <c r="K23" i="2" s="1"/>
  <c r="D29" i="2"/>
  <c r="E29" i="2"/>
  <c r="A30" i="2"/>
  <c r="B49" i="2" s="1"/>
  <c r="B30" i="2"/>
  <c r="G25" i="2"/>
  <c r="C30" i="2"/>
  <c r="D30" i="2"/>
  <c r="E30" i="2"/>
  <c r="A31" i="2"/>
  <c r="A50" i="2" s="1"/>
  <c r="B31" i="2"/>
  <c r="G62" i="2" s="1"/>
  <c r="C31" i="2"/>
  <c r="D31" i="2"/>
  <c r="E31" i="2"/>
  <c r="A32" i="2"/>
  <c r="B32" i="2"/>
  <c r="G29" i="2" s="1"/>
  <c r="C32" i="2"/>
  <c r="D32" i="2"/>
  <c r="E32" i="2"/>
  <c r="A33" i="2"/>
  <c r="B33" i="2"/>
  <c r="G31" i="2"/>
  <c r="C33" i="2"/>
  <c r="D33" i="2"/>
  <c r="E33" i="2"/>
  <c r="A34" i="2"/>
  <c r="H38" i="2"/>
  <c r="A41" i="2"/>
  <c r="A44" i="2"/>
  <c r="A48" i="2"/>
  <c r="H48" i="2"/>
  <c r="A49" i="2"/>
  <c r="G50" i="2"/>
  <c r="A52" i="2"/>
  <c r="H52" i="2"/>
  <c r="H54" i="2"/>
  <c r="G58" i="2"/>
  <c r="B60" i="2"/>
  <c r="P45" i="1" s="1"/>
  <c r="J165" i="2" s="1"/>
  <c r="I100" i="1" s="1"/>
  <c r="B61" i="2"/>
  <c r="D61" i="2"/>
  <c r="A61" i="2" s="1"/>
  <c r="E61" i="2"/>
  <c r="B62" i="2"/>
  <c r="D62" i="2"/>
  <c r="A62" i="2" s="1"/>
  <c r="E62" i="2"/>
  <c r="B63" i="2"/>
  <c r="D63" i="2"/>
  <c r="A63" i="2"/>
  <c r="E63" i="2"/>
  <c r="B64" i="2"/>
  <c r="D64" i="2"/>
  <c r="A64" i="2" s="1"/>
  <c r="E64" i="2"/>
  <c r="G64" i="2"/>
  <c r="B65" i="2"/>
  <c r="D65" i="2"/>
  <c r="A65" i="2" s="1"/>
  <c r="E65" i="2"/>
  <c r="B66" i="2"/>
  <c r="D66" i="2"/>
  <c r="A66" i="2" s="1"/>
  <c r="E66" i="2"/>
  <c r="G66" i="2"/>
  <c r="B67" i="2"/>
  <c r="D67" i="2"/>
  <c r="A67" i="2"/>
  <c r="E67" i="2"/>
  <c r="B68" i="2"/>
  <c r="D68" i="2"/>
  <c r="A68" i="2"/>
  <c r="E68" i="2"/>
  <c r="B69" i="2"/>
  <c r="D69" i="2"/>
  <c r="A69" i="2"/>
  <c r="E69" i="2"/>
  <c r="B76" i="2"/>
  <c r="O47" i="1" s="1"/>
  <c r="B77" i="2"/>
  <c r="G77" i="2"/>
  <c r="B78" i="2"/>
  <c r="B79" i="2"/>
  <c r="H79" i="2"/>
  <c r="B80" i="2"/>
  <c r="B81" i="2"/>
  <c r="O59" i="1" s="1"/>
  <c r="B82" i="2"/>
  <c r="O63" i="1"/>
  <c r="B83" i="2"/>
  <c r="B84" i="2"/>
  <c r="O71" i="1" s="1"/>
  <c r="B85" i="2"/>
  <c r="O83" i="1" s="1"/>
  <c r="G85" i="2"/>
  <c r="H85" i="2"/>
  <c r="G87" i="2"/>
  <c r="I87" i="2" s="1"/>
  <c r="B91" i="2"/>
  <c r="J47" i="1"/>
  <c r="H91" i="2"/>
  <c r="B92" i="2"/>
  <c r="B93" i="2"/>
  <c r="J55" i="1"/>
  <c r="G93" i="2"/>
  <c r="H93" i="2"/>
  <c r="I93" i="2" s="1"/>
  <c r="B94" i="2"/>
  <c r="B95" i="2"/>
  <c r="H95" i="2"/>
  <c r="B96" i="2"/>
  <c r="J59" i="1" s="1"/>
  <c r="B97" i="2"/>
  <c r="J63" i="1" s="1"/>
  <c r="G97" i="2"/>
  <c r="B98" i="2"/>
  <c r="B99" i="2"/>
  <c r="J71" i="1" s="1"/>
  <c r="G99" i="2"/>
  <c r="B100" i="2"/>
  <c r="J83" i="1"/>
  <c r="G101" i="2"/>
  <c r="B106" i="2"/>
  <c r="B107" i="2"/>
  <c r="B108" i="2"/>
  <c r="M55" i="1"/>
  <c r="B109" i="2"/>
  <c r="B110" i="2"/>
  <c r="M79" i="1" s="1"/>
  <c r="B111" i="2"/>
  <c r="B112" i="2"/>
  <c r="B113" i="2"/>
  <c r="M67" i="1" s="1"/>
  <c r="B114" i="2"/>
  <c r="B115" i="2"/>
  <c r="B120" i="2"/>
  <c r="D120" i="2"/>
  <c r="A120" i="2"/>
  <c r="E120" i="2"/>
  <c r="H120" i="2"/>
  <c r="B121" i="2"/>
  <c r="D121" i="2"/>
  <c r="A121" i="2" s="1"/>
  <c r="E121" i="2"/>
  <c r="B122" i="2"/>
  <c r="D122" i="2"/>
  <c r="A122" i="2" s="1"/>
  <c r="E122" i="2"/>
  <c r="B123" i="2"/>
  <c r="D123" i="2"/>
  <c r="A123" i="2" s="1"/>
  <c r="E123" i="2"/>
  <c r="B124" i="2"/>
  <c r="D124" i="2"/>
  <c r="A124" i="2" s="1"/>
  <c r="A130" i="2" s="1"/>
  <c r="E124" i="2"/>
  <c r="H124" i="2"/>
  <c r="B125" i="2"/>
  <c r="D125" i="2"/>
  <c r="A125" i="2"/>
  <c r="E125" i="2"/>
  <c r="B126" i="2"/>
  <c r="D126" i="2"/>
  <c r="A126" i="2"/>
  <c r="E126" i="2"/>
  <c r="H126" i="2"/>
  <c r="A127" i="2"/>
  <c r="B127" i="2"/>
  <c r="D127" i="2"/>
  <c r="E127" i="2"/>
  <c r="B128" i="2"/>
  <c r="D128" i="2"/>
  <c r="A128" i="2" s="1"/>
  <c r="E128" i="2"/>
  <c r="G128" i="2"/>
  <c r="B129" i="2"/>
  <c r="D129" i="2"/>
  <c r="A129" i="2" s="1"/>
  <c r="E129" i="2"/>
  <c r="H130" i="2"/>
  <c r="G132" i="2"/>
  <c r="B133" i="2"/>
  <c r="B136" i="2"/>
  <c r="B137" i="2"/>
  <c r="C136" i="2"/>
  <c r="C137" i="2"/>
  <c r="G136" i="2"/>
  <c r="A140" i="2"/>
  <c r="A142" i="2" s="1"/>
  <c r="B142" i="2" s="1"/>
  <c r="B146" i="2"/>
  <c r="D146" i="2"/>
  <c r="A146" i="2" s="1"/>
  <c r="E146" i="2"/>
  <c r="B147" i="2"/>
  <c r="D147" i="2"/>
  <c r="A147" i="2" s="1"/>
  <c r="E147" i="2"/>
  <c r="B148" i="2"/>
  <c r="D148" i="2"/>
  <c r="A148" i="2" s="1"/>
  <c r="E148" i="2"/>
  <c r="B149" i="2"/>
  <c r="D149" i="2"/>
  <c r="A149" i="2" s="1"/>
  <c r="E149" i="2"/>
  <c r="B150" i="2"/>
  <c r="D150" i="2"/>
  <c r="A150" i="2" s="1"/>
  <c r="E150" i="2"/>
  <c r="B151" i="2"/>
  <c r="D151" i="2"/>
  <c r="A151" i="2" s="1"/>
  <c r="E151" i="2"/>
  <c r="B152" i="2"/>
  <c r="D152" i="2"/>
  <c r="A152" i="2" s="1"/>
  <c r="E152" i="2"/>
  <c r="B153" i="2"/>
  <c r="D153" i="2"/>
  <c r="A153" i="2" s="1"/>
  <c r="E153" i="2"/>
  <c r="B154" i="2"/>
  <c r="D154" i="2"/>
  <c r="A154" i="2" s="1"/>
  <c r="E154" i="2"/>
  <c r="B155" i="2"/>
  <c r="D155" i="2"/>
  <c r="A155" i="2" s="1"/>
  <c r="E155" i="2"/>
  <c r="C176" i="2"/>
  <c r="D176" i="2"/>
  <c r="E176" i="2"/>
  <c r="E180" i="2" s="1"/>
  <c r="E211" i="2" s="1"/>
  <c r="F176" i="2"/>
  <c r="F110" i="1" s="1"/>
  <c r="C177" i="2"/>
  <c r="C111" i="1" s="1"/>
  <c r="D177" i="2"/>
  <c r="E177" i="2"/>
  <c r="E111" i="1"/>
  <c r="F177" i="2"/>
  <c r="J177" i="2"/>
  <c r="I111" i="1" s="1"/>
  <c r="C178" i="2"/>
  <c r="C180" i="2" s="1"/>
  <c r="D178" i="2"/>
  <c r="D112" i="1"/>
  <c r="E178" i="2"/>
  <c r="F178" i="2"/>
  <c r="C179" i="2"/>
  <c r="D179" i="2"/>
  <c r="E179" i="2"/>
  <c r="F179" i="2"/>
  <c r="F113" i="1" s="1"/>
  <c r="B187" i="2"/>
  <c r="C187" i="2"/>
  <c r="D187" i="2"/>
  <c r="E187" i="2"/>
  <c r="F187" i="2"/>
  <c r="B195" i="2"/>
  <c r="I195" i="2"/>
  <c r="B197" i="2"/>
  <c r="I197" i="2"/>
  <c r="B204" i="2"/>
  <c r="B200" i="2" s="1"/>
  <c r="C204" i="2"/>
  <c r="D204" i="2"/>
  <c r="D200" i="2"/>
  <c r="E204" i="2"/>
  <c r="E200" i="2"/>
  <c r="F204" i="2"/>
  <c r="F200" i="2"/>
  <c r="I204" i="2"/>
  <c r="I200" i="2"/>
  <c r="J204" i="2"/>
  <c r="J200" i="2"/>
  <c r="K204" i="2"/>
  <c r="K200" i="2"/>
  <c r="L204" i="2"/>
  <c r="L200" i="2"/>
  <c r="M204" i="2"/>
  <c r="M200" i="2"/>
  <c r="B206" i="2"/>
  <c r="C206" i="2"/>
  <c r="D206" i="2"/>
  <c r="E206" i="2"/>
  <c r="F206" i="2"/>
  <c r="I206" i="2"/>
  <c r="J206" i="2"/>
  <c r="K206" i="2"/>
  <c r="L206" i="2"/>
  <c r="M206" i="2"/>
  <c r="C219" i="2"/>
  <c r="E219" i="2"/>
  <c r="F219" i="2"/>
  <c r="B229" i="2"/>
  <c r="B230" i="2"/>
  <c r="C229" i="2"/>
  <c r="C232" i="2"/>
  <c r="D229" i="2"/>
  <c r="D230" i="2"/>
  <c r="E229" i="2"/>
  <c r="E230" i="2"/>
  <c r="F229" i="2"/>
  <c r="C231" i="2"/>
  <c r="E231" i="2"/>
  <c r="C235" i="2"/>
  <c r="C98" i="1" s="1"/>
  <c r="B239" i="2"/>
  <c r="B240" i="2" s="1"/>
  <c r="C239" i="2"/>
  <c r="C240" i="2" s="1"/>
  <c r="D239" i="2"/>
  <c r="D240" i="2" s="1"/>
  <c r="D241" i="2" s="1"/>
  <c r="D126" i="1" s="1"/>
  <c r="E239" i="2"/>
  <c r="E240" i="2"/>
  <c r="F239" i="2"/>
  <c r="F240" i="2"/>
  <c r="B248" i="2"/>
  <c r="C248" i="2"/>
  <c r="C249" i="2"/>
  <c r="D248" i="2"/>
  <c r="E248" i="2"/>
  <c r="E249" i="2" s="1"/>
  <c r="F248" i="2"/>
  <c r="D249" i="2"/>
  <c r="D250" i="2"/>
  <c r="B253" i="2"/>
  <c r="B254" i="2" s="1"/>
  <c r="C253" i="2"/>
  <c r="C254" i="2" s="1"/>
  <c r="D253" i="2"/>
  <c r="D255" i="2" s="1"/>
  <c r="E253" i="2"/>
  <c r="F253" i="2"/>
  <c r="F254" i="2"/>
  <c r="C255" i="2"/>
  <c r="F255" i="2"/>
  <c r="B258" i="2"/>
  <c r="B259" i="2" s="1"/>
  <c r="C258" i="2"/>
  <c r="C259" i="2" s="1"/>
  <c r="D258" i="2"/>
  <c r="E258" i="2"/>
  <c r="E260" i="2" s="1"/>
  <c r="F258" i="2"/>
  <c r="B260" i="2"/>
  <c r="B263" i="2"/>
  <c r="C263" i="2"/>
  <c r="C264" i="2"/>
  <c r="D263" i="2"/>
  <c r="D265" i="2"/>
  <c r="E263" i="2"/>
  <c r="E264" i="2"/>
  <c r="F263" i="2"/>
  <c r="C265" i="2"/>
  <c r="B268" i="2"/>
  <c r="C268" i="2"/>
  <c r="C270" i="2" s="1"/>
  <c r="D268" i="2"/>
  <c r="D270" i="2" s="1"/>
  <c r="E268" i="2"/>
  <c r="F268" i="2"/>
  <c r="F269" i="2"/>
  <c r="B273" i="2"/>
  <c r="B321" i="2"/>
  <c r="C273" i="2"/>
  <c r="C274" i="2"/>
  <c r="D273" i="2"/>
  <c r="D274" i="2"/>
  <c r="E273" i="2"/>
  <c r="E274" i="2"/>
  <c r="F273" i="2"/>
  <c r="F274" i="2"/>
  <c r="E275" i="2"/>
  <c r="B278" i="2"/>
  <c r="C278" i="2"/>
  <c r="C279" i="2"/>
  <c r="D278" i="2"/>
  <c r="D280" i="2"/>
  <c r="E278" i="2"/>
  <c r="E280" i="2"/>
  <c r="F278" i="2"/>
  <c r="F279" i="2"/>
  <c r="E279" i="2"/>
  <c r="F280" i="2"/>
  <c r="B283" i="2"/>
  <c r="B284" i="2"/>
  <c r="C283" i="2"/>
  <c r="D283" i="2"/>
  <c r="D284" i="2" s="1"/>
  <c r="E283" i="2"/>
  <c r="E285" i="2"/>
  <c r="F283" i="2"/>
  <c r="F284" i="2"/>
  <c r="D285" i="2"/>
  <c r="B288" i="2"/>
  <c r="B327" i="2" s="1"/>
  <c r="C288" i="2"/>
  <c r="C290" i="2" s="1"/>
  <c r="D288" i="2"/>
  <c r="E288" i="2"/>
  <c r="E289" i="2" s="1"/>
  <c r="F288" i="2"/>
  <c r="F289" i="2" s="1"/>
  <c r="C289" i="2"/>
  <c r="F290" i="2"/>
  <c r="B293" i="2"/>
  <c r="C293" i="2"/>
  <c r="C295" i="2" s="1"/>
  <c r="D293" i="2"/>
  <c r="E293" i="2"/>
  <c r="E294" i="2" s="1"/>
  <c r="F293" i="2"/>
  <c r="C298" i="2"/>
  <c r="C302" i="2" s="1"/>
  <c r="C157" i="1" s="1"/>
  <c r="C304" i="2"/>
  <c r="D298" i="2"/>
  <c r="E298" i="2"/>
  <c r="E302" i="2" s="1"/>
  <c r="E304" i="2"/>
  <c r="F298" i="2"/>
  <c r="F302" i="2"/>
  <c r="F304" i="2" s="1"/>
  <c r="C299" i="2"/>
  <c r="D299" i="2"/>
  <c r="E299" i="2"/>
  <c r="F299" i="2"/>
  <c r="C300" i="2"/>
  <c r="C303" i="2" s="1"/>
  <c r="F300" i="2"/>
  <c r="F303" i="2"/>
  <c r="B306" i="2"/>
  <c r="C306" i="2"/>
  <c r="D306" i="2"/>
  <c r="E306" i="2"/>
  <c r="F306" i="2"/>
  <c r="B312" i="2"/>
  <c r="B313" i="2" s="1"/>
  <c r="B325" i="2"/>
  <c r="B334" i="2"/>
  <c r="B335" i="2"/>
  <c r="B336" i="2"/>
  <c r="B340" i="2"/>
  <c r="E340" i="2"/>
  <c r="B341" i="2"/>
  <c r="C341" i="2"/>
  <c r="E341" i="2"/>
  <c r="B349" i="2"/>
  <c r="B351" i="2"/>
  <c r="B352" i="2" s="1"/>
  <c r="C349" i="2"/>
  <c r="C353" i="2" s="1"/>
  <c r="B357" i="2"/>
  <c r="C357" i="2"/>
  <c r="D357" i="2"/>
  <c r="B358" i="2"/>
  <c r="C358" i="2"/>
  <c r="D358" i="2"/>
  <c r="B359" i="2"/>
  <c r="C359" i="2"/>
  <c r="D359" i="2"/>
  <c r="B360" i="2"/>
  <c r="C360" i="2"/>
  <c r="D360" i="2"/>
  <c r="B361" i="2"/>
  <c r="C361" i="2"/>
  <c r="D361" i="2"/>
  <c r="B362" i="2"/>
  <c r="C362" i="2"/>
  <c r="D362" i="2"/>
  <c r="B363" i="2"/>
  <c r="C363" i="2"/>
  <c r="D363" i="2"/>
  <c r="B364" i="2"/>
  <c r="C364" i="2"/>
  <c r="D364" i="2"/>
  <c r="B365" i="2"/>
  <c r="C365" i="2"/>
  <c r="D365" i="2"/>
  <c r="B366" i="2"/>
  <c r="C366" i="2"/>
  <c r="D366" i="2"/>
  <c r="D369" i="2"/>
  <c r="C151" i="36" s="1"/>
  <c r="D370" i="2"/>
  <c r="B375" i="2"/>
  <c r="B371" i="2"/>
  <c r="B376" i="2"/>
  <c r="B372" i="2"/>
  <c r="B377" i="2"/>
  <c r="B373" i="2"/>
  <c r="B378" i="2"/>
  <c r="B379" i="2"/>
  <c r="B385" i="2"/>
  <c r="B388" i="2"/>
  <c r="C385" i="2"/>
  <c r="C388" i="2"/>
  <c r="C387" i="2"/>
  <c r="C389" i="2"/>
  <c r="C390" i="2" s="1"/>
  <c r="H6" i="32"/>
  <c r="H7" i="32"/>
  <c r="G8" i="32"/>
  <c r="H9" i="32"/>
  <c r="H10" i="32"/>
  <c r="H11" i="32"/>
  <c r="H12" i="32"/>
  <c r="H13" i="32"/>
  <c r="H14" i="32"/>
  <c r="H15" i="32"/>
  <c r="H16" i="32"/>
  <c r="H19" i="32"/>
  <c r="H20" i="32"/>
  <c r="H21" i="32"/>
  <c r="H22" i="32"/>
  <c r="H23" i="32"/>
  <c r="H24" i="32"/>
  <c r="H25" i="32"/>
  <c r="H26" i="32"/>
  <c r="H27" i="32"/>
  <c r="H30" i="32"/>
  <c r="H31" i="32"/>
  <c r="H32" i="32"/>
  <c r="H33" i="32"/>
  <c r="H34" i="32"/>
  <c r="H35" i="32"/>
  <c r="H36" i="32"/>
  <c r="H37" i="32"/>
  <c r="H38" i="32"/>
  <c r="H41" i="32"/>
  <c r="H43" i="32"/>
  <c r="H44" i="32"/>
  <c r="H46" i="32"/>
  <c r="H47" i="32"/>
  <c r="H50" i="32"/>
  <c r="H51" i="32"/>
  <c r="H56" i="32"/>
  <c r="H57" i="32"/>
  <c r="H58" i="32"/>
  <c r="H59" i="32"/>
  <c r="H60" i="32"/>
  <c r="H61" i="32"/>
  <c r="H62" i="32"/>
  <c r="H63" i="32"/>
  <c r="H65" i="32"/>
  <c r="H66" i="32"/>
  <c r="H67" i="32"/>
  <c r="H68" i="32"/>
  <c r="H69" i="32"/>
  <c r="H70" i="32"/>
  <c r="H71" i="32"/>
  <c r="H72" i="32"/>
  <c r="H73" i="32"/>
  <c r="H74" i="32"/>
  <c r="H75" i="32"/>
  <c r="H77" i="32"/>
  <c r="H78" i="32"/>
  <c r="H79" i="32"/>
  <c r="H80" i="32"/>
  <c r="H81" i="32"/>
  <c r="H82" i="32"/>
  <c r="H83" i="32"/>
  <c r="E5" i="19"/>
  <c r="G11" i="19"/>
  <c r="G14" i="19"/>
  <c r="G17" i="19"/>
  <c r="G18" i="19"/>
  <c r="G21" i="19"/>
  <c r="G22" i="19"/>
  <c r="G23" i="19"/>
  <c r="G24" i="19"/>
  <c r="G25" i="19"/>
  <c r="G34" i="19"/>
  <c r="H7" i="52"/>
  <c r="H8" i="52"/>
  <c r="H9" i="52"/>
  <c r="H10" i="52"/>
  <c r="H11" i="52"/>
  <c r="H12" i="52"/>
  <c r="H13" i="52"/>
  <c r="H14" i="52"/>
  <c r="H15" i="52"/>
  <c r="H16" i="52"/>
  <c r="H17" i="52"/>
  <c r="H18" i="52"/>
  <c r="H19" i="52"/>
  <c r="H20" i="52"/>
  <c r="H21" i="52"/>
  <c r="H22" i="52"/>
  <c r="H23" i="52"/>
  <c r="C55" i="36"/>
  <c r="C62" i="36"/>
  <c r="C78" i="36"/>
  <c r="C84" i="36"/>
  <c r="C105" i="36"/>
  <c r="C120" i="36"/>
  <c r="G123" i="36"/>
  <c r="G124" i="36"/>
  <c r="G125" i="36"/>
  <c r="G126" i="36"/>
  <c r="G127" i="36"/>
  <c r="G128" i="36"/>
  <c r="G129" i="36"/>
  <c r="G130" i="36"/>
  <c r="G131" i="36"/>
  <c r="C141" i="36"/>
  <c r="C175" i="36"/>
  <c r="C177" i="36"/>
  <c r="A13" i="24"/>
  <c r="F1" i="1"/>
  <c r="G1" i="1"/>
  <c r="K2" i="1"/>
  <c r="K3" i="1"/>
  <c r="M3" i="1"/>
  <c r="C76" i="36"/>
  <c r="N3" i="1"/>
  <c r="C4" i="2"/>
  <c r="K4" i="1"/>
  <c r="K278" i="2"/>
  <c r="N4" i="1"/>
  <c r="C5" i="2" s="1"/>
  <c r="K5" i="1"/>
  <c r="M5" i="1"/>
  <c r="N5" i="1"/>
  <c r="C8" i="2" s="1"/>
  <c r="K6" i="1"/>
  <c r="N6" i="1"/>
  <c r="N7" i="1"/>
  <c r="H12" i="1"/>
  <c r="I12" i="1"/>
  <c r="J12" i="1"/>
  <c r="K12" i="1"/>
  <c r="H14" i="1"/>
  <c r="I14" i="1"/>
  <c r="J14" i="1"/>
  <c r="K14" i="1"/>
  <c r="H16" i="1"/>
  <c r="I16" i="1"/>
  <c r="J16" i="1"/>
  <c r="K16" i="1"/>
  <c r="H18" i="1"/>
  <c r="I18" i="1"/>
  <c r="J18" i="1"/>
  <c r="K18" i="1"/>
  <c r="H20" i="1"/>
  <c r="I20" i="1"/>
  <c r="J20" i="1"/>
  <c r="K20" i="1"/>
  <c r="H22" i="1"/>
  <c r="I22" i="1"/>
  <c r="J22" i="1"/>
  <c r="K22" i="1"/>
  <c r="H24" i="1"/>
  <c r="I24" i="1"/>
  <c r="J24" i="1"/>
  <c r="K24" i="1"/>
  <c r="H26" i="1"/>
  <c r="I26" i="1"/>
  <c r="J26" i="1"/>
  <c r="K26" i="1"/>
  <c r="H28" i="1"/>
  <c r="I28" i="1"/>
  <c r="J28" i="1"/>
  <c r="K28" i="1"/>
  <c r="H30" i="1"/>
  <c r="I30" i="1"/>
  <c r="J30" i="1"/>
  <c r="K30" i="1"/>
  <c r="H32" i="1"/>
  <c r="I32" i="1"/>
  <c r="J32" i="1"/>
  <c r="K32" i="1"/>
  <c r="H34" i="1"/>
  <c r="I34" i="1"/>
  <c r="J34" i="1"/>
  <c r="K34" i="1"/>
  <c r="H36" i="1"/>
  <c r="I36" i="1"/>
  <c r="J36" i="1"/>
  <c r="K36" i="1"/>
  <c r="H38" i="1"/>
  <c r="I38" i="1"/>
  <c r="J38" i="1"/>
  <c r="K38" i="1"/>
  <c r="H40" i="1"/>
  <c r="I40" i="1"/>
  <c r="J40" i="1"/>
  <c r="K40" i="1"/>
  <c r="D45" i="1"/>
  <c r="D60" i="2"/>
  <c r="A60" i="2" s="1"/>
  <c r="E45" i="1"/>
  <c r="M47" i="1"/>
  <c r="D49" i="1"/>
  <c r="E49" i="1"/>
  <c r="O49" i="1"/>
  <c r="F166" i="2"/>
  <c r="F101" i="1" s="1"/>
  <c r="P49" i="1"/>
  <c r="J166" i="2" s="1"/>
  <c r="M51" i="1"/>
  <c r="O51" i="1"/>
  <c r="D53" i="1"/>
  <c r="E53" i="1"/>
  <c r="O53" i="1"/>
  <c r="P53" i="1"/>
  <c r="J167" i="2"/>
  <c r="I102" i="1" s="1"/>
  <c r="D57" i="1"/>
  <c r="E57" i="1"/>
  <c r="O57" i="1"/>
  <c r="B168" i="2"/>
  <c r="B103" i="1" s="1"/>
  <c r="P57" i="1"/>
  <c r="E111" i="2" s="1"/>
  <c r="D61" i="1"/>
  <c r="E61" i="1"/>
  <c r="O61" i="1"/>
  <c r="P61" i="1"/>
  <c r="J169" i="2" s="1"/>
  <c r="I104" i="1" s="1"/>
  <c r="M63" i="1"/>
  <c r="D65" i="1"/>
  <c r="E65" i="1"/>
  <c r="O65" i="1"/>
  <c r="P65" i="1"/>
  <c r="J67" i="1"/>
  <c r="O67" i="1"/>
  <c r="D69" i="1"/>
  <c r="E69" i="1"/>
  <c r="O69" i="1"/>
  <c r="P69" i="1"/>
  <c r="J171" i="2"/>
  <c r="I106" i="1" s="1"/>
  <c r="M71" i="1"/>
  <c r="D73" i="1"/>
  <c r="E73" i="1"/>
  <c r="O73" i="1"/>
  <c r="P73" i="1"/>
  <c r="L172" i="2" s="1"/>
  <c r="K107" i="1" s="1"/>
  <c r="J75" i="1"/>
  <c r="M75" i="1"/>
  <c r="O75" i="1"/>
  <c r="D77" i="1"/>
  <c r="E77" i="1"/>
  <c r="O77" i="1"/>
  <c r="P77" i="1"/>
  <c r="J173" i="2"/>
  <c r="I108" i="1" s="1"/>
  <c r="J79" i="1"/>
  <c r="O79" i="1"/>
  <c r="D81" i="1"/>
  <c r="E81" i="1"/>
  <c r="O81" i="1"/>
  <c r="P81" i="1"/>
  <c r="M83" i="1"/>
  <c r="C85" i="1"/>
  <c r="C86" i="1"/>
  <c r="M87" i="1"/>
  <c r="M88" i="1"/>
  <c r="F89" i="1"/>
  <c r="M89" i="1"/>
  <c r="G29" i="53" s="1"/>
  <c r="B90" i="1"/>
  <c r="C90" i="1"/>
  <c r="E90" i="1"/>
  <c r="M90" i="1"/>
  <c r="M91" i="1"/>
  <c r="H29" i="53" s="1"/>
  <c r="M92" i="1"/>
  <c r="AH8" i="54" s="1"/>
  <c r="M93" i="1"/>
  <c r="I29" i="53"/>
  <c r="B97" i="1"/>
  <c r="C97" i="1"/>
  <c r="D97" i="1"/>
  <c r="E97" i="1"/>
  <c r="F97" i="1"/>
  <c r="H97" i="1"/>
  <c r="I97" i="1"/>
  <c r="J97" i="1"/>
  <c r="K97" i="1"/>
  <c r="L97" i="1"/>
  <c r="H98" i="1"/>
  <c r="I98" i="1"/>
  <c r="J98" i="1"/>
  <c r="K98" i="1"/>
  <c r="L98" i="1"/>
  <c r="C110" i="1"/>
  <c r="D111" i="1"/>
  <c r="F111" i="1"/>
  <c r="C112" i="1"/>
  <c r="E112" i="1"/>
  <c r="C113" i="1"/>
  <c r="E113" i="1"/>
  <c r="I120" i="1"/>
  <c r="J187" i="2" s="1"/>
  <c r="K120" i="1"/>
  <c r="L187" i="2" s="1"/>
  <c r="D125" i="1"/>
  <c r="C129" i="1"/>
  <c r="C195" i="2" s="1"/>
  <c r="D129" i="1"/>
  <c r="D195" i="2" s="1"/>
  <c r="E129" i="1"/>
  <c r="E195" i="2" s="1"/>
  <c r="F129" i="1"/>
  <c r="F195" i="2" s="1"/>
  <c r="I129" i="1"/>
  <c r="J195" i="2" s="1"/>
  <c r="J129" i="1"/>
  <c r="K195" i="2" s="1"/>
  <c r="K129" i="1"/>
  <c r="L195" i="2" s="1"/>
  <c r="L129" i="1"/>
  <c r="M195" i="2" s="1"/>
  <c r="C131" i="1"/>
  <c r="C197" i="2" s="1"/>
  <c r="D131" i="1"/>
  <c r="D197" i="2" s="1"/>
  <c r="E131" i="1"/>
  <c r="E197" i="2" s="1"/>
  <c r="F131" i="1"/>
  <c r="F197" i="2" s="1"/>
  <c r="I131" i="1"/>
  <c r="J197" i="2" s="1"/>
  <c r="J131" i="1"/>
  <c r="K197" i="2"/>
  <c r="K131" i="1"/>
  <c r="L197" i="2" s="1"/>
  <c r="L131" i="1"/>
  <c r="M197" i="2" s="1"/>
  <c r="C141" i="1"/>
  <c r="E141" i="1"/>
  <c r="F141" i="1"/>
  <c r="H145" i="1"/>
  <c r="I145" i="1"/>
  <c r="J145" i="1"/>
  <c r="K145" i="1"/>
  <c r="L145" i="1"/>
  <c r="C25" i="53"/>
  <c r="F157" i="1"/>
  <c r="F25" i="53" s="1"/>
  <c r="C6" i="25"/>
  <c r="C7" i="25"/>
  <c r="C8" i="25"/>
  <c r="C9" i="25"/>
  <c r="C10" i="25"/>
  <c r="C11" i="25"/>
  <c r="C12" i="25"/>
  <c r="C13" i="25"/>
  <c r="B15" i="25"/>
  <c r="C17" i="25"/>
  <c r="C18" i="25"/>
  <c r="C19" i="25"/>
  <c r="C20" i="25"/>
  <c r="C21" i="25"/>
  <c r="C22" i="25"/>
  <c r="C23" i="25"/>
  <c r="C24" i="25"/>
  <c r="C25" i="25"/>
  <c r="C26" i="25"/>
  <c r="C27" i="25"/>
  <c r="C28" i="25"/>
  <c r="C29" i="25"/>
  <c r="C30" i="25"/>
  <c r="C31" i="25"/>
  <c r="C32" i="25"/>
  <c r="C33" i="25"/>
  <c r="C34" i="25"/>
  <c r="C35" i="25"/>
  <c r="C36" i="25"/>
  <c r="C37" i="25"/>
  <c r="C38" i="25"/>
  <c r="C39" i="25"/>
  <c r="B41" i="25"/>
  <c r="C41" i="25"/>
  <c r="B49" i="25"/>
  <c r="B1" i="58"/>
  <c r="A3" i="58"/>
  <c r="A4" i="58"/>
  <c r="B4" i="58"/>
  <c r="C4" i="58"/>
  <c r="D4" i="58"/>
  <c r="A5" i="58"/>
  <c r="B5" i="58"/>
  <c r="C5" i="58"/>
  <c r="D5" i="58"/>
  <c r="A6" i="58"/>
  <c r="B6" i="58"/>
  <c r="C6" i="58"/>
  <c r="D6" i="58"/>
  <c r="A7" i="58"/>
  <c r="B7" i="58"/>
  <c r="C7" i="58"/>
  <c r="D7" i="58"/>
  <c r="A8" i="58"/>
  <c r="B8" i="58"/>
  <c r="A9" i="58"/>
  <c r="B9" i="58"/>
  <c r="C9" i="58"/>
  <c r="D9" i="58"/>
  <c r="A10" i="58"/>
  <c r="B10" i="58"/>
  <c r="C10" i="58"/>
  <c r="D10" i="58"/>
  <c r="A12" i="58"/>
  <c r="A13" i="58"/>
  <c r="B13" i="58"/>
  <c r="C13" i="58"/>
  <c r="D13" i="58"/>
  <c r="A14" i="58"/>
  <c r="B14" i="58"/>
  <c r="C14" i="58"/>
  <c r="D14" i="58"/>
  <c r="A15" i="58"/>
  <c r="B15" i="58"/>
  <c r="C15" i="58"/>
  <c r="D15" i="58"/>
  <c r="A16" i="58"/>
  <c r="B16" i="58"/>
  <c r="C16" i="58"/>
  <c r="D16" i="58"/>
  <c r="A17" i="58"/>
  <c r="B17" i="58"/>
  <c r="C17" i="58"/>
  <c r="D17" i="58"/>
  <c r="A18" i="58"/>
  <c r="B18" i="58"/>
  <c r="A19" i="58"/>
  <c r="B19" i="58"/>
  <c r="A20" i="58"/>
  <c r="B20" i="58"/>
  <c r="A21" i="58"/>
  <c r="B21" i="58"/>
  <c r="A22" i="58"/>
  <c r="B22" i="58"/>
  <c r="A24" i="58"/>
  <c r="B24" i="58"/>
  <c r="C24" i="58"/>
  <c r="A25" i="58"/>
  <c r="B25" i="58"/>
  <c r="C25" i="58"/>
  <c r="A26" i="58"/>
  <c r="C26" i="58"/>
  <c r="A27" i="58"/>
  <c r="B27" i="58"/>
  <c r="C27" i="58"/>
  <c r="A28" i="58"/>
  <c r="B28" i="58"/>
  <c r="C28" i="58"/>
  <c r="A29" i="58"/>
  <c r="A30" i="58"/>
  <c r="C30" i="58"/>
  <c r="A34" i="58"/>
  <c r="A35" i="58"/>
  <c r="A36" i="58"/>
  <c r="A37" i="58"/>
  <c r="A38" i="58"/>
  <c r="A39" i="58"/>
  <c r="A40" i="58"/>
  <c r="A41" i="58"/>
  <c r="A42" i="58"/>
  <c r="A43" i="58"/>
  <c r="A44" i="58"/>
  <c r="A45" i="58"/>
  <c r="A46" i="58"/>
  <c r="A47" i="58"/>
  <c r="A48" i="58"/>
  <c r="A49" i="58"/>
  <c r="A50" i="58"/>
  <c r="A51" i="58"/>
  <c r="A52" i="58"/>
  <c r="A53" i="58"/>
  <c r="A54" i="58"/>
  <c r="A55" i="58"/>
  <c r="A56" i="58"/>
  <c r="A57" i="58"/>
  <c r="A58" i="58"/>
  <c r="B8" i="54"/>
  <c r="C8" i="54"/>
  <c r="D8" i="54"/>
  <c r="E8" i="54"/>
  <c r="F8" i="54"/>
  <c r="G8" i="54"/>
  <c r="H8" i="54"/>
  <c r="I8" i="54"/>
  <c r="J8" i="54"/>
  <c r="K8" i="54"/>
  <c r="L8" i="54"/>
  <c r="M8" i="54"/>
  <c r="N8" i="54"/>
  <c r="O8" i="54"/>
  <c r="P8" i="54"/>
  <c r="Q8" i="54"/>
  <c r="R8" i="54"/>
  <c r="S8" i="54"/>
  <c r="T8" i="54"/>
  <c r="U8" i="54"/>
  <c r="V8" i="54"/>
  <c r="W8" i="54"/>
  <c r="X8" i="54"/>
  <c r="Y8" i="54"/>
  <c r="Z8" i="54"/>
  <c r="AA8" i="54"/>
  <c r="AB8" i="54"/>
  <c r="AC8" i="54"/>
  <c r="AD8" i="54"/>
  <c r="AE8" i="54"/>
  <c r="AF8" i="54"/>
  <c r="AI8" i="54"/>
  <c r="AJ8" i="54"/>
  <c r="AK8" i="54"/>
  <c r="AL8" i="54"/>
  <c r="AM8" i="54"/>
  <c r="H13" i="64"/>
  <c r="I13" i="64" s="1"/>
  <c r="H14" i="64"/>
  <c r="H15" i="64"/>
  <c r="H21" i="64"/>
  <c r="I21" i="64"/>
  <c r="I27" i="64" s="1"/>
  <c r="B36" i="64"/>
  <c r="H4" i="64" s="1"/>
  <c r="B42" i="64"/>
  <c r="E44" i="64"/>
  <c r="H6" i="64"/>
  <c r="I6" i="64" s="1"/>
  <c r="B2" i="11"/>
  <c r="B3" i="11"/>
  <c r="B5" i="11"/>
  <c r="B27" i="18"/>
  <c r="A19" i="24" s="1"/>
  <c r="B28" i="18"/>
  <c r="E208" i="2"/>
  <c r="E133" i="1" s="1"/>
  <c r="E213" i="2"/>
  <c r="E152" i="1" s="1"/>
  <c r="E205" i="2"/>
  <c r="E207" i="2" s="1"/>
  <c r="E136" i="1" s="1"/>
  <c r="E24" i="53" s="1"/>
  <c r="E194" i="2"/>
  <c r="E135" i="1" s="1"/>
  <c r="E203" i="2"/>
  <c r="E150" i="1"/>
  <c r="E216" i="2"/>
  <c r="E155" i="1"/>
  <c r="K42" i="61"/>
  <c r="B1" i="11"/>
  <c r="B4" i="11" s="1"/>
  <c r="B6" i="11" s="1"/>
  <c r="B7" i="11" s="1"/>
  <c r="B8" i="11" s="1"/>
  <c r="B9" i="11"/>
  <c r="B10" i="11" s="1"/>
  <c r="B43" i="25"/>
  <c r="B46" i="25"/>
  <c r="E366" i="2"/>
  <c r="E362" i="2"/>
  <c r="E358" i="2"/>
  <c r="F334" i="2"/>
  <c r="E145" i="1" s="1"/>
  <c r="B324" i="2"/>
  <c r="E295" i="2"/>
  <c r="B285" i="2"/>
  <c r="E265" i="2"/>
  <c r="B255" i="2"/>
  <c r="E250" i="2"/>
  <c r="E232" i="2"/>
  <c r="C215" i="2"/>
  <c r="C154" i="1"/>
  <c r="C188" i="2"/>
  <c r="B140" i="2"/>
  <c r="H114" i="2"/>
  <c r="H112" i="2"/>
  <c r="H110" i="2"/>
  <c r="G91" i="2"/>
  <c r="H77" i="2"/>
  <c r="I77" i="2" s="1"/>
  <c r="L77" i="2" s="1"/>
  <c r="H75" i="2"/>
  <c r="G54" i="2"/>
  <c r="I54" i="2"/>
  <c r="N54" i="2" s="1"/>
  <c r="N55" i="2" s="1"/>
  <c r="H42" i="2"/>
  <c r="G13" i="2"/>
  <c r="I13" i="2" s="1"/>
  <c r="F275" i="2"/>
  <c r="C214" i="2"/>
  <c r="C153" i="1"/>
  <c r="C209" i="2"/>
  <c r="C148" i="1" s="1"/>
  <c r="C198" i="2"/>
  <c r="C201" i="2" s="1"/>
  <c r="C196" i="2"/>
  <c r="C130" i="1" s="1"/>
  <c r="C245" i="2" s="1"/>
  <c r="C139" i="1" s="1"/>
  <c r="C193" i="2"/>
  <c r="C128" i="1"/>
  <c r="H29" i="2"/>
  <c r="E157" i="1"/>
  <c r="E25" i="53" s="1"/>
  <c r="E110" i="1"/>
  <c r="E364" i="2"/>
  <c r="E360" i="2"/>
  <c r="B314" i="2"/>
  <c r="B315" i="2"/>
  <c r="M283" i="2"/>
  <c r="C280" i="2"/>
  <c r="D269" i="2"/>
  <c r="C250" i="2"/>
  <c r="D231" i="2"/>
  <c r="C221" i="2"/>
  <c r="C143" i="1" s="1"/>
  <c r="C217" i="2"/>
  <c r="C156" i="1" s="1"/>
  <c r="G138" i="2"/>
  <c r="G122" i="2"/>
  <c r="G103" i="2"/>
  <c r="H89" i="2"/>
  <c r="G60" i="2"/>
  <c r="H40" i="2"/>
  <c r="A38" i="2"/>
  <c r="I15" i="64"/>
  <c r="B294" i="2"/>
  <c r="B328" i="2"/>
  <c r="D264" i="2"/>
  <c r="I299" i="2"/>
  <c r="D300" i="2"/>
  <c r="D303" i="2" s="1"/>
  <c r="D302" i="2"/>
  <c r="K268" i="2"/>
  <c r="K263" i="2"/>
  <c r="F241" i="2"/>
  <c r="F126" i="1" s="1"/>
  <c r="F125" i="1"/>
  <c r="C46" i="2"/>
  <c r="A46" i="2"/>
  <c r="G17" i="2"/>
  <c r="I17" i="2" s="1"/>
  <c r="L17" i="2" s="1"/>
  <c r="B45" i="2"/>
  <c r="C45" i="2"/>
  <c r="G52" i="2"/>
  <c r="I52" i="2"/>
  <c r="G89" i="2"/>
  <c r="I89" i="2" s="1"/>
  <c r="G124" i="2"/>
  <c r="I124" i="2"/>
  <c r="L124" i="2"/>
  <c r="L125" i="2" s="1"/>
  <c r="B44" i="2"/>
  <c r="H50" i="2"/>
  <c r="I50" i="2"/>
  <c r="H15" i="2"/>
  <c r="I15" i="2" s="1"/>
  <c r="C44" i="2"/>
  <c r="H122" i="2"/>
  <c r="H87" i="2"/>
  <c r="A43" i="2"/>
  <c r="B43" i="2"/>
  <c r="C43" i="2"/>
  <c r="G11" i="2"/>
  <c r="G118" i="2"/>
  <c r="I118" i="2"/>
  <c r="G46" i="2"/>
  <c r="I46" i="2" s="1"/>
  <c r="L46" i="2" s="1"/>
  <c r="G83" i="2"/>
  <c r="E81" i="2"/>
  <c r="L168" i="2"/>
  <c r="K103" i="1"/>
  <c r="B329" i="2"/>
  <c r="K298" i="2"/>
  <c r="K288" i="2"/>
  <c r="C284" i="2"/>
  <c r="C285" i="2"/>
  <c r="D275" i="2"/>
  <c r="B274" i="2"/>
  <c r="B320" i="2"/>
  <c r="B269" i="2"/>
  <c r="B270" i="2"/>
  <c r="B318" i="2"/>
  <c r="B319" i="2"/>
  <c r="F264" i="2"/>
  <c r="F265" i="2"/>
  <c r="B264" i="2"/>
  <c r="B265" i="2"/>
  <c r="B316" i="2"/>
  <c r="B317" i="2" s="1"/>
  <c r="C260" i="2"/>
  <c r="F230" i="2"/>
  <c r="F231" i="2"/>
  <c r="E190" i="2"/>
  <c r="E123" i="1"/>
  <c r="E198" i="2"/>
  <c r="E201" i="2" s="1"/>
  <c r="E209" i="2"/>
  <c r="E148" i="1"/>
  <c r="E212" i="2"/>
  <c r="E151" i="1" s="1"/>
  <c r="E215" i="2"/>
  <c r="E154" i="1"/>
  <c r="E217" i="2"/>
  <c r="E156" i="1" s="1"/>
  <c r="E221" i="2"/>
  <c r="E192" i="2"/>
  <c r="E127" i="1" s="1"/>
  <c r="E214" i="2"/>
  <c r="E153" i="1" s="1"/>
  <c r="E236" i="2"/>
  <c r="E99" i="1"/>
  <c r="E181" i="2"/>
  <c r="E114" i="1" s="1"/>
  <c r="E185" i="2"/>
  <c r="E188" i="2"/>
  <c r="E191" i="2"/>
  <c r="E124" i="1" s="1"/>
  <c r="E196" i="2"/>
  <c r="E130" i="1"/>
  <c r="E245" i="2" s="1"/>
  <c r="E139" i="1" s="1"/>
  <c r="E210" i="2"/>
  <c r="E149" i="1" s="1"/>
  <c r="E183" i="2"/>
  <c r="E193" i="2"/>
  <c r="E128" i="1"/>
  <c r="E218" i="2"/>
  <c r="E140" i="1" s="1"/>
  <c r="E235" i="2"/>
  <c r="E98" i="1"/>
  <c r="D110" i="1"/>
  <c r="D180" i="2"/>
  <c r="L166" i="2"/>
  <c r="K101" i="1"/>
  <c r="I16" i="60"/>
  <c r="J16" i="60" s="1"/>
  <c r="F294" i="2"/>
  <c r="F295" i="2"/>
  <c r="F296" i="2" s="1"/>
  <c r="B241" i="2"/>
  <c r="B126" i="1"/>
  <c r="B125" i="1"/>
  <c r="J174" i="2"/>
  <c r="I109" i="1"/>
  <c r="L174" i="2"/>
  <c r="K109" i="1" s="1"/>
  <c r="K229" i="2"/>
  <c r="K239" i="2"/>
  <c r="K240" i="2" s="1"/>
  <c r="K248" i="2"/>
  <c r="K253" i="2"/>
  <c r="K254" i="2"/>
  <c r="K258" i="2"/>
  <c r="K283" i="2"/>
  <c r="K306" i="2"/>
  <c r="K299" i="2"/>
  <c r="E335" i="2"/>
  <c r="J120" i="1"/>
  <c r="K187" i="2"/>
  <c r="I248" i="2"/>
  <c r="I253" i="2"/>
  <c r="I239" i="2"/>
  <c r="I240" i="2"/>
  <c r="I288" i="2"/>
  <c r="I293" i="2"/>
  <c r="I294" i="2"/>
  <c r="H120" i="1"/>
  <c r="I187" i="2" s="1"/>
  <c r="I229" i="2"/>
  <c r="I263" i="2"/>
  <c r="I268" i="2"/>
  <c r="I270" i="2" s="1"/>
  <c r="I273" i="2"/>
  <c r="I274" i="2" s="1"/>
  <c r="I278" i="2"/>
  <c r="I298" i="2"/>
  <c r="I300" i="2" s="1"/>
  <c r="I303" i="2" s="1"/>
  <c r="C335" i="2"/>
  <c r="B295" i="2"/>
  <c r="D279" i="2"/>
  <c r="K273" i="2"/>
  <c r="O45" i="1"/>
  <c r="D91" i="2"/>
  <c r="A91" i="2" s="1"/>
  <c r="E28" i="53"/>
  <c r="L178" i="2"/>
  <c r="K112" i="1"/>
  <c r="L176" i="2"/>
  <c r="K110" i="1" s="1"/>
  <c r="B4" i="2"/>
  <c r="C100" i="36"/>
  <c r="C53" i="36"/>
  <c r="B26" i="58"/>
  <c r="C164" i="36"/>
  <c r="C351" i="2"/>
  <c r="C352" i="2" s="1"/>
  <c r="I306" i="2"/>
  <c r="F305" i="2"/>
  <c r="F158" i="1" s="1"/>
  <c r="F26" i="53"/>
  <c r="K293" i="2"/>
  <c r="K294" i="2"/>
  <c r="B289" i="2"/>
  <c r="B326" i="2"/>
  <c r="B290" i="2"/>
  <c r="B279" i="2"/>
  <c r="B280" i="2"/>
  <c r="B323" i="2"/>
  <c r="B322" i="2"/>
  <c r="B275" i="2"/>
  <c r="F270" i="2"/>
  <c r="F232" i="2"/>
  <c r="F112" i="1"/>
  <c r="F180" i="2"/>
  <c r="F212" i="2"/>
  <c r="F151" i="1" s="1"/>
  <c r="G27" i="2"/>
  <c r="G134" i="2"/>
  <c r="B50" i="2"/>
  <c r="C50" i="2"/>
  <c r="H25" i="2"/>
  <c r="I25" i="2" s="1"/>
  <c r="H97" i="2"/>
  <c r="I97" i="2"/>
  <c r="L97" i="2" s="1"/>
  <c r="L98" i="2" s="1"/>
  <c r="C49" i="2"/>
  <c r="H60" i="2"/>
  <c r="I60" i="2" s="1"/>
  <c r="H132" i="2"/>
  <c r="I132" i="2"/>
  <c r="B48" i="2"/>
  <c r="C48" i="2"/>
  <c r="G42" i="2"/>
  <c r="G79" i="2"/>
  <c r="I79" i="2"/>
  <c r="K79" i="2" s="1"/>
  <c r="K80" i="2" s="1"/>
  <c r="G40" i="2"/>
  <c r="I40" i="2"/>
  <c r="N40" i="2" s="1"/>
  <c r="G112" i="2"/>
  <c r="G5" i="2"/>
  <c r="I5" i="2"/>
  <c r="N5" i="2" s="1"/>
  <c r="N6" i="2" s="1"/>
  <c r="G3" i="2"/>
  <c r="I3" i="2"/>
  <c r="G38" i="2"/>
  <c r="I38" i="2" s="1"/>
  <c r="G75" i="2"/>
  <c r="G110" i="2"/>
  <c r="I110" i="2" s="1"/>
  <c r="D84" i="2"/>
  <c r="A84" i="2"/>
  <c r="O70" i="1" s="1"/>
  <c r="D171" i="2"/>
  <c r="D106" i="1"/>
  <c r="E363" i="2"/>
  <c r="E359" i="2"/>
  <c r="E276" i="2"/>
  <c r="E254" i="2"/>
  <c r="E255" i="2"/>
  <c r="E256" i="2"/>
  <c r="A156" i="2"/>
  <c r="A157" i="2" s="1"/>
  <c r="A158" i="2" s="1"/>
  <c r="D96" i="2"/>
  <c r="A96" i="2"/>
  <c r="J58" i="1" s="1"/>
  <c r="I91" i="2"/>
  <c r="N91" i="2"/>
  <c r="N92" i="2"/>
  <c r="G19" i="2"/>
  <c r="I19" i="2" s="1"/>
  <c r="G126" i="2"/>
  <c r="I126" i="2"/>
  <c r="B39" i="2"/>
  <c r="C39" i="2"/>
  <c r="C14" i="2"/>
  <c r="C9" i="2"/>
  <c r="C10" i="2" s="1"/>
  <c r="C11" i="2" s="1"/>
  <c r="C12" i="2" s="1"/>
  <c r="J170" i="2"/>
  <c r="I105" i="1" s="1"/>
  <c r="L170" i="2"/>
  <c r="K105" i="1"/>
  <c r="E98" i="2"/>
  <c r="E60" i="2"/>
  <c r="M229" i="2"/>
  <c r="M239" i="2"/>
  <c r="M240" i="2"/>
  <c r="M241" i="2" s="1"/>
  <c r="L126" i="1" s="1"/>
  <c r="E365" i="2"/>
  <c r="E361" i="2"/>
  <c r="E357" i="2"/>
  <c r="M298" i="2"/>
  <c r="E290" i="2"/>
  <c r="F285" i="2"/>
  <c r="C275" i="2"/>
  <c r="M273" i="2"/>
  <c r="C269" i="2"/>
  <c r="M263" i="2"/>
  <c r="C230" i="2"/>
  <c r="C192" i="2"/>
  <c r="C127" i="1" s="1"/>
  <c r="C194" i="2"/>
  <c r="C135" i="1" s="1"/>
  <c r="C236" i="2"/>
  <c r="C99" i="1"/>
  <c r="C181" i="2"/>
  <c r="C183" i="2"/>
  <c r="C185" i="2"/>
  <c r="C186" i="2" s="1"/>
  <c r="C119" i="1" s="1"/>
  <c r="C203" i="2"/>
  <c r="C205" i="2"/>
  <c r="C207" i="2" s="1"/>
  <c r="C136" i="1" s="1"/>
  <c r="C24" i="53" s="1"/>
  <c r="C208" i="2"/>
  <c r="C133" i="1"/>
  <c r="C210" i="2"/>
  <c r="C149" i="1" s="1"/>
  <c r="C211" i="2"/>
  <c r="C150" i="1"/>
  <c r="C213" i="2"/>
  <c r="C152" i="1" s="1"/>
  <c r="C216" i="2"/>
  <c r="C155" i="1"/>
  <c r="C218" i="2"/>
  <c r="C140" i="1" s="1"/>
  <c r="I85" i="2"/>
  <c r="N85" i="2" s="1"/>
  <c r="N86" i="2" s="1"/>
  <c r="G48" i="2"/>
  <c r="I48" i="2" s="1"/>
  <c r="H27" i="2"/>
  <c r="H62" i="2"/>
  <c r="I62" i="2" s="1"/>
  <c r="H99" i="2"/>
  <c r="I99" i="2"/>
  <c r="K99" i="2" s="1"/>
  <c r="K100" i="2" s="1"/>
  <c r="H134" i="2"/>
  <c r="G23" i="2"/>
  <c r="O23" i="2"/>
  <c r="G95" i="2"/>
  <c r="I95" i="2" s="1"/>
  <c r="C13" i="2"/>
  <c r="I23" i="56"/>
  <c r="C199" i="2"/>
  <c r="I23" i="60"/>
  <c r="D85" i="2"/>
  <c r="A85" i="2" s="1"/>
  <c r="O82" i="1" s="1"/>
  <c r="D115" i="2"/>
  <c r="A115" i="2"/>
  <c r="M82" i="1" s="1"/>
  <c r="E174" i="2"/>
  <c r="E109" i="1"/>
  <c r="D100" i="2"/>
  <c r="A100" i="2" s="1"/>
  <c r="J82" i="1" s="1"/>
  <c r="C174" i="2"/>
  <c r="C109" i="1"/>
  <c r="D174" i="2"/>
  <c r="D109" i="1" s="1"/>
  <c r="B174" i="2"/>
  <c r="B109" i="1"/>
  <c r="F174" i="2"/>
  <c r="F109" i="1" s="1"/>
  <c r="D97" i="2"/>
  <c r="A97" i="2"/>
  <c r="J62" i="1" s="1"/>
  <c r="D82" i="2"/>
  <c r="A82" i="2"/>
  <c r="O62" i="1"/>
  <c r="D112" i="2"/>
  <c r="A112" i="2" s="1"/>
  <c r="M62" i="1" s="1"/>
  <c r="C169" i="2"/>
  <c r="C104" i="1" s="1"/>
  <c r="E169" i="2"/>
  <c r="E104" i="1"/>
  <c r="F169" i="2"/>
  <c r="F104" i="1" s="1"/>
  <c r="B169" i="2"/>
  <c r="B104" i="1"/>
  <c r="D169" i="2"/>
  <c r="D104" i="1" s="1"/>
  <c r="E125" i="1"/>
  <c r="E241" i="2"/>
  <c r="E126" i="1"/>
  <c r="D98" i="2"/>
  <c r="A98" i="2"/>
  <c r="J66" i="1" s="1"/>
  <c r="D113" i="2"/>
  <c r="A113" i="2"/>
  <c r="M66" i="1"/>
  <c r="E170" i="2"/>
  <c r="E105" i="1" s="1"/>
  <c r="D83" i="2"/>
  <c r="A83" i="2"/>
  <c r="O66" i="1" s="1"/>
  <c r="C170" i="2"/>
  <c r="C105" i="1"/>
  <c r="D170" i="2"/>
  <c r="D105" i="1" s="1"/>
  <c r="B170" i="2"/>
  <c r="B105" i="1"/>
  <c r="F170" i="2"/>
  <c r="F105" i="1" s="1"/>
  <c r="E165" i="2"/>
  <c r="F165" i="2"/>
  <c r="D165" i="2"/>
  <c r="D106" i="2"/>
  <c r="A106" i="2" s="1"/>
  <c r="C140" i="2"/>
  <c r="F90" i="1"/>
  <c r="D109" i="2"/>
  <c r="A109" i="2" s="1"/>
  <c r="M74" i="1" s="1"/>
  <c r="D94" i="2"/>
  <c r="A94" i="2" s="1"/>
  <c r="J74" i="1" s="1"/>
  <c r="E172" i="2"/>
  <c r="E107" i="1"/>
  <c r="D79" i="2"/>
  <c r="A79" i="2" s="1"/>
  <c r="O74" i="1" s="1"/>
  <c r="C172" i="2"/>
  <c r="C107" i="1" s="1"/>
  <c r="D172" i="2"/>
  <c r="D107" i="1"/>
  <c r="D78" i="2"/>
  <c r="A78" i="2" s="1"/>
  <c r="O54" i="1" s="1"/>
  <c r="D108" i="2"/>
  <c r="A108" i="2"/>
  <c r="M54" i="1" s="1"/>
  <c r="D93" i="2"/>
  <c r="A93" i="2"/>
  <c r="J54" i="1"/>
  <c r="C167" i="2"/>
  <c r="C102" i="1" s="1"/>
  <c r="E167" i="2"/>
  <c r="E102" i="1"/>
  <c r="B167" i="2"/>
  <c r="B102" i="1" s="1"/>
  <c r="F167" i="2"/>
  <c r="F102" i="1"/>
  <c r="B370" i="2"/>
  <c r="E14" i="1"/>
  <c r="D19" i="2"/>
  <c r="G132" i="36"/>
  <c r="D183" i="2"/>
  <c r="D191" i="2"/>
  <c r="D124" i="1" s="1"/>
  <c r="D215" i="2"/>
  <c r="D154" i="1" s="1"/>
  <c r="D236" i="2"/>
  <c r="D99" i="1"/>
  <c r="D193" i="2"/>
  <c r="D128" i="1" s="1"/>
  <c r="D196" i="2"/>
  <c r="D130" i="1" s="1"/>
  <c r="D245" i="2"/>
  <c r="D139" i="1" s="1"/>
  <c r="D213" i="2"/>
  <c r="D152" i="1" s="1"/>
  <c r="D217" i="2"/>
  <c r="D156" i="1"/>
  <c r="C133" i="2"/>
  <c r="D133" i="2"/>
  <c r="D114" i="2"/>
  <c r="A114" i="2" s="1"/>
  <c r="M70" i="1" s="1"/>
  <c r="C171" i="2"/>
  <c r="C106" i="1"/>
  <c r="D99" i="2"/>
  <c r="A99" i="2" s="1"/>
  <c r="J70" i="1" s="1"/>
  <c r="E171" i="2"/>
  <c r="E106" i="1" s="1"/>
  <c r="B171" i="2"/>
  <c r="B106" i="1"/>
  <c r="F171" i="2"/>
  <c r="F106" i="1" s="1"/>
  <c r="D77" i="2"/>
  <c r="A77" i="2"/>
  <c r="O50" i="1"/>
  <c r="D107" i="2"/>
  <c r="A107" i="2" s="1"/>
  <c r="M50" i="1" s="1"/>
  <c r="D92" i="2"/>
  <c r="A92" i="2" s="1"/>
  <c r="J50" i="1" s="1"/>
  <c r="E166" i="2"/>
  <c r="E101" i="1"/>
  <c r="C166" i="2"/>
  <c r="C101" i="1" s="1"/>
  <c r="D166" i="2"/>
  <c r="D101" i="1"/>
  <c r="F28" i="53"/>
  <c r="M177" i="2"/>
  <c r="L111" i="1"/>
  <c r="M179" i="2"/>
  <c r="L113" i="1" s="1"/>
  <c r="M176" i="2"/>
  <c r="M178" i="2"/>
  <c r="L112" i="1"/>
  <c r="L120" i="1"/>
  <c r="M187" i="2" s="1"/>
  <c r="C28" i="53"/>
  <c r="J178" i="2"/>
  <c r="I112" i="1"/>
  <c r="J248" i="2"/>
  <c r="J253" i="2"/>
  <c r="J258" i="2"/>
  <c r="J263" i="2"/>
  <c r="J268" i="2"/>
  <c r="J273" i="2"/>
  <c r="J278" i="2"/>
  <c r="J283" i="2"/>
  <c r="J288" i="2"/>
  <c r="J293" i="2"/>
  <c r="J298" i="2"/>
  <c r="D335" i="2"/>
  <c r="J176" i="2"/>
  <c r="J229" i="2"/>
  <c r="J239" i="2"/>
  <c r="J240" i="2"/>
  <c r="J299" i="2"/>
  <c r="J306" i="2"/>
  <c r="C347" i="2"/>
  <c r="C348" i="2"/>
  <c r="C328" i="2"/>
  <c r="C329" i="2" s="1"/>
  <c r="M306" i="2"/>
  <c r="M299" i="2"/>
  <c r="K295" i="2"/>
  <c r="C294" i="2"/>
  <c r="M288" i="2"/>
  <c r="E284" i="2"/>
  <c r="M268" i="2"/>
  <c r="M253" i="2"/>
  <c r="D216" i="2"/>
  <c r="D155" i="1"/>
  <c r="D199" i="2"/>
  <c r="L180" i="2"/>
  <c r="F172" i="2"/>
  <c r="F107" i="1"/>
  <c r="B166" i="2"/>
  <c r="B101" i="1" s="1"/>
  <c r="M124" i="2"/>
  <c r="M125" i="2"/>
  <c r="B130" i="2"/>
  <c r="B70" i="2"/>
  <c r="B72" i="2"/>
  <c r="H11" i="2"/>
  <c r="H46" i="2"/>
  <c r="H83" i="2"/>
  <c r="I83" i="2" s="1"/>
  <c r="C391" i="2"/>
  <c r="E300" i="2"/>
  <c r="E303" i="2"/>
  <c r="E305" i="2"/>
  <c r="E158" i="1" s="1"/>
  <c r="E26" i="53" s="1"/>
  <c r="I295" i="2"/>
  <c r="F193" i="2"/>
  <c r="F128" i="1" s="1"/>
  <c r="F196" i="2"/>
  <c r="F130" i="1" s="1"/>
  <c r="F245" i="2"/>
  <c r="F139" i="1" s="1"/>
  <c r="F213" i="2"/>
  <c r="F152" i="1" s="1"/>
  <c r="F217" i="2"/>
  <c r="F156" i="1"/>
  <c r="F183" i="2"/>
  <c r="F191" i="2"/>
  <c r="F124" i="1"/>
  <c r="F215" i="2"/>
  <c r="F154" i="1" s="1"/>
  <c r="F236" i="2"/>
  <c r="F99" i="1"/>
  <c r="B172" i="2"/>
  <c r="B107" i="1"/>
  <c r="D167" i="2"/>
  <c r="D102" i="1"/>
  <c r="C29" i="58"/>
  <c r="D110" i="2"/>
  <c r="A110" i="2" s="1"/>
  <c r="M78" i="1" s="1"/>
  <c r="C173" i="2"/>
  <c r="C108" i="1"/>
  <c r="E173" i="2"/>
  <c r="E108" i="1" s="1"/>
  <c r="B173" i="2"/>
  <c r="B108" i="1"/>
  <c r="D111" i="2"/>
  <c r="A111" i="2"/>
  <c r="M58" i="1"/>
  <c r="D81" i="2"/>
  <c r="A81" i="2" s="1"/>
  <c r="O58" i="1" s="1"/>
  <c r="E168" i="2"/>
  <c r="E103" i="1"/>
  <c r="C168" i="2"/>
  <c r="C103" i="1"/>
  <c r="D168" i="2"/>
  <c r="D103" i="1"/>
  <c r="B8" i="2"/>
  <c r="C77" i="36"/>
  <c r="C102" i="36"/>
  <c r="C165" i="36"/>
  <c r="C54" i="36"/>
  <c r="M278" i="2"/>
  <c r="M258" i="2"/>
  <c r="D212" i="2"/>
  <c r="D151" i="1"/>
  <c r="F208" i="2"/>
  <c r="F133" i="1"/>
  <c r="F198" i="2"/>
  <c r="F201" i="2"/>
  <c r="D192" i="2"/>
  <c r="D127" i="1"/>
  <c r="J179" i="2"/>
  <c r="D173" i="2"/>
  <c r="D108" i="1"/>
  <c r="F168" i="2"/>
  <c r="F103" i="1" s="1"/>
  <c r="B156" i="2"/>
  <c r="B157" i="2" s="1"/>
  <c r="B158" i="2" s="1"/>
  <c r="M79" i="2"/>
  <c r="M80" i="2"/>
  <c r="L79" i="2"/>
  <c r="L80" i="2" s="1"/>
  <c r="N79" i="2"/>
  <c r="N80" i="2" s="1"/>
  <c r="C42" i="2"/>
  <c r="A42" i="2"/>
  <c r="B42" i="2"/>
  <c r="E95" i="2"/>
  <c r="E80" i="2"/>
  <c r="E110" i="2"/>
  <c r="I173" i="2"/>
  <c r="H108" i="1" s="1"/>
  <c r="M173" i="2"/>
  <c r="L108" i="1" s="1"/>
  <c r="K173" i="2"/>
  <c r="J108" i="1"/>
  <c r="E84" i="2"/>
  <c r="E99" i="2"/>
  <c r="I171" i="2"/>
  <c r="H106" i="1"/>
  <c r="M171" i="2"/>
  <c r="L106" i="1" s="1"/>
  <c r="K171" i="2"/>
  <c r="J106" i="1"/>
  <c r="E112" i="2"/>
  <c r="I169" i="2"/>
  <c r="H104" i="1"/>
  <c r="M169" i="2"/>
  <c r="L104" i="1"/>
  <c r="E97" i="2"/>
  <c r="K169" i="2"/>
  <c r="J104" i="1"/>
  <c r="E108" i="2"/>
  <c r="I167" i="2"/>
  <c r="H102" i="1"/>
  <c r="M167" i="2"/>
  <c r="L102" i="1"/>
  <c r="K167" i="2"/>
  <c r="J102" i="1"/>
  <c r="E76" i="2"/>
  <c r="E106" i="2"/>
  <c r="E91" i="2"/>
  <c r="I165" i="2"/>
  <c r="M165" i="2"/>
  <c r="K165" i="2"/>
  <c r="C75" i="36"/>
  <c r="F335" i="2"/>
  <c r="L298" i="2"/>
  <c r="L293" i="2"/>
  <c r="L288" i="2"/>
  <c r="L283" i="2"/>
  <c r="L278" i="2"/>
  <c r="L273" i="2"/>
  <c r="L268" i="2"/>
  <c r="L263" i="2"/>
  <c r="L258" i="2"/>
  <c r="L253" i="2"/>
  <c r="L248" i="2"/>
  <c r="L177" i="2"/>
  <c r="K111" i="1"/>
  <c r="L173" i="2"/>
  <c r="K108" i="1" s="1"/>
  <c r="L169" i="2"/>
  <c r="K104" i="1"/>
  <c r="L165" i="2"/>
  <c r="M91" i="2"/>
  <c r="M92" i="2"/>
  <c r="L91" i="2"/>
  <c r="L92" i="2"/>
  <c r="E82" i="2"/>
  <c r="E78" i="2"/>
  <c r="H31" i="2"/>
  <c r="I31" i="2"/>
  <c r="H66" i="2"/>
  <c r="I66" i="2" s="1"/>
  <c r="K66" i="2" s="1"/>
  <c r="K67" i="2" s="1"/>
  <c r="H103" i="2"/>
  <c r="H138" i="2"/>
  <c r="I138" i="2"/>
  <c r="E100" i="2"/>
  <c r="E115" i="2"/>
  <c r="K174" i="2"/>
  <c r="J109" i="1" s="1"/>
  <c r="E85" i="2"/>
  <c r="I174" i="2"/>
  <c r="H109" i="1"/>
  <c r="M174" i="2"/>
  <c r="L109" i="1"/>
  <c r="E79" i="2"/>
  <c r="E94" i="2"/>
  <c r="K172" i="2"/>
  <c r="J107" i="1"/>
  <c r="E109" i="2"/>
  <c r="I172" i="2"/>
  <c r="H107" i="1" s="1"/>
  <c r="M172" i="2"/>
  <c r="L107" i="1"/>
  <c r="E83" i="2"/>
  <c r="E113" i="2"/>
  <c r="K170" i="2"/>
  <c r="J105" i="1"/>
  <c r="I170" i="2"/>
  <c r="H105" i="1" s="1"/>
  <c r="M170" i="2"/>
  <c r="L105" i="1" s="1"/>
  <c r="E96" i="2"/>
  <c r="K168" i="2"/>
  <c r="J103" i="1"/>
  <c r="I168" i="2"/>
  <c r="H103" i="1"/>
  <c r="M168" i="2"/>
  <c r="L103" i="1"/>
  <c r="E92" i="2"/>
  <c r="K166" i="2"/>
  <c r="J101" i="1" s="1"/>
  <c r="E77" i="2"/>
  <c r="E107" i="2"/>
  <c r="I166" i="2"/>
  <c r="H101" i="1" s="1"/>
  <c r="M166" i="2"/>
  <c r="L101" i="1"/>
  <c r="D28" i="53"/>
  <c r="K176" i="2"/>
  <c r="K178" i="2"/>
  <c r="J112" i="1"/>
  <c r="K177" i="2"/>
  <c r="J111" i="1" s="1"/>
  <c r="K179" i="2"/>
  <c r="B28" i="53"/>
  <c r="I177" i="2"/>
  <c r="H111" i="1" s="1"/>
  <c r="I179" i="2"/>
  <c r="H113" i="1" s="1"/>
  <c r="I176" i="2"/>
  <c r="I178" i="2"/>
  <c r="H112" i="1" s="1"/>
  <c r="C52" i="36"/>
  <c r="L306" i="2"/>
  <c r="L299" i="2"/>
  <c r="L239" i="2"/>
  <c r="L240" i="2"/>
  <c r="D232" i="2"/>
  <c r="L229" i="2"/>
  <c r="L179" i="2"/>
  <c r="J172" i="2"/>
  <c r="I107" i="1"/>
  <c r="L171" i="2"/>
  <c r="K106" i="1" s="1"/>
  <c r="J168" i="2"/>
  <c r="I103" i="1"/>
  <c r="L167" i="2"/>
  <c r="K102" i="1" s="1"/>
  <c r="E114" i="2"/>
  <c r="E93" i="2"/>
  <c r="B52" i="2"/>
  <c r="C52" i="2"/>
  <c r="C202" i="2"/>
  <c r="C132" i="1"/>
  <c r="C244" i="2" s="1"/>
  <c r="C138" i="1" s="1"/>
  <c r="C200" i="2"/>
  <c r="E199" i="2"/>
  <c r="I114" i="2"/>
  <c r="M54" i="2"/>
  <c r="M55" i="2" s="1"/>
  <c r="K54" i="2"/>
  <c r="K55" i="2" s="1"/>
  <c r="O54" i="2"/>
  <c r="O55" i="2"/>
  <c r="L54" i="2"/>
  <c r="L55" i="2" s="1"/>
  <c r="H21" i="2"/>
  <c r="H56" i="2"/>
  <c r="H128" i="2"/>
  <c r="I128" i="2"/>
  <c r="C41" i="2"/>
  <c r="G44" i="2"/>
  <c r="G9" i="2"/>
  <c r="G81" i="2"/>
  <c r="E202" i="2"/>
  <c r="E132" i="1" s="1"/>
  <c r="E244" i="2"/>
  <c r="E138" i="1" s="1"/>
  <c r="N97" i="2"/>
  <c r="N98" i="2" s="1"/>
  <c r="B47" i="2"/>
  <c r="A47" i="2"/>
  <c r="I29" i="2"/>
  <c r="O29" i="2" s="1"/>
  <c r="G7" i="2"/>
  <c r="I7" i="2"/>
  <c r="B40" i="2"/>
  <c r="M13" i="2"/>
  <c r="I23" i="1" s="1"/>
  <c r="I50" i="56"/>
  <c r="J16" i="56"/>
  <c r="K5" i="2"/>
  <c r="K6" i="2"/>
  <c r="I50" i="60"/>
  <c r="H2" i="60"/>
  <c r="N77" i="2"/>
  <c r="N78" i="2"/>
  <c r="L78" i="2"/>
  <c r="N62" i="2"/>
  <c r="N63" i="2"/>
  <c r="E261" i="2"/>
  <c r="C222" i="2"/>
  <c r="C144" i="1" s="1"/>
  <c r="O13" i="2"/>
  <c r="O14" i="2"/>
  <c r="K38" i="2"/>
  <c r="M38" i="2"/>
  <c r="O91" i="2"/>
  <c r="O92" i="2" s="1"/>
  <c r="O79" i="2"/>
  <c r="O80" i="2"/>
  <c r="F188" i="2"/>
  <c r="F266" i="2" s="1"/>
  <c r="O25" i="2"/>
  <c r="F211" i="2"/>
  <c r="F150" i="1"/>
  <c r="F235" i="2"/>
  <c r="F98" i="1"/>
  <c r="F209" i="2"/>
  <c r="F148" i="1"/>
  <c r="F185" i="2"/>
  <c r="O124" i="2"/>
  <c r="O125" i="2"/>
  <c r="F202" i="2"/>
  <c r="F132" i="1" s="1"/>
  <c r="F244" i="2" s="1"/>
  <c r="F138" i="1" s="1"/>
  <c r="E291" i="2"/>
  <c r="I42" i="2"/>
  <c r="B9" i="2"/>
  <c r="B10" i="2"/>
  <c r="B11" i="2"/>
  <c r="B12" i="2"/>
  <c r="B13" i="2" s="1"/>
  <c r="M6" i="1"/>
  <c r="B29" i="58" s="1"/>
  <c r="N17" i="2"/>
  <c r="N18" i="2" s="1"/>
  <c r="E266" i="2"/>
  <c r="E286" i="2"/>
  <c r="I11" i="2"/>
  <c r="O11" i="2" s="1"/>
  <c r="N124" i="2"/>
  <c r="N125" i="2"/>
  <c r="C251" i="2"/>
  <c r="C291" i="2"/>
  <c r="M17" i="2"/>
  <c r="N13" i="2"/>
  <c r="N14" i="2" s="1"/>
  <c r="K91" i="2"/>
  <c r="K92" i="2" s="1"/>
  <c r="F216" i="2"/>
  <c r="F155" i="1" s="1"/>
  <c r="N25" i="2"/>
  <c r="N26" i="2"/>
  <c r="F199" i="2"/>
  <c r="F221" i="2"/>
  <c r="F143" i="1" s="1"/>
  <c r="F222" i="2"/>
  <c r="F144" i="1" s="1"/>
  <c r="F203" i="2"/>
  <c r="F181" i="2"/>
  <c r="K124" i="2"/>
  <c r="K125" i="2"/>
  <c r="I290" i="2"/>
  <c r="L125" i="1"/>
  <c r="E281" i="2"/>
  <c r="C296" i="2"/>
  <c r="I75" i="2"/>
  <c r="I112" i="2"/>
  <c r="M112" i="2" s="1"/>
  <c r="M113" i="2"/>
  <c r="I122" i="2"/>
  <c r="N132" i="2"/>
  <c r="N133" i="2" s="1"/>
  <c r="L132" i="2"/>
  <c r="L133" i="2"/>
  <c r="M132" i="2"/>
  <c r="M133" i="2" s="1"/>
  <c r="K132" i="2"/>
  <c r="K133" i="2"/>
  <c r="O132" i="2"/>
  <c r="O133" i="2" s="1"/>
  <c r="M89" i="2"/>
  <c r="M90" i="2" s="1"/>
  <c r="O89" i="2"/>
  <c r="O90" i="2" s="1"/>
  <c r="K89" i="2"/>
  <c r="K90" i="2" s="1"/>
  <c r="L89" i="2"/>
  <c r="L90" i="2" s="1"/>
  <c r="N89" i="2"/>
  <c r="N90" i="2"/>
  <c r="K50" i="2"/>
  <c r="K51" i="2" s="1"/>
  <c r="N50" i="2"/>
  <c r="N51" i="2"/>
  <c r="M50" i="2"/>
  <c r="M51" i="2" s="1"/>
  <c r="L50" i="2"/>
  <c r="L51" i="2"/>
  <c r="O50" i="2"/>
  <c r="O51" i="2" s="1"/>
  <c r="M52" i="2"/>
  <c r="M53" i="2"/>
  <c r="O52" i="2"/>
  <c r="O53" i="2" s="1"/>
  <c r="K52" i="2"/>
  <c r="K53" i="2" s="1"/>
  <c r="N52" i="2"/>
  <c r="N53" i="2" s="1"/>
  <c r="L52" i="2"/>
  <c r="L53" i="2" s="1"/>
  <c r="C116" i="1"/>
  <c r="C184" i="2"/>
  <c r="C117" i="1" s="1"/>
  <c r="I280" i="2"/>
  <c r="I279" i="2"/>
  <c r="C322" i="2"/>
  <c r="C323" i="2" s="1"/>
  <c r="I241" i="2"/>
  <c r="H126" i="1"/>
  <c r="H125" i="1"/>
  <c r="E182" i="2"/>
  <c r="E220" i="2" s="1"/>
  <c r="E142" i="1" s="1"/>
  <c r="L5" i="2"/>
  <c r="L6" i="2"/>
  <c r="O42" i="2"/>
  <c r="O43" i="2" s="1"/>
  <c r="O17" i="2"/>
  <c r="O18" i="2" s="1"/>
  <c r="L23" i="2"/>
  <c r="M275" i="2"/>
  <c r="M276" i="2" s="1"/>
  <c r="M274" i="2"/>
  <c r="L75" i="2"/>
  <c r="L76" i="2" s="1"/>
  <c r="I254" i="2"/>
  <c r="I255" i="2"/>
  <c r="C312" i="2"/>
  <c r="C313" i="2" s="1"/>
  <c r="D214" i="2"/>
  <c r="D153" i="1"/>
  <c r="D194" i="2"/>
  <c r="D135" i="1" s="1"/>
  <c r="D205" i="2"/>
  <c r="D207" i="2"/>
  <c r="D136" i="1" s="1"/>
  <c r="D24" i="53"/>
  <c r="D190" i="2"/>
  <c r="D123" i="1" s="1"/>
  <c r="D210" i="2"/>
  <c r="D149" i="1"/>
  <c r="D218" i="2"/>
  <c r="D140" i="1" s="1"/>
  <c r="B7" i="2"/>
  <c r="B14" i="2"/>
  <c r="M5" i="2"/>
  <c r="M6" i="2" s="1"/>
  <c r="K17" i="2"/>
  <c r="M23" i="2"/>
  <c r="N23" i="2"/>
  <c r="N24" i="2" s="1"/>
  <c r="D188" i="2"/>
  <c r="D189" i="2"/>
  <c r="D122" i="1"/>
  <c r="D208" i="2"/>
  <c r="D133" i="1"/>
  <c r="D235" i="2"/>
  <c r="D98" i="1"/>
  <c r="D209" i="2"/>
  <c r="D148" i="1"/>
  <c r="D185" i="2"/>
  <c r="D118" i="1" s="1"/>
  <c r="D186" i="2"/>
  <c r="D119" i="1" s="1"/>
  <c r="D211" i="2"/>
  <c r="D150" i="1"/>
  <c r="B165" i="2"/>
  <c r="B100" i="1"/>
  <c r="C165" i="2"/>
  <c r="M97" i="2"/>
  <c r="M98" i="2" s="1"/>
  <c r="O97" i="2"/>
  <c r="O98" i="2"/>
  <c r="K97" i="2"/>
  <c r="K98" i="2" s="1"/>
  <c r="I134" i="2"/>
  <c r="I269" i="2"/>
  <c r="C318" i="2"/>
  <c r="C319" i="2" s="1"/>
  <c r="I249" i="2"/>
  <c r="I250" i="2"/>
  <c r="C310" i="2"/>
  <c r="C311" i="2" s="1"/>
  <c r="K249" i="2"/>
  <c r="K250" i="2"/>
  <c r="K251" i="2" s="1"/>
  <c r="E189" i="2"/>
  <c r="E122" i="1" s="1"/>
  <c r="E121" i="1"/>
  <c r="E251" i="2"/>
  <c r="E296" i="2"/>
  <c r="M85" i="2"/>
  <c r="M86" i="2"/>
  <c r="K85" i="2"/>
  <c r="K86" i="2"/>
  <c r="O85" i="2"/>
  <c r="O86" i="2"/>
  <c r="M300" i="2"/>
  <c r="M303" i="2"/>
  <c r="M305" i="2" s="1"/>
  <c r="M302" i="2"/>
  <c r="I230" i="2"/>
  <c r="I231" i="2"/>
  <c r="I232" i="2"/>
  <c r="K260" i="2"/>
  <c r="K259" i="2"/>
  <c r="K232" i="2"/>
  <c r="K230" i="2"/>
  <c r="K231" i="2"/>
  <c r="E222" i="2"/>
  <c r="E144" i="1" s="1"/>
  <c r="E143" i="1"/>
  <c r="K302" i="2"/>
  <c r="J157" i="1" s="1"/>
  <c r="D30" i="53" s="1"/>
  <c r="K300" i="2"/>
  <c r="K303" i="2" s="1"/>
  <c r="K270" i="2"/>
  <c r="K269" i="2"/>
  <c r="L85" i="2"/>
  <c r="L86" i="2" s="1"/>
  <c r="M62" i="2"/>
  <c r="M63" i="2"/>
  <c r="D157" i="1"/>
  <c r="D25" i="53"/>
  <c r="D304" i="2"/>
  <c r="O5" i="2"/>
  <c r="O6" i="2" s="1"/>
  <c r="O62" i="2"/>
  <c r="O63" i="2" s="1"/>
  <c r="O48" i="2"/>
  <c r="O49" i="2" s="1"/>
  <c r="I275" i="2"/>
  <c r="D198" i="2"/>
  <c r="D201" i="2" s="1"/>
  <c r="K255" i="2"/>
  <c r="C320" i="2"/>
  <c r="C321" i="2"/>
  <c r="D221" i="2"/>
  <c r="D222" i="2" s="1"/>
  <c r="D144" i="1" s="1"/>
  <c r="D203" i="2"/>
  <c r="D181" i="2"/>
  <c r="D202" i="2"/>
  <c r="D132" i="1" s="1"/>
  <c r="D244" i="2" s="1"/>
  <c r="D138" i="1" s="1"/>
  <c r="D76" i="2"/>
  <c r="A76" i="2"/>
  <c r="M77" i="2"/>
  <c r="M78" i="2"/>
  <c r="K77" i="2"/>
  <c r="K78" i="2" s="1"/>
  <c r="O77" i="2"/>
  <c r="O78" i="2"/>
  <c r="N95" i="2"/>
  <c r="N96" i="2" s="1"/>
  <c r="C118" i="1"/>
  <c r="M264" i="2"/>
  <c r="M265" i="2"/>
  <c r="M230" i="2"/>
  <c r="M231" i="2"/>
  <c r="M232" i="2"/>
  <c r="I27" i="2"/>
  <c r="F192" i="2"/>
  <c r="F127" i="1"/>
  <c r="F205" i="2"/>
  <c r="F207" i="2"/>
  <c r="F136" i="1" s="1"/>
  <c r="F24" i="53" s="1"/>
  <c r="F210" i="2"/>
  <c r="F149" i="1"/>
  <c r="F218" i="2"/>
  <c r="F140" i="1"/>
  <c r="F190" i="2"/>
  <c r="F123" i="1"/>
  <c r="F194" i="2"/>
  <c r="F135" i="1" s="1"/>
  <c r="F214" i="2"/>
  <c r="F153" i="1" s="1"/>
  <c r="C316" i="2"/>
  <c r="C317" i="2" s="1"/>
  <c r="I264" i="2"/>
  <c r="I265" i="2"/>
  <c r="K284" i="2"/>
  <c r="K285" i="2"/>
  <c r="E186" i="2"/>
  <c r="E119" i="1" s="1"/>
  <c r="E118" i="1"/>
  <c r="K290" i="2"/>
  <c r="K289" i="2"/>
  <c r="K83" i="2"/>
  <c r="K84" i="2" s="1"/>
  <c r="O83" i="2"/>
  <c r="O84" i="2"/>
  <c r="M83" i="2"/>
  <c r="M84" i="2" s="1"/>
  <c r="N83" i="2"/>
  <c r="N84" i="2"/>
  <c r="L83" i="2"/>
  <c r="L84" i="2" s="1"/>
  <c r="K128" i="2"/>
  <c r="K129" i="2"/>
  <c r="O128" i="2"/>
  <c r="O129" i="2" s="1"/>
  <c r="M128" i="2"/>
  <c r="M129" i="2"/>
  <c r="N128" i="2"/>
  <c r="N129" i="2" s="1"/>
  <c r="L128" i="2"/>
  <c r="L129" i="2"/>
  <c r="I33" i="56"/>
  <c r="H34" i="56" s="1"/>
  <c r="I34" i="56"/>
  <c r="L19" i="2"/>
  <c r="H29" i="1" s="1"/>
  <c r="N19" i="2"/>
  <c r="M19" i="2"/>
  <c r="O19" i="2"/>
  <c r="K19" i="2"/>
  <c r="L118" i="2"/>
  <c r="L119" i="2"/>
  <c r="N118" i="2"/>
  <c r="N119" i="2" s="1"/>
  <c r="O118" i="2"/>
  <c r="O119" i="2"/>
  <c r="K118" i="2"/>
  <c r="K119" i="2" s="1"/>
  <c r="M118" i="2"/>
  <c r="M119" i="2"/>
  <c r="L18" i="2"/>
  <c r="L231" i="2"/>
  <c r="L230" i="2"/>
  <c r="L232" i="2"/>
  <c r="K180" i="2"/>
  <c r="J110" i="1"/>
  <c r="L24" i="2"/>
  <c r="O66" i="2"/>
  <c r="O67" i="2" s="1"/>
  <c r="L66" i="2"/>
  <c r="L67" i="2" s="1"/>
  <c r="L259" i="2"/>
  <c r="L260" i="2"/>
  <c r="L279" i="2"/>
  <c r="L280" i="2"/>
  <c r="L302" i="2"/>
  <c r="L304" i="2" s="1"/>
  <c r="L300" i="2"/>
  <c r="L303" i="2"/>
  <c r="K175" i="2"/>
  <c r="J100" i="1"/>
  <c r="I113" i="1"/>
  <c r="J219" i="2"/>
  <c r="I141" i="1"/>
  <c r="M259" i="2"/>
  <c r="M260" i="2"/>
  <c r="J230" i="2"/>
  <c r="J232" i="2"/>
  <c r="J231" i="2"/>
  <c r="J300" i="2"/>
  <c r="J303" i="2" s="1"/>
  <c r="J302" i="2"/>
  <c r="J280" i="2"/>
  <c r="J279" i="2"/>
  <c r="J260" i="2"/>
  <c r="J259" i="2"/>
  <c r="M46" i="1"/>
  <c r="A116" i="2"/>
  <c r="F100" i="1"/>
  <c r="F175" i="2"/>
  <c r="L11" i="2"/>
  <c r="M11" i="2"/>
  <c r="K11" i="2"/>
  <c r="I33" i="60"/>
  <c r="H34" i="60" s="1"/>
  <c r="I34" i="60"/>
  <c r="N29" i="2"/>
  <c r="L29" i="2"/>
  <c r="M29" i="2"/>
  <c r="L126" i="2"/>
  <c r="L127" i="2"/>
  <c r="N126" i="2"/>
  <c r="N127" i="2"/>
  <c r="O126" i="2"/>
  <c r="O127" i="2"/>
  <c r="K126" i="2"/>
  <c r="K127" i="2"/>
  <c r="M126" i="2"/>
  <c r="M127" i="2"/>
  <c r="M18" i="2"/>
  <c r="L219" i="2"/>
  <c r="K141" i="1" s="1"/>
  <c r="K113" i="1"/>
  <c r="I219" i="2"/>
  <c r="H141" i="1" s="1"/>
  <c r="K219" i="2"/>
  <c r="J141" i="1" s="1"/>
  <c r="J113" i="1"/>
  <c r="M24" i="2"/>
  <c r="K31" i="2"/>
  <c r="K32" i="2" s="1"/>
  <c r="O31" i="2"/>
  <c r="M31" i="2"/>
  <c r="L31" i="2"/>
  <c r="N31" i="2"/>
  <c r="K39" i="2"/>
  <c r="L264" i="2"/>
  <c r="L265" i="2"/>
  <c r="L284" i="2"/>
  <c r="L285" i="2"/>
  <c r="M175" i="2"/>
  <c r="L100" i="1"/>
  <c r="F121" i="1"/>
  <c r="F271" i="2"/>
  <c r="K46" i="2"/>
  <c r="K47" i="2"/>
  <c r="L47" i="2"/>
  <c r="L183" i="2"/>
  <c r="L191" i="2"/>
  <c r="K124" i="1" s="1"/>
  <c r="L199" i="2"/>
  <c r="L211" i="2"/>
  <c r="K150" i="1"/>
  <c r="L215" i="2"/>
  <c r="K154" i="1" s="1"/>
  <c r="L221" i="2"/>
  <c r="L222" i="2" s="1"/>
  <c r="K144" i="1" s="1"/>
  <c r="L235" i="2"/>
  <c r="L181" i="2"/>
  <c r="L182" i="2" s="1"/>
  <c r="K115" i="1" s="1"/>
  <c r="L185" i="2"/>
  <c r="L186" i="2" s="1"/>
  <c r="L193" i="2"/>
  <c r="K128" i="1" s="1"/>
  <c r="L196" i="2"/>
  <c r="K130" i="1" s="1"/>
  <c r="L245" i="2" s="1"/>
  <c r="K139" i="1" s="1"/>
  <c r="L203" i="2"/>
  <c r="L209" i="2"/>
  <c r="K148" i="1" s="1"/>
  <c r="L213" i="2"/>
  <c r="K152" i="1"/>
  <c r="L217" i="2"/>
  <c r="K156" i="1" s="1"/>
  <c r="L218" i="2"/>
  <c r="K140" i="1" s="1"/>
  <c r="L236" i="2"/>
  <c r="K99" i="1" s="1"/>
  <c r="L194" i="2"/>
  <c r="K135" i="1" s="1"/>
  <c r="L214" i="2"/>
  <c r="K153" i="1" s="1"/>
  <c r="L188" i="2"/>
  <c r="L286" i="2" s="1"/>
  <c r="L198" i="2"/>
  <c r="L201" i="2" s="1"/>
  <c r="L208" i="2"/>
  <c r="K133" i="1"/>
  <c r="L216" i="2"/>
  <c r="K155" i="1" s="1"/>
  <c r="L190" i="2"/>
  <c r="K123" i="1"/>
  <c r="L205" i="2"/>
  <c r="L210" i="2"/>
  <c r="K149" i="1" s="1"/>
  <c r="L192" i="2"/>
  <c r="K127" i="1"/>
  <c r="L202" i="2"/>
  <c r="K132" i="1" s="1"/>
  <c r="L244" i="2" s="1"/>
  <c r="K138" i="1" s="1"/>
  <c r="L212" i="2"/>
  <c r="K151" i="1" s="1"/>
  <c r="M254" i="2"/>
  <c r="M255" i="2"/>
  <c r="M269" i="2"/>
  <c r="M270" i="2"/>
  <c r="J295" i="2"/>
  <c r="J294" i="2"/>
  <c r="J275" i="2"/>
  <c r="J276" i="2" s="1"/>
  <c r="J274" i="2"/>
  <c r="J255" i="2"/>
  <c r="J254" i="2"/>
  <c r="M219" i="2"/>
  <c r="L141" i="1" s="1"/>
  <c r="D100" i="1"/>
  <c r="D175" i="2"/>
  <c r="E175" i="2"/>
  <c r="E100" i="1"/>
  <c r="L15" i="2"/>
  <c r="N15" i="2"/>
  <c r="M15" i="2"/>
  <c r="O15" i="2"/>
  <c r="K15" i="2"/>
  <c r="K16" i="2" s="1"/>
  <c r="J23" i="1"/>
  <c r="K27" i="1"/>
  <c r="L114" i="2"/>
  <c r="L115" i="2" s="1"/>
  <c r="N114" i="2"/>
  <c r="N115" i="2"/>
  <c r="K114" i="2"/>
  <c r="K115" i="2" s="1"/>
  <c r="O114" i="2"/>
  <c r="O115" i="2"/>
  <c r="M114" i="2"/>
  <c r="L241" i="2"/>
  <c r="K126" i="1"/>
  <c r="K125" i="1"/>
  <c r="O24" i="2"/>
  <c r="M138" i="2"/>
  <c r="M139" i="2" s="1"/>
  <c r="K138" i="2"/>
  <c r="K139" i="2" s="1"/>
  <c r="O138" i="2"/>
  <c r="O139" i="2"/>
  <c r="L138" i="2"/>
  <c r="L139" i="2"/>
  <c r="N138" i="2"/>
  <c r="N139" i="2"/>
  <c r="M39" i="2"/>
  <c r="L175" i="2"/>
  <c r="K100" i="1"/>
  <c r="L249" i="2"/>
  <c r="L250" i="2"/>
  <c r="L251" i="2"/>
  <c r="L269" i="2"/>
  <c r="L270" i="2"/>
  <c r="L271" i="2" s="1"/>
  <c r="L289" i="2"/>
  <c r="L290" i="2"/>
  <c r="L291" i="2" s="1"/>
  <c r="I175" i="2"/>
  <c r="H100" i="1"/>
  <c r="O26" i="2"/>
  <c r="F118" i="1"/>
  <c r="F186" i="2"/>
  <c r="F119" i="1" s="1"/>
  <c r="D251" i="2"/>
  <c r="D271" i="2"/>
  <c r="F286" i="2"/>
  <c r="J180" i="2"/>
  <c r="I110" i="1"/>
  <c r="J290" i="2"/>
  <c r="J289" i="2"/>
  <c r="J270" i="2"/>
  <c r="J269" i="2"/>
  <c r="J250" i="2"/>
  <c r="J249" i="2"/>
  <c r="D116" i="1"/>
  <c r="D184" i="2"/>
  <c r="D117" i="1" s="1"/>
  <c r="B175" i="2"/>
  <c r="C175" i="2"/>
  <c r="C100" i="1"/>
  <c r="B387" i="2"/>
  <c r="B389" i="2" s="1"/>
  <c r="B390" i="2" s="1"/>
  <c r="M7" i="1"/>
  <c r="B30" i="58"/>
  <c r="N60" i="2"/>
  <c r="N61" i="2" s="1"/>
  <c r="L60" i="2"/>
  <c r="L61" i="2" s="1"/>
  <c r="O60" i="2"/>
  <c r="O61" i="2" s="1"/>
  <c r="K60" i="2"/>
  <c r="K61" i="2"/>
  <c r="M60" i="2"/>
  <c r="M61" i="2" s="1"/>
  <c r="M14" i="2"/>
  <c r="N7" i="2"/>
  <c r="J17" i="1" s="1"/>
  <c r="L7" i="2"/>
  <c r="H17" i="1" s="1"/>
  <c r="M7" i="2"/>
  <c r="O7" i="2"/>
  <c r="K7" i="2"/>
  <c r="K18" i="2"/>
  <c r="L93" i="2"/>
  <c r="L94" i="2" s="1"/>
  <c r="N93" i="2"/>
  <c r="N94" i="2"/>
  <c r="K93" i="2"/>
  <c r="K94" i="2" s="1"/>
  <c r="O93" i="2"/>
  <c r="O94" i="2"/>
  <c r="M93" i="2"/>
  <c r="M94" i="2" s="1"/>
  <c r="I180" i="2"/>
  <c r="H110" i="1"/>
  <c r="K24" i="2"/>
  <c r="L254" i="2"/>
  <c r="L255" i="2"/>
  <c r="L256" i="2" s="1"/>
  <c r="L274" i="2"/>
  <c r="L275" i="2"/>
  <c r="L276" i="2" s="1"/>
  <c r="L294" i="2"/>
  <c r="L295" i="2"/>
  <c r="L296" i="2"/>
  <c r="E12" i="1"/>
  <c r="D18" i="2" s="1"/>
  <c r="F256" i="2"/>
  <c r="M279" i="2"/>
  <c r="M280" i="2"/>
  <c r="M281" i="2" s="1"/>
  <c r="J35" i="1"/>
  <c r="B71" i="2"/>
  <c r="C330" i="2"/>
  <c r="F91" i="1" s="1"/>
  <c r="M289" i="2"/>
  <c r="M290" i="2"/>
  <c r="J241" i="2"/>
  <c r="I126" i="1"/>
  <c r="I125" i="1"/>
  <c r="J285" i="2"/>
  <c r="J284" i="2"/>
  <c r="J265" i="2"/>
  <c r="J266" i="2" s="1"/>
  <c r="J264" i="2"/>
  <c r="M180" i="2"/>
  <c r="L110" i="1"/>
  <c r="F281" i="2"/>
  <c r="D140" i="2"/>
  <c r="C142" i="2"/>
  <c r="D142" i="2" s="1"/>
  <c r="J46" i="1"/>
  <c r="D143" i="1"/>
  <c r="B369" i="2"/>
  <c r="D121" i="1"/>
  <c r="F189" i="2"/>
  <c r="F122" i="1" s="1"/>
  <c r="N11" i="2"/>
  <c r="J21" i="1" s="1"/>
  <c r="H27" i="1"/>
  <c r="L122" i="2"/>
  <c r="L123" i="2"/>
  <c r="O122" i="2"/>
  <c r="O123" i="2" s="1"/>
  <c r="K122" i="2"/>
  <c r="K123" i="2" s="1"/>
  <c r="N122" i="2"/>
  <c r="N123" i="2" s="1"/>
  <c r="M122" i="2"/>
  <c r="M123" i="2"/>
  <c r="N112" i="2"/>
  <c r="O112" i="2"/>
  <c r="K112" i="2"/>
  <c r="D281" i="2"/>
  <c r="F291" i="2"/>
  <c r="F276" i="2"/>
  <c r="L112" i="2"/>
  <c r="O75" i="2"/>
  <c r="O76" i="2"/>
  <c r="M75" i="2"/>
  <c r="M76" i="2" s="1"/>
  <c r="L42" i="2"/>
  <c r="L43" i="2" s="1"/>
  <c r="M42" i="2"/>
  <c r="M43" i="2" s="1"/>
  <c r="K27" i="2"/>
  <c r="M27" i="2"/>
  <c r="M28" i="2" s="1"/>
  <c r="N27" i="2"/>
  <c r="L27" i="2"/>
  <c r="O27" i="2"/>
  <c r="K134" i="2"/>
  <c r="K135" i="2" s="1"/>
  <c r="N134" i="2"/>
  <c r="N135" i="2"/>
  <c r="M134" i="2"/>
  <c r="M135" i="2" s="1"/>
  <c r="L134" i="2"/>
  <c r="L135" i="2"/>
  <c r="O134" i="2"/>
  <c r="O135" i="2" s="1"/>
  <c r="J27" i="1"/>
  <c r="G27" i="1"/>
  <c r="D276" i="2"/>
  <c r="D256" i="2"/>
  <c r="K23" i="1"/>
  <c r="M304" i="2"/>
  <c r="L158" i="1"/>
  <c r="F31" i="53" s="1"/>
  <c r="L157" i="1"/>
  <c r="F30" i="53"/>
  <c r="E115" i="1"/>
  <c r="D286" i="2"/>
  <c r="D266" i="2"/>
  <c r="K35" i="1"/>
  <c r="K8" i="2"/>
  <c r="G17" i="1"/>
  <c r="N8" i="2"/>
  <c r="M115" i="2"/>
  <c r="L16" i="2"/>
  <c r="K118" i="1"/>
  <c r="K119" i="1"/>
  <c r="K116" i="1"/>
  <c r="L184" i="2"/>
  <c r="K117" i="1" s="1"/>
  <c r="M32" i="2"/>
  <c r="O12" i="2"/>
  <c r="K21" i="1"/>
  <c r="J304" i="2"/>
  <c r="I157" i="1"/>
  <c r="C30" i="53" s="1"/>
  <c r="K20" i="2"/>
  <c r="G29" i="1"/>
  <c r="L20" i="2"/>
  <c r="O8" i="2"/>
  <c r="K17" i="1"/>
  <c r="J190" i="2"/>
  <c r="I123" i="1" s="1"/>
  <c r="J210" i="2"/>
  <c r="I149" i="1" s="1"/>
  <c r="J214" i="2"/>
  <c r="I153" i="1" s="1"/>
  <c r="J218" i="2"/>
  <c r="I140" i="1" s="1"/>
  <c r="J236" i="2"/>
  <c r="I99" i="1" s="1"/>
  <c r="J188" i="2"/>
  <c r="J291" i="2"/>
  <c r="J192" i="2"/>
  <c r="I127" i="1" s="1"/>
  <c r="J198" i="2"/>
  <c r="J201" i="2" s="1"/>
  <c r="J202" i="2"/>
  <c r="I132" i="1"/>
  <c r="J244" i="2" s="1"/>
  <c r="I138" i="1" s="1"/>
  <c r="J205" i="2"/>
  <c r="J208" i="2"/>
  <c r="I133" i="1" s="1"/>
  <c r="J216" i="2"/>
  <c r="I155" i="1"/>
  <c r="J235" i="2"/>
  <c r="J209" i="2"/>
  <c r="I148" i="1" s="1"/>
  <c r="J181" i="2"/>
  <c r="J191" i="2"/>
  <c r="I124" i="1" s="1"/>
  <c r="J183" i="2"/>
  <c r="J193" i="2"/>
  <c r="I128" i="1" s="1"/>
  <c r="J203" i="2"/>
  <c r="J213" i="2"/>
  <c r="I152" i="1" s="1"/>
  <c r="J185" i="2"/>
  <c r="J186" i="2" s="1"/>
  <c r="I119" i="1" s="1"/>
  <c r="J199" i="2"/>
  <c r="J215" i="2"/>
  <c r="I154" i="1" s="1"/>
  <c r="O16" i="2"/>
  <c r="L189" i="2"/>
  <c r="K122" i="1" s="1"/>
  <c r="K121" i="1"/>
  <c r="K114" i="1"/>
  <c r="O32" i="2"/>
  <c r="L30" i="2"/>
  <c r="M12" i="2"/>
  <c r="I21" i="1"/>
  <c r="L261" i="2"/>
  <c r="O20" i="2"/>
  <c r="K29" i="1"/>
  <c r="I181" i="2"/>
  <c r="I182" i="2" s="1"/>
  <c r="I220" i="2" s="1"/>
  <c r="H142" i="1" s="1"/>
  <c r="I183" i="2"/>
  <c r="I185" i="2"/>
  <c r="I186" i="2" s="1"/>
  <c r="H119" i="1" s="1"/>
  <c r="I191" i="2"/>
  <c r="H124" i="1"/>
  <c r="I193" i="2"/>
  <c r="H128" i="1"/>
  <c r="I199" i="2"/>
  <c r="I203" i="2"/>
  <c r="I205" i="2"/>
  <c r="I209" i="2"/>
  <c r="H148" i="1" s="1"/>
  <c r="I211" i="2"/>
  <c r="H150" i="1"/>
  <c r="I213" i="2"/>
  <c r="H152" i="1" s="1"/>
  <c r="I215" i="2"/>
  <c r="H154" i="1"/>
  <c r="I217" i="2"/>
  <c r="H156" i="1" s="1"/>
  <c r="I188" i="2"/>
  <c r="I190" i="2"/>
  <c r="H123" i="1"/>
  <c r="I192" i="2"/>
  <c r="H127" i="1" s="1"/>
  <c r="I194" i="2"/>
  <c r="H135" i="1"/>
  <c r="I196" i="2"/>
  <c r="H130" i="1" s="1"/>
  <c r="I245" i="2" s="1"/>
  <c r="H139" i="1" s="1"/>
  <c r="I198" i="2"/>
  <c r="I201" i="2" s="1"/>
  <c r="I202" i="2"/>
  <c r="H132" i="1" s="1"/>
  <c r="I244" i="2" s="1"/>
  <c r="H138" i="1" s="1"/>
  <c r="I208" i="2"/>
  <c r="H133" i="1"/>
  <c r="I210" i="2"/>
  <c r="H149" i="1"/>
  <c r="I212" i="2"/>
  <c r="H151" i="1"/>
  <c r="I214" i="2"/>
  <c r="H153" i="1"/>
  <c r="I216" i="2"/>
  <c r="H155" i="1"/>
  <c r="I218" i="2"/>
  <c r="H140" i="1"/>
  <c r="I221" i="2"/>
  <c r="I235" i="2"/>
  <c r="I236" i="2"/>
  <c r="H99" i="1"/>
  <c r="M8" i="2"/>
  <c r="I17" i="1"/>
  <c r="M16" i="2"/>
  <c r="L266" i="2"/>
  <c r="N32" i="2"/>
  <c r="M30" i="2"/>
  <c r="N30" i="2"/>
  <c r="N12" i="2"/>
  <c r="K157" i="1"/>
  <c r="E30" i="53" s="1"/>
  <c r="K188" i="2"/>
  <c r="K190" i="2"/>
  <c r="J123" i="1" s="1"/>
  <c r="K192" i="2"/>
  <c r="J127" i="1" s="1"/>
  <c r="K194" i="2"/>
  <c r="J135" i="1" s="1"/>
  <c r="K196" i="2"/>
  <c r="J130" i="1"/>
  <c r="K245" i="2" s="1"/>
  <c r="J139" i="1" s="1"/>
  <c r="K198" i="2"/>
  <c r="K201" i="2"/>
  <c r="K202" i="2"/>
  <c r="J132" i="1" s="1"/>
  <c r="K244" i="2" s="1"/>
  <c r="J138" i="1" s="1"/>
  <c r="K208" i="2"/>
  <c r="J133" i="1"/>
  <c r="K210" i="2"/>
  <c r="J149" i="1" s="1"/>
  <c r="K212" i="2"/>
  <c r="J151" i="1" s="1"/>
  <c r="K214" i="2"/>
  <c r="J153" i="1" s="1"/>
  <c r="K216" i="2"/>
  <c r="J155" i="1"/>
  <c r="K181" i="2"/>
  <c r="K183" i="2"/>
  <c r="K185" i="2"/>
  <c r="J118" i="1" s="1"/>
  <c r="K191" i="2"/>
  <c r="J124" i="1" s="1"/>
  <c r="K193" i="2"/>
  <c r="J128" i="1"/>
  <c r="K199" i="2"/>
  <c r="K203" i="2"/>
  <c r="K205" i="2"/>
  <c r="K209" i="2"/>
  <c r="J148" i="1"/>
  <c r="K211" i="2"/>
  <c r="J150" i="1" s="1"/>
  <c r="K213" i="2"/>
  <c r="J152" i="1"/>
  <c r="K215" i="2"/>
  <c r="J154" i="1" s="1"/>
  <c r="K217" i="2"/>
  <c r="J156" i="1"/>
  <c r="K236" i="2"/>
  <c r="J99" i="1"/>
  <c r="K218" i="2"/>
  <c r="J140" i="1"/>
  <c r="K221" i="2"/>
  <c r="K222" i="2" s="1"/>
  <c r="J144" i="1" s="1"/>
  <c r="K235" i="2"/>
  <c r="M20" i="2"/>
  <c r="I29" i="1"/>
  <c r="M181" i="2"/>
  <c r="M183" i="2"/>
  <c r="M184" i="2" s="1"/>
  <c r="L117" i="1" s="1"/>
  <c r="M185" i="2"/>
  <c r="L118" i="1" s="1"/>
  <c r="M191" i="2"/>
  <c r="L124" i="1" s="1"/>
  <c r="M193" i="2"/>
  <c r="L128" i="1"/>
  <c r="M199" i="2"/>
  <c r="M203" i="2"/>
  <c r="M205" i="2"/>
  <c r="M225" i="2" s="1"/>
  <c r="M226" i="2" s="1"/>
  <c r="L147" i="1" s="1"/>
  <c r="M209" i="2"/>
  <c r="L148" i="1" s="1"/>
  <c r="M211" i="2"/>
  <c r="L150" i="1" s="1"/>
  <c r="M213" i="2"/>
  <c r="L152" i="1" s="1"/>
  <c r="M215" i="2"/>
  <c r="L154" i="1"/>
  <c r="M217" i="2"/>
  <c r="L156" i="1" s="1"/>
  <c r="M188" i="2"/>
  <c r="M256" i="2" s="1"/>
  <c r="M261" i="2"/>
  <c r="M190" i="2"/>
  <c r="L123" i="1" s="1"/>
  <c r="M192" i="2"/>
  <c r="L127" i="1"/>
  <c r="M194" i="2"/>
  <c r="L135" i="1" s="1"/>
  <c r="M196" i="2"/>
  <c r="L130" i="1" s="1"/>
  <c r="M245" i="2" s="1"/>
  <c r="L139" i="1" s="1"/>
  <c r="M198" i="2"/>
  <c r="M201" i="2"/>
  <c r="M202" i="2"/>
  <c r="L132" i="1" s="1"/>
  <c r="M244" i="2" s="1"/>
  <c r="L138" i="1"/>
  <c r="M208" i="2"/>
  <c r="L133" i="1" s="1"/>
  <c r="M210" i="2"/>
  <c r="L149" i="1" s="1"/>
  <c r="M212" i="2"/>
  <c r="L151" i="1" s="1"/>
  <c r="M214" i="2"/>
  <c r="L153" i="1"/>
  <c r="M216" i="2"/>
  <c r="L155" i="1" s="1"/>
  <c r="M221" i="2"/>
  <c r="M235" i="2"/>
  <c r="M236" i="2"/>
  <c r="L99" i="1" s="1"/>
  <c r="M218" i="2"/>
  <c r="L140" i="1"/>
  <c r="C87" i="36"/>
  <c r="C174" i="36"/>
  <c r="C64" i="36"/>
  <c r="L8" i="2"/>
  <c r="N16" i="2"/>
  <c r="K143" i="1"/>
  <c r="L32" i="2"/>
  <c r="O30" i="2"/>
  <c r="K12" i="2"/>
  <c r="G21" i="1"/>
  <c r="L12" i="2"/>
  <c r="H21" i="1"/>
  <c r="L281" i="2"/>
  <c r="N20" i="2"/>
  <c r="J29" i="1"/>
  <c r="N113" i="2"/>
  <c r="K113" i="2"/>
  <c r="L113" i="2"/>
  <c r="O113" i="2"/>
  <c r="N28" i="2"/>
  <c r="O28" i="2"/>
  <c r="K28" i="2"/>
  <c r="G37" i="1"/>
  <c r="M291" i="2"/>
  <c r="L28" i="2"/>
  <c r="I118" i="1"/>
  <c r="J184" i="2"/>
  <c r="I117" i="1" s="1"/>
  <c r="I116" i="1"/>
  <c r="M182" i="2"/>
  <c r="M220" i="2" s="1"/>
  <c r="L142" i="1" s="1"/>
  <c r="L114" i="1"/>
  <c r="K189" i="2"/>
  <c r="J122" i="1"/>
  <c r="J121" i="1"/>
  <c r="K286" i="2"/>
  <c r="K271" i="2"/>
  <c r="K261" i="2"/>
  <c r="K291" i="2"/>
  <c r="K296" i="2"/>
  <c r="K256" i="2"/>
  <c r="A28" i="60"/>
  <c r="H28" i="60" s="1"/>
  <c r="J182" i="2"/>
  <c r="I114" i="1"/>
  <c r="J189" i="2"/>
  <c r="I122" i="1"/>
  <c r="I121" i="1"/>
  <c r="J296" i="2"/>
  <c r="J251" i="2"/>
  <c r="M207" i="2"/>
  <c r="L136" i="1" s="1"/>
  <c r="F29" i="53" s="1"/>
  <c r="J143" i="1"/>
  <c r="K225" i="2"/>
  <c r="K226" i="2" s="1"/>
  <c r="J147" i="1" s="1"/>
  <c r="K207" i="2"/>
  <c r="J136" i="1" s="1"/>
  <c r="D29" i="53" s="1"/>
  <c r="I225" i="2"/>
  <c r="I226" i="2" s="1"/>
  <c r="H147" i="1" s="1"/>
  <c r="I207" i="2"/>
  <c r="H136" i="1"/>
  <c r="A61" i="60" s="1"/>
  <c r="H61" i="60" s="1"/>
  <c r="J256" i="2"/>
  <c r="K186" i="2"/>
  <c r="J119" i="1" s="1"/>
  <c r="I222" i="2"/>
  <c r="H144" i="1"/>
  <c r="H143" i="1"/>
  <c r="H118" i="1"/>
  <c r="J281" i="2"/>
  <c r="J286" i="2"/>
  <c r="M222" i="2"/>
  <c r="L144" i="1" s="1"/>
  <c r="L143" i="1"/>
  <c r="M189" i="2"/>
  <c r="L122" i="1"/>
  <c r="L121" i="1"/>
  <c r="M266" i="2"/>
  <c r="K184" i="2"/>
  <c r="J117" i="1" s="1"/>
  <c r="J116" i="1"/>
  <c r="A27" i="60"/>
  <c r="H27" i="60" s="1"/>
  <c r="I189" i="2"/>
  <c r="H122" i="1"/>
  <c r="H121" i="1"/>
  <c r="I281" i="2"/>
  <c r="I266" i="2"/>
  <c r="I256" i="2"/>
  <c r="I251" i="2"/>
  <c r="I291" i="2"/>
  <c r="I276" i="2"/>
  <c r="I271" i="2"/>
  <c r="I296" i="2"/>
  <c r="I184" i="2"/>
  <c r="H117" i="1"/>
  <c r="H116" i="1"/>
  <c r="J261" i="2"/>
  <c r="L220" i="2"/>
  <c r="K142" i="1"/>
  <c r="J271" i="2"/>
  <c r="M271" i="2"/>
  <c r="J220" i="2"/>
  <c r="I142" i="1"/>
  <c r="I115" i="1"/>
  <c r="L115" i="1"/>
  <c r="M3" i="2" l="1"/>
  <c r="B38" i="2"/>
  <c r="L3" i="2"/>
  <c r="O3" i="2"/>
  <c r="N3" i="2"/>
  <c r="K3" i="2"/>
  <c r="I25" i="1"/>
  <c r="N41" i="2"/>
  <c r="J15" i="1"/>
  <c r="O110" i="2"/>
  <c r="N110" i="2"/>
  <c r="M110" i="2"/>
  <c r="L110" i="2"/>
  <c r="I28" i="60"/>
  <c r="B391" i="2"/>
  <c r="K304" i="2"/>
  <c r="I302" i="2"/>
  <c r="K110" i="2"/>
  <c r="F182" i="2"/>
  <c r="F114" i="1"/>
  <c r="L40" i="2"/>
  <c r="M40" i="2"/>
  <c r="O40" i="2"/>
  <c r="K40" i="2"/>
  <c r="K275" i="2"/>
  <c r="K276" i="2" s="1"/>
  <c r="K274" i="2"/>
  <c r="J194" i="2"/>
  <c r="I135" i="1" s="1"/>
  <c r="J212" i="2"/>
  <c r="I151" i="1" s="1"/>
  <c r="J221" i="2"/>
  <c r="J217" i="2"/>
  <c r="I156" i="1" s="1"/>
  <c r="J211" i="2"/>
  <c r="I150" i="1" s="1"/>
  <c r="J196" i="2"/>
  <c r="I130" i="1" s="1"/>
  <c r="J245" i="2" s="1"/>
  <c r="I139" i="1" s="1"/>
  <c r="J33" i="1"/>
  <c r="K241" i="2"/>
  <c r="J126" i="1" s="1"/>
  <c r="J125" i="1"/>
  <c r="J305" i="2"/>
  <c r="I158" i="1" s="1"/>
  <c r="C31" i="53" s="1"/>
  <c r="O46" i="1"/>
  <c r="I27" i="1"/>
  <c r="K29" i="2"/>
  <c r="N42" i="2"/>
  <c r="N43" i="2" s="1"/>
  <c r="K42" i="2"/>
  <c r="K43" i="2" s="1"/>
  <c r="K264" i="2"/>
  <c r="K265" i="2"/>
  <c r="K266" i="2" s="1"/>
  <c r="J51" i="1"/>
  <c r="B101" i="2"/>
  <c r="K87" i="2"/>
  <c r="L87" i="2"/>
  <c r="M87" i="2"/>
  <c r="M88" i="2" s="1"/>
  <c r="O87" i="2"/>
  <c r="N87" i="2"/>
  <c r="O55" i="1"/>
  <c r="B86" i="2"/>
  <c r="A70" i="2"/>
  <c r="A72" i="2"/>
  <c r="A71" i="2" s="1"/>
  <c r="K95" i="2"/>
  <c r="O95" i="2"/>
  <c r="L95" i="2"/>
  <c r="M95" i="2"/>
  <c r="L99" i="2"/>
  <c r="O99" i="2"/>
  <c r="M99" i="2"/>
  <c r="M100" i="2" s="1"/>
  <c r="N99" i="2"/>
  <c r="K48" i="2"/>
  <c r="K49" i="2" s="1"/>
  <c r="L48" i="2"/>
  <c r="L49" i="2" s="1"/>
  <c r="M48" i="2"/>
  <c r="M49" i="2" s="1"/>
  <c r="N48" i="2"/>
  <c r="N49" i="2" s="1"/>
  <c r="M46" i="2"/>
  <c r="M47" i="2" s="1"/>
  <c r="O46" i="2"/>
  <c r="O47" i="2" s="1"/>
  <c r="N46" i="2"/>
  <c r="N47" i="2" s="1"/>
  <c r="C46" i="25"/>
  <c r="C15" i="25"/>
  <c r="J175" i="2"/>
  <c r="I101" i="1"/>
  <c r="K279" i="2"/>
  <c r="K280" i="2"/>
  <c r="K281" i="2" s="1"/>
  <c r="G8" i="19"/>
  <c r="G27" i="19" s="1"/>
  <c r="G29" i="19" s="1"/>
  <c r="E8" i="19"/>
  <c r="B342" i="2"/>
  <c r="C342" i="2"/>
  <c r="B343" i="2"/>
  <c r="H6" i="13" s="1"/>
  <c r="C343" i="2"/>
  <c r="I6" i="13" s="1"/>
  <c r="M285" i="2"/>
  <c r="M286" i="2" s="1"/>
  <c r="M284" i="2"/>
  <c r="C121" i="1"/>
  <c r="C276" i="2"/>
  <c r="C261" i="2"/>
  <c r="C281" i="2"/>
  <c r="C266" i="2"/>
  <c r="C271" i="2"/>
  <c r="C256" i="2"/>
  <c r="C189" i="2"/>
  <c r="C122" i="1" s="1"/>
  <c r="N66" i="2"/>
  <c r="N67" i="2" s="1"/>
  <c r="M66" i="2"/>
  <c r="M67" i="2" s="1"/>
  <c r="K305" i="2"/>
  <c r="J158" i="1" s="1"/>
  <c r="D31" i="53" s="1"/>
  <c r="N75" i="2"/>
  <c r="K75" i="2"/>
  <c r="D305" i="2"/>
  <c r="D158" i="1" s="1"/>
  <c r="D26" i="53" s="1"/>
  <c r="I103" i="2"/>
  <c r="C334" i="2"/>
  <c r="B145" i="1" s="1"/>
  <c r="G334" i="2"/>
  <c r="F145" i="1" s="1"/>
  <c r="E334" i="2"/>
  <c r="D145" i="1" s="1"/>
  <c r="D334" i="2"/>
  <c r="C145" i="1" s="1"/>
  <c r="D295" i="2"/>
  <c r="D296" i="2" s="1"/>
  <c r="D294" i="2"/>
  <c r="K25" i="2"/>
  <c r="M25" i="2"/>
  <c r="L25" i="2"/>
  <c r="C326" i="2"/>
  <c r="C327" i="2" s="1"/>
  <c r="I289" i="2"/>
  <c r="K13" i="2"/>
  <c r="L13" i="2"/>
  <c r="D80" i="2"/>
  <c r="A80" i="2" s="1"/>
  <c r="O78" i="1" s="1"/>
  <c r="F173" i="2"/>
  <c r="F108" i="1" s="1"/>
  <c r="D95" i="2"/>
  <c r="A95" i="2" s="1"/>
  <c r="M59" i="1"/>
  <c r="B116" i="2"/>
  <c r="L305" i="2"/>
  <c r="K158" i="1" s="1"/>
  <c r="E31" i="53" s="1"/>
  <c r="K62" i="2"/>
  <c r="K63" i="2" s="1"/>
  <c r="L62" i="2"/>
  <c r="L63" i="2" s="1"/>
  <c r="O38" i="2"/>
  <c r="N38" i="2"/>
  <c r="L38" i="2"/>
  <c r="E269" i="2"/>
  <c r="E270" i="2"/>
  <c r="E271" i="2" s="1"/>
  <c r="D260" i="2"/>
  <c r="D261" i="2" s="1"/>
  <c r="D259" i="2"/>
  <c r="C125" i="1"/>
  <c r="C241" i="2"/>
  <c r="C126" i="1" s="1"/>
  <c r="D219" i="2"/>
  <c r="D141" i="1" s="1"/>
  <c r="D113" i="1"/>
  <c r="H64" i="2"/>
  <c r="I64" i="2" s="1"/>
  <c r="H136" i="2"/>
  <c r="I136" i="2" s="1"/>
  <c r="B51" i="2"/>
  <c r="H101" i="2"/>
  <c r="I101" i="2" s="1"/>
  <c r="H9" i="2"/>
  <c r="I9" i="2" s="1"/>
  <c r="H81" i="2"/>
  <c r="I81" i="2" s="1"/>
  <c r="H44" i="2"/>
  <c r="I44" i="2" s="1"/>
  <c r="H116" i="2"/>
  <c r="I116" i="2" s="1"/>
  <c r="B41" i="2"/>
  <c r="M293" i="2"/>
  <c r="M248" i="2"/>
  <c r="G335" i="2"/>
  <c r="I283" i="2"/>
  <c r="I258" i="2"/>
  <c r="D290" i="2"/>
  <c r="D291" i="2" s="1"/>
  <c r="D289" i="2"/>
  <c r="K46" i="61"/>
  <c r="F249" i="2"/>
  <c r="F250" i="2"/>
  <c r="F251" i="2" s="1"/>
  <c r="C40" i="2"/>
  <c r="I130" i="2"/>
  <c r="I23" i="64"/>
  <c r="I25" i="64" s="1"/>
  <c r="H16" i="64"/>
  <c r="I14" i="64"/>
  <c r="C305" i="2"/>
  <c r="C158" i="1" s="1"/>
  <c r="C26" i="53" s="1"/>
  <c r="F259" i="2"/>
  <c r="F260" i="2"/>
  <c r="F261" i="2" s="1"/>
  <c r="B249" i="2"/>
  <c r="B310" i="2" s="1"/>
  <c r="B311" i="2" s="1"/>
  <c r="B330" i="2" s="1"/>
  <c r="E91" i="1" s="1"/>
  <c r="B250" i="2"/>
  <c r="C212" i="2"/>
  <c r="C151" i="1" s="1"/>
  <c r="C190" i="2"/>
  <c r="C123" i="1" s="1"/>
  <c r="C191" i="2"/>
  <c r="C124" i="1" s="1"/>
  <c r="A51" i="2"/>
  <c r="C51" i="2"/>
  <c r="I120" i="2"/>
  <c r="E259" i="2"/>
  <c r="D254" i="2"/>
  <c r="H58" i="2"/>
  <c r="I58" i="2" s="1"/>
  <c r="G56" i="2"/>
  <c r="I56" i="2" s="1"/>
  <c r="G21" i="2"/>
  <c r="I21" i="2" s="1"/>
  <c r="F116" i="1"/>
  <c r="F184" i="2"/>
  <c r="F117" i="1" s="1"/>
  <c r="C114" i="1"/>
  <c r="C182" i="2"/>
  <c r="E184" i="2"/>
  <c r="E117" i="1" s="1"/>
  <c r="E116" i="1"/>
  <c r="H27" i="64"/>
  <c r="L93" i="1" s="1"/>
  <c r="I24" i="53" s="1"/>
  <c r="H5" i="64"/>
  <c r="I5" i="64" s="1"/>
  <c r="D114" i="1"/>
  <c r="D182" i="2"/>
  <c r="D44" i="63"/>
  <c r="L91" i="1" s="1"/>
  <c r="H24" i="53" s="1"/>
  <c r="I4" i="64"/>
  <c r="H7" i="64"/>
  <c r="B29" i="53"/>
  <c r="K182" i="2"/>
  <c r="J114" i="1"/>
  <c r="J225" i="2"/>
  <c r="J226" i="2" s="1"/>
  <c r="I147" i="1" s="1"/>
  <c r="J207" i="2"/>
  <c r="I136" i="1" s="1"/>
  <c r="C29" i="53" s="1"/>
  <c r="L207" i="2"/>
  <c r="K136" i="1" s="1"/>
  <c r="E29" i="53" s="1"/>
  <c r="L225" i="2"/>
  <c r="L226" i="2" s="1"/>
  <c r="K147" i="1" s="1"/>
  <c r="C88" i="36"/>
  <c r="H115" i="1"/>
  <c r="L116" i="1"/>
  <c r="M186" i="2"/>
  <c r="L119" i="1" s="1"/>
  <c r="H114" i="1"/>
  <c r="C89" i="36"/>
  <c r="C172" i="36"/>
  <c r="C66" i="36"/>
  <c r="I30" i="64"/>
  <c r="L58" i="2" l="1"/>
  <c r="L59" i="2" s="1"/>
  <c r="K58" i="2"/>
  <c r="K59" i="2" s="1"/>
  <c r="M58" i="2"/>
  <c r="M59" i="2" s="1"/>
  <c r="N58" i="2"/>
  <c r="N59" i="2" s="1"/>
  <c r="O58" i="2"/>
  <c r="O59" i="2" s="1"/>
  <c r="C53" i="2"/>
  <c r="M101" i="2"/>
  <c r="O101" i="2"/>
  <c r="N101" i="2"/>
  <c r="K101" i="2"/>
  <c r="K102" i="2" s="1"/>
  <c r="L101" i="2"/>
  <c r="K14" i="2"/>
  <c r="G23" i="1"/>
  <c r="M26" i="2"/>
  <c r="I35" i="1"/>
  <c r="O103" i="2"/>
  <c r="L103" i="2"/>
  <c r="M103" i="2"/>
  <c r="K103" i="2"/>
  <c r="N103" i="2"/>
  <c r="N100" i="2"/>
  <c r="J37" i="1"/>
  <c r="M96" i="2"/>
  <c r="I33" i="1"/>
  <c r="C63" i="36"/>
  <c r="C86" i="36"/>
  <c r="N88" i="2"/>
  <c r="J25" i="1"/>
  <c r="K88" i="2"/>
  <c r="G25" i="1"/>
  <c r="L41" i="2"/>
  <c r="H15" i="1"/>
  <c r="I304" i="2"/>
  <c r="I305" i="2" s="1"/>
  <c r="H158" i="1" s="1"/>
  <c r="B31" i="53" s="1"/>
  <c r="H157" i="1"/>
  <c r="B30" i="53" s="1"/>
  <c r="O111" i="2"/>
  <c r="H13" i="1"/>
  <c r="L4" i="2"/>
  <c r="C65" i="36"/>
  <c r="I29" i="64"/>
  <c r="I28" i="64"/>
  <c r="H17" i="64"/>
  <c r="I17" i="64" s="1"/>
  <c r="M250" i="2"/>
  <c r="M251" i="2" s="1"/>
  <c r="M249" i="2"/>
  <c r="L44" i="2"/>
  <c r="L45" i="2" s="1"/>
  <c r="O44" i="2"/>
  <c r="O45" i="2" s="1"/>
  <c r="M44" i="2"/>
  <c r="M45" i="2" s="1"/>
  <c r="K44" i="2"/>
  <c r="K45" i="2" s="1"/>
  <c r="N44" i="2"/>
  <c r="N45" i="2" s="1"/>
  <c r="N39" i="2"/>
  <c r="K26" i="2"/>
  <c r="G35" i="1"/>
  <c r="L96" i="2"/>
  <c r="H33" i="1"/>
  <c r="O88" i="2"/>
  <c r="K25" i="1"/>
  <c r="K41" i="2"/>
  <c r="K68" i="2"/>
  <c r="G15" i="1"/>
  <c r="L111" i="2"/>
  <c r="G13" i="1"/>
  <c r="K4" i="2"/>
  <c r="B53" i="2"/>
  <c r="J78" i="1"/>
  <c r="A101" i="2"/>
  <c r="C171" i="36"/>
  <c r="N21" i="2"/>
  <c r="O21" i="2"/>
  <c r="K21" i="2"/>
  <c r="M21" i="2"/>
  <c r="L21" i="2"/>
  <c r="C314" i="2"/>
  <c r="C315" i="2" s="1"/>
  <c r="I260" i="2"/>
  <c r="I261" i="2" s="1"/>
  <c r="I259" i="2"/>
  <c r="M294" i="2"/>
  <c r="M295" i="2"/>
  <c r="M296" i="2" s="1"/>
  <c r="K81" i="2"/>
  <c r="K82" i="2" s="1"/>
  <c r="L81" i="2"/>
  <c r="M81" i="2"/>
  <c r="O81" i="2"/>
  <c r="N81" i="2"/>
  <c r="N82" i="2" s="1"/>
  <c r="O136" i="2"/>
  <c r="O137" i="2" s="1"/>
  <c r="N136" i="2"/>
  <c r="N137" i="2" s="1"/>
  <c r="K136" i="2"/>
  <c r="K137" i="2" s="1"/>
  <c r="L136" i="2"/>
  <c r="L137" i="2" s="1"/>
  <c r="M136" i="2"/>
  <c r="M137" i="2" s="1"/>
  <c r="O39" i="2"/>
  <c r="O68" i="2"/>
  <c r="K76" i="2"/>
  <c r="K105" i="2"/>
  <c r="B178" i="2" s="1"/>
  <c r="B112" i="1" s="1"/>
  <c r="O100" i="2"/>
  <c r="K37" i="1"/>
  <c r="O96" i="2"/>
  <c r="K33" i="1"/>
  <c r="A86" i="2"/>
  <c r="J222" i="2"/>
  <c r="I144" i="1" s="1"/>
  <c r="I143" i="1"/>
  <c r="I37" i="1"/>
  <c r="O41" i="2"/>
  <c r="K15" i="1"/>
  <c r="F115" i="1"/>
  <c r="F220" i="2"/>
  <c r="F142" i="1" s="1"/>
  <c r="M111" i="2"/>
  <c r="J13" i="1"/>
  <c r="N4" i="2"/>
  <c r="I13" i="1"/>
  <c r="M4" i="2"/>
  <c r="L116" i="2"/>
  <c r="L117" i="2" s="1"/>
  <c r="O116" i="2"/>
  <c r="O117" i="2" s="1"/>
  <c r="M116" i="2"/>
  <c r="M117" i="2" s="1"/>
  <c r="K116" i="2"/>
  <c r="K117" i="2" s="1"/>
  <c r="N116" i="2"/>
  <c r="N117" i="2" s="1"/>
  <c r="L68" i="2"/>
  <c r="L39" i="2"/>
  <c r="L69" i="2" s="1"/>
  <c r="C173" i="36"/>
  <c r="L56" i="2"/>
  <c r="L57" i="2" s="1"/>
  <c r="M56" i="2"/>
  <c r="M57" i="2" s="1"/>
  <c r="O56" i="2"/>
  <c r="O57" i="2" s="1"/>
  <c r="N56" i="2"/>
  <c r="N57" i="2" s="1"/>
  <c r="K56" i="2"/>
  <c r="K57" i="2" s="1"/>
  <c r="N120" i="2"/>
  <c r="N121" i="2" s="1"/>
  <c r="O120" i="2"/>
  <c r="O121" i="2" s="1"/>
  <c r="L120" i="2"/>
  <c r="L121" i="2" s="1"/>
  <c r="K120" i="2"/>
  <c r="K121" i="2" s="1"/>
  <c r="M120" i="2"/>
  <c r="M121" i="2" s="1"/>
  <c r="K130" i="2"/>
  <c r="K131" i="2" s="1"/>
  <c r="M130" i="2"/>
  <c r="M131" i="2" s="1"/>
  <c r="O130" i="2"/>
  <c r="O131" i="2" s="1"/>
  <c r="L130" i="2"/>
  <c r="L131" i="2" s="1"/>
  <c r="N130" i="2"/>
  <c r="N131" i="2" s="1"/>
  <c r="C324" i="2"/>
  <c r="C325" i="2" s="1"/>
  <c r="I285" i="2"/>
  <c r="I286" i="2" s="1"/>
  <c r="I284" i="2"/>
  <c r="N9" i="2"/>
  <c r="O9" i="2"/>
  <c r="K9" i="2"/>
  <c r="M9" i="2"/>
  <c r="M33" i="2" s="1"/>
  <c r="L9" i="2"/>
  <c r="L33" i="2" s="1"/>
  <c r="L64" i="2"/>
  <c r="L65" i="2" s="1"/>
  <c r="N64" i="2"/>
  <c r="N65" i="2" s="1"/>
  <c r="O64" i="2"/>
  <c r="O65" i="2" s="1"/>
  <c r="M64" i="2"/>
  <c r="M65" i="2" s="1"/>
  <c r="K64" i="2"/>
  <c r="K65" i="2" s="1"/>
  <c r="L14" i="2"/>
  <c r="H23" i="1"/>
  <c r="L26" i="2"/>
  <c r="H35" i="1"/>
  <c r="N76" i="2"/>
  <c r="N105" i="2"/>
  <c r="L100" i="2"/>
  <c r="H37" i="1"/>
  <c r="K96" i="2"/>
  <c r="G33" i="1"/>
  <c r="L88" i="2"/>
  <c r="H25" i="1"/>
  <c r="K30" i="2"/>
  <c r="G39" i="1"/>
  <c r="M41" i="2"/>
  <c r="I15" i="1"/>
  <c r="K111" i="2"/>
  <c r="N111" i="2"/>
  <c r="N140" i="2"/>
  <c r="O4" i="2"/>
  <c r="K13" i="1"/>
  <c r="D220" i="2"/>
  <c r="D142" i="1" s="1"/>
  <c r="D115" i="1"/>
  <c r="H29" i="64"/>
  <c r="H8" i="64"/>
  <c r="H28" i="64"/>
  <c r="H30" i="64"/>
  <c r="L87" i="1"/>
  <c r="C220" i="2"/>
  <c r="C142" i="1" s="1"/>
  <c r="C115" i="1"/>
  <c r="K220" i="2"/>
  <c r="J142" i="1" s="1"/>
  <c r="J115" i="1"/>
  <c r="O105" i="2" l="1"/>
  <c r="O82" i="2"/>
  <c r="K31" i="1"/>
  <c r="O22" i="2"/>
  <c r="O34" i="2" s="1"/>
  <c r="N68" i="2"/>
  <c r="O140" i="2"/>
  <c r="N104" i="2"/>
  <c r="J41" i="1"/>
  <c r="O104" i="2"/>
  <c r="K41" i="1"/>
  <c r="K39" i="1"/>
  <c r="O102" i="2"/>
  <c r="O33" i="2"/>
  <c r="N141" i="2"/>
  <c r="M68" i="2"/>
  <c r="K19" i="1"/>
  <c r="O10" i="2"/>
  <c r="M141" i="2"/>
  <c r="O69" i="2"/>
  <c r="M82" i="2"/>
  <c r="M105" i="2"/>
  <c r="L22" i="2"/>
  <c r="H31" i="1"/>
  <c r="J31" i="1"/>
  <c r="N22" i="2"/>
  <c r="N34" i="2" s="1"/>
  <c r="L140" i="2"/>
  <c r="K69" i="2"/>
  <c r="N69" i="2"/>
  <c r="O141" i="2"/>
  <c r="K104" i="2"/>
  <c r="G41" i="1"/>
  <c r="L102" i="2"/>
  <c r="H39" i="1"/>
  <c r="M102" i="2"/>
  <c r="I39" i="1"/>
  <c r="K10" i="2"/>
  <c r="G19" i="1"/>
  <c r="K140" i="2"/>
  <c r="M69" i="2"/>
  <c r="L10" i="2"/>
  <c r="H19" i="1"/>
  <c r="N10" i="2"/>
  <c r="J19" i="1"/>
  <c r="L82" i="2"/>
  <c r="L105" i="2"/>
  <c r="I31" i="1"/>
  <c r="M22" i="2"/>
  <c r="K34" i="2"/>
  <c r="B177" i="2" s="1"/>
  <c r="B111" i="1" s="1"/>
  <c r="L141" i="2"/>
  <c r="C81" i="36"/>
  <c r="C58" i="36"/>
  <c r="C168" i="36"/>
  <c r="L34" i="2"/>
  <c r="I41" i="1"/>
  <c r="M104" i="2"/>
  <c r="M140" i="2"/>
  <c r="K141" i="2"/>
  <c r="I19" i="1"/>
  <c r="M10" i="2"/>
  <c r="M34" i="2" s="1"/>
  <c r="N33" i="2"/>
  <c r="K106" i="2"/>
  <c r="B179" i="2" s="1"/>
  <c r="G31" i="1"/>
  <c r="K22" i="2"/>
  <c r="K33" i="2"/>
  <c r="B176" i="2" s="1"/>
  <c r="L104" i="2"/>
  <c r="H41" i="1"/>
  <c r="J39" i="1"/>
  <c r="N102" i="2"/>
  <c r="N106" i="2" s="1"/>
  <c r="I8" i="64"/>
  <c r="L88" i="1"/>
  <c r="C61" i="36"/>
  <c r="C170" i="36"/>
  <c r="C83" i="36"/>
  <c r="C169" i="36"/>
  <c r="C82" i="36"/>
  <c r="C60" i="36"/>
  <c r="H23" i="64"/>
  <c r="H25" i="64" s="1"/>
  <c r="L89" i="1" s="1"/>
  <c r="C57" i="36"/>
  <c r="C166" i="36"/>
  <c r="C59" i="36"/>
  <c r="C80" i="36"/>
  <c r="C167" i="36"/>
  <c r="O106" i="2" l="1"/>
  <c r="B180" i="2"/>
  <c r="B110" i="1"/>
  <c r="B113" i="1"/>
  <c r="B219" i="2"/>
  <c r="B141" i="1" s="1"/>
  <c r="L106" i="2"/>
  <c r="M106" i="2"/>
  <c r="B347" i="2"/>
  <c r="B348" i="2" s="1"/>
  <c r="B353" i="2" s="1"/>
  <c r="G24" i="53"/>
  <c r="L92" i="1"/>
  <c r="B193" i="2" l="1"/>
  <c r="B128" i="1" s="1"/>
  <c r="B188" i="2"/>
  <c r="B218" i="2"/>
  <c r="B140" i="1" s="1"/>
  <c r="B235" i="2"/>
  <c r="B98" i="1" s="1"/>
  <c r="B185" i="2"/>
  <c r="B192" i="2"/>
  <c r="B181" i="2"/>
  <c r="B190" i="2"/>
  <c r="B123" i="1" s="1"/>
  <c r="B191" i="2"/>
  <c r="B124" i="1" s="1"/>
  <c r="B183" i="2"/>
  <c r="B196" i="2" s="1"/>
  <c r="B130" i="1" s="1"/>
  <c r="AG8" i="54"/>
  <c r="E225" i="2"/>
  <c r="E226" i="2" s="1"/>
  <c r="E147" i="1" s="1"/>
  <c r="C225" i="2"/>
  <c r="C226" i="2" s="1"/>
  <c r="C147" i="1" s="1"/>
  <c r="F225" i="2"/>
  <c r="F226" i="2" s="1"/>
  <c r="F147" i="1" s="1"/>
  <c r="D225" i="2"/>
  <c r="D226" i="2" s="1"/>
  <c r="D147" i="1" s="1"/>
  <c r="B291" i="2" l="1"/>
  <c r="B296" i="2"/>
  <c r="B281" i="2"/>
  <c r="C286" i="2"/>
  <c r="B121" i="1"/>
  <c r="B276" i="2"/>
  <c r="B261" i="2"/>
  <c r="B189" i="2"/>
  <c r="B122" i="1" s="1"/>
  <c r="B266" i="2"/>
  <c r="B286" i="2"/>
  <c r="B271" i="2"/>
  <c r="B256" i="2"/>
  <c r="B251" i="2"/>
  <c r="B114" i="1"/>
  <c r="B182" i="2"/>
  <c r="A28" i="56"/>
  <c r="H28" i="56" s="1"/>
  <c r="B127" i="1"/>
  <c r="I54" i="56"/>
  <c r="H54" i="56" s="1"/>
  <c r="I54" i="60"/>
  <c r="B236" i="2"/>
  <c r="B99" i="1" s="1"/>
  <c r="B184" i="2"/>
  <c r="B117" i="1" s="1"/>
  <c r="B116" i="1"/>
  <c r="B186" i="2"/>
  <c r="B119" i="1" s="1"/>
  <c r="B118" i="1"/>
  <c r="H54" i="60" l="1"/>
  <c r="H31" i="60"/>
  <c r="H37" i="60" s="1"/>
  <c r="H40" i="60" s="1"/>
  <c r="H42" i="60" s="1"/>
  <c r="F42" i="60" s="1"/>
  <c r="B298" i="2"/>
  <c r="B115" i="1"/>
  <c r="B220" i="2"/>
  <c r="B142" i="1" s="1"/>
  <c r="B198" i="2"/>
  <c r="B299" i="2" l="1"/>
  <c r="B302" i="2"/>
  <c r="B201" i="2"/>
  <c r="B199" i="2"/>
  <c r="B202" i="2" s="1"/>
  <c r="B132" i="1" l="1"/>
  <c r="B232" i="2"/>
  <c r="B194" i="2" s="1"/>
  <c r="B231" i="2"/>
  <c r="B209" i="2"/>
  <c r="B148" i="1" s="1"/>
  <c r="B216" i="2"/>
  <c r="B155" i="1" s="1"/>
  <c r="B210" i="2"/>
  <c r="B149" i="1" s="1"/>
  <c r="B215" i="2"/>
  <c r="B154" i="1" s="1"/>
  <c r="B203" i="2"/>
  <c r="B208" i="2"/>
  <c r="B133" i="1" s="1"/>
  <c r="B217" i="2"/>
  <c r="B156" i="1" s="1"/>
  <c r="B212" i="2"/>
  <c r="B151" i="1" s="1"/>
  <c r="B214" i="2"/>
  <c r="B153" i="1" s="1"/>
  <c r="B211" i="2"/>
  <c r="B150" i="1" s="1"/>
  <c r="B213" i="2"/>
  <c r="B152" i="1" s="1"/>
  <c r="B300" i="2"/>
  <c r="B303" i="2" s="1"/>
  <c r="B305" i="2" s="1"/>
  <c r="B304" i="2"/>
  <c r="B157" i="1"/>
  <c r="B25" i="53" s="1"/>
  <c r="B135" i="1" l="1"/>
  <c r="A27" i="56"/>
  <c r="H27" i="56" s="1"/>
  <c r="I28" i="56" s="1"/>
  <c r="H31" i="56" s="1"/>
  <c r="H37" i="56" s="1"/>
  <c r="H40" i="56" s="1"/>
  <c r="B205" i="2"/>
  <c r="B244" i="2"/>
  <c r="B138" i="1" s="1"/>
  <c r="B245" i="2"/>
  <c r="B139" i="1" s="1"/>
  <c r="B207" i="2" l="1"/>
  <c r="B136" i="1" s="1"/>
  <c r="B225" i="2"/>
  <c r="B226" i="2" s="1"/>
  <c r="B147" i="1" s="1"/>
  <c r="B24" i="53" l="1"/>
  <c r="A61" i="56"/>
  <c r="H61" i="56" s="1"/>
  <c r="H42" i="56" s="1"/>
  <c r="F42" i="56" s="1"/>
  <c r="B221" i="2"/>
  <c r="B222" i="2" l="1"/>
  <c r="B144" i="1" s="1"/>
  <c r="B143" i="1"/>
</calcChain>
</file>

<file path=xl/comments1.xml><?xml version="1.0" encoding="utf-8"?>
<comments xmlns="http://schemas.openxmlformats.org/spreadsheetml/2006/main">
  <authors>
    <author>Scott W. Jukich</author>
  </authors>
  <commentList>
    <comment ref="D9" authorId="0" shapeId="0">
      <text>
        <r>
          <rPr>
            <b/>
            <sz val="8"/>
            <color indexed="81"/>
            <rFont val="Tahoma"/>
          </rPr>
          <t>Part wt/m x cavities + runner wt/m * (Regrind/m / 100)</t>
        </r>
        <r>
          <rPr>
            <sz val="8"/>
            <color indexed="81"/>
            <rFont val="Tahoma"/>
          </rPr>
          <t xml:space="preserve">
</t>
        </r>
      </text>
    </comment>
    <comment ref="D11" authorId="0" shapeId="0">
      <text>
        <r>
          <rPr>
            <b/>
            <sz val="8"/>
            <color indexed="81"/>
            <rFont val="Tahoma"/>
          </rPr>
          <t xml:space="preserve">If Excess Runner Unused/m &gt; 0, then Excess Runner Unused/m / Cavities, else 0
</t>
        </r>
        <r>
          <rPr>
            <sz val="8"/>
            <color indexed="81"/>
            <rFont val="Tahoma"/>
          </rPr>
          <t xml:space="preserve">
</t>
        </r>
      </text>
    </comment>
    <comment ref="D12" authorId="0" shapeId="0">
      <text>
        <r>
          <rPr>
            <b/>
            <sz val="8"/>
            <color indexed="81"/>
            <rFont val="Tahoma"/>
          </rPr>
          <t>If Scrap Per Part/m &gt; zero, then Scrap Per Part/m / Part wt/m + 1, else 1</t>
        </r>
        <r>
          <rPr>
            <sz val="8"/>
            <color indexed="81"/>
            <rFont val="Tahoma"/>
          </rPr>
          <t xml:space="preserve">
</t>
        </r>
      </text>
    </comment>
  </commentList>
</comments>
</file>

<file path=xl/sharedStrings.xml><?xml version="1.0" encoding="utf-8"?>
<sst xmlns="http://schemas.openxmlformats.org/spreadsheetml/2006/main" count="9441" uniqueCount="6373">
  <si>
    <t>Troy,  MI,  48098,  US</t>
  </si>
  <si>
    <t>Bamal Corporation</t>
  </si>
  <si>
    <t>Date</t>
  </si>
  <si>
    <t>Version</t>
  </si>
  <si>
    <t>Gross Profit:</t>
  </si>
  <si>
    <t>Roissy CDG Cedex,  B.P. 60059 - 95972,  FR</t>
  </si>
  <si>
    <t>33(0)149.904639</t>
  </si>
  <si>
    <t>33.1.49.90.49.28</t>
  </si>
  <si>
    <t>GHSP</t>
  </si>
  <si>
    <t>Sarah Kallio</t>
  </si>
  <si>
    <t>1250 S. Beechtree St.</t>
  </si>
  <si>
    <t>Mch</t>
  </si>
  <si>
    <t>Mach</t>
  </si>
  <si>
    <t>ELP LT Note</t>
  </si>
  <si>
    <t>Mexico LT Note</t>
  </si>
  <si>
    <t>Added separate note and lead-time value for PPAP in El Paso or Mexico.</t>
  </si>
  <si>
    <t>Labor Price:</t>
  </si>
  <si>
    <t>Qty 1:</t>
  </si>
  <si>
    <t>Qty 2:</t>
  </si>
  <si>
    <t>Qty 3:</t>
  </si>
  <si>
    <t>Yield:</t>
  </si>
  <si>
    <t>Changed to new press rates which includes packaging, added packaging breakdown to press rate sheet, changed wording on the data validation for the matl.  Updated clear quote entry routine to place "0" in packaging field.  Added code to delete buttons on e-quote sheet.  Fixed margin issue on precision foam sheet.</t>
  </si>
  <si>
    <t>Total Overhead</t>
  </si>
  <si>
    <t>Projected Machine Hours</t>
  </si>
  <si>
    <t>Overall Rate</t>
  </si>
  <si>
    <t>Marion,  IL,  62959</t>
  </si>
  <si>
    <t>1301 W. Stovall Road</t>
  </si>
  <si>
    <t>011.5236.194239</t>
  </si>
  <si>
    <t>Urschel Laboratories Inc</t>
  </si>
  <si>
    <t>Aggie Wainman</t>
  </si>
  <si>
    <t>7", 4" x 16", CENTER HOLE</t>
  </si>
  <si>
    <t>Added "Material Type" designator to allow any material to be either a "Resin" or "Buyout".  Finished naming cells on both the Quote Entry and formula Sheet.  Separated resin costs and buyout costs, updated the mucell check routine to look at the cells on Quote Entry sheet to see if the resin is greater than 35% on selling price.  Updated the "FixNotes" Routine with revised starting point.  Change Ratio to price per matl. line.</t>
  </si>
  <si>
    <t>Guadalajara, Jalisco  44870,  ,  ,  MX</t>
  </si>
  <si>
    <t>JULIE.PETERSON@menasha.com</t>
  </si>
  <si>
    <t>Phil Swiggum</t>
  </si>
  <si>
    <t>952-933-9403</t>
  </si>
  <si>
    <t>Final GFL Value From Quote Entry:</t>
  </si>
  <si>
    <t>419-627-7127</t>
  </si>
  <si>
    <t>Delphi Automotive Systems</t>
  </si>
  <si>
    <t>Kenneth A. Sager</t>
  </si>
  <si>
    <t>Plant 18-111</t>
  </si>
  <si>
    <t>219-269-6715</t>
  </si>
  <si>
    <t>Roche Diagnostics Corporation</t>
  </si>
  <si>
    <t>Todd McBride</t>
  </si>
  <si>
    <t>Polaroid de Mexico, SA de CV</t>
  </si>
  <si>
    <t>Manuel Cortes</t>
  </si>
  <si>
    <t>612-287-4201</t>
  </si>
  <si>
    <t>011-524-223-2718</t>
  </si>
  <si>
    <t>16630 Southfield Road</t>
  </si>
  <si>
    <t>Del. Mold Cost</t>
  </si>
  <si>
    <t>Mold Qual.</t>
  </si>
  <si>
    <t>Telescope Inserts</t>
  </si>
  <si>
    <t>Insurance</t>
  </si>
  <si>
    <t>Property Tax</t>
  </si>
  <si>
    <t>Daphne L. Simms</t>
  </si>
  <si>
    <t>2000 Forrer Blvd.</t>
  </si>
  <si>
    <t>Dayton, OH,  45420</t>
  </si>
  <si>
    <t>937-455-9748</t>
  </si>
  <si>
    <t>651-999-1000</t>
  </si>
  <si>
    <t>651-999-1222</t>
  </si>
  <si>
    <t>Philip Shannon</t>
  </si>
  <si>
    <t>248-844-4247</t>
  </si>
  <si>
    <t>248-844-4280</t>
  </si>
  <si>
    <t>GDT Callouts</t>
  </si>
  <si>
    <t>Slide/Lifters</t>
  </si>
  <si>
    <t>3. Labor hours</t>
  </si>
  <si>
    <t>Inserts</t>
  </si>
  <si>
    <t>KATHY ENGLERT</t>
  </si>
  <si>
    <t>100 EAST RANDOLPH STREET</t>
  </si>
  <si>
    <t>P.O. BOX 8003</t>
  </si>
  <si>
    <t>Kalamazoo,  MI,  49001-6197,  US</t>
  </si>
  <si>
    <t>SR1017</t>
  </si>
  <si>
    <t>8</t>
  </si>
  <si>
    <t>301</t>
  </si>
  <si>
    <t>Krauss M</t>
  </si>
  <si>
    <t>350</t>
  </si>
  <si>
    <t>70</t>
  </si>
  <si>
    <t>25,781 psi</t>
  </si>
  <si>
    <t>41.7</t>
  </si>
  <si>
    <t>43.1</t>
  </si>
  <si>
    <t>Brose Mexico, S.A. de C.V.</t>
  </si>
  <si>
    <t>508-359-3262</t>
  </si>
  <si>
    <t>Attleboro, MA 02703-8125, USA</t>
  </si>
  <si>
    <t>508-399-6810 Ext 231</t>
  </si>
  <si>
    <t>KATHYJO.ANDERSON@menasha.com</t>
  </si>
  <si>
    <t>919-266-4411</t>
  </si>
  <si>
    <t>919-266-2020</t>
  </si>
  <si>
    <t>Plant 2104 Note</t>
  </si>
  <si>
    <t>765-451-0265</t>
  </si>
  <si>
    <t>Brookdale Platics</t>
  </si>
  <si>
    <t>Jeff Ewert</t>
  </si>
  <si>
    <t>40 Orville Drive</t>
  </si>
  <si>
    <t>612-894-9380</t>
  </si>
  <si>
    <t>Queretaro, Queretaro, MX  76220</t>
  </si>
  <si>
    <t>011-52-442-211-3356</t>
  </si>
  <si>
    <t>Anna Beitman</t>
  </si>
  <si>
    <t>344 W. 157th St.</t>
  </si>
  <si>
    <t>The cost of dimensional adjustments to tool steel is not included and must be quoted if required.</t>
  </si>
  <si>
    <t>516-467-2542</t>
  </si>
  <si>
    <t>ESPE MANUFACTURING CO. INC.</t>
  </si>
  <si>
    <t>Automation Equip. Cost:</t>
  </si>
  <si>
    <t>Automation Equip. Price:</t>
  </si>
  <si>
    <t>Changed "Auxillary" to Automation in tooling section and added the sub routine "HideAllSheets" to the print Customer Quote routine.  This prevents run-time errors if other sheets are left active.</t>
  </si>
  <si>
    <t>Drew Spaulding</t>
  </si>
  <si>
    <t>915-772-3706</t>
  </si>
  <si>
    <t>Tokyo Electrica de Mexico</t>
  </si>
  <si>
    <t>Robert Savard</t>
  </si>
  <si>
    <t>585-359-6014</t>
  </si>
  <si>
    <t>585-359-6186</t>
  </si>
  <si>
    <t>JONATHAN MOHLER</t>
  </si>
  <si>
    <t>5946 62ND LN</t>
  </si>
  <si>
    <t>561-569-7582</t>
  </si>
  <si>
    <t>Press 4 Ind Logical Test:</t>
  </si>
  <si>
    <t>Press 4 Tonnage:</t>
  </si>
  <si>
    <t>Press 3 Tonnage:</t>
  </si>
  <si>
    <t>Press 2 Tonnage:</t>
  </si>
  <si>
    <t>Press 1 Tonnage:</t>
  </si>
  <si>
    <t>Press 5 Ind Logical Test:</t>
  </si>
  <si>
    <t>Press 5 Tonnage:</t>
  </si>
  <si>
    <t>Elaine Hoppock</t>
  </si>
  <si>
    <t>Stamping Die 2</t>
  </si>
  <si>
    <t>Total Cost</t>
  </si>
  <si>
    <t>Press 2 Hrs:</t>
  </si>
  <si>
    <t>TI GROUP AUTOMOTIVE SYSTEMS</t>
  </si>
  <si>
    <t>Table Name:</t>
  </si>
  <si>
    <t>Number of Fields:</t>
  </si>
  <si>
    <t>Field Name:</t>
  </si>
  <si>
    <t>Refers To:</t>
  </si>
  <si>
    <t>Shawn Sullivan</t>
  </si>
  <si>
    <t>843-760-7656</t>
  </si>
  <si>
    <t>843-760-7958</t>
  </si>
  <si>
    <t>Kirksville,  MO,  63501</t>
  </si>
  <si>
    <t>660-627-1655</t>
  </si>
  <si>
    <t>660-627-5410</t>
  </si>
  <si>
    <t>205-351-9374</t>
  </si>
  <si>
    <t>U.S.A. SWITCH, INC.</t>
  </si>
  <si>
    <t>LYNN HUGHES</t>
  </si>
  <si>
    <t>Added data validation to the rep contact, sales contact and order contact fields.  Redefined what variable "SalesContact" equals.  Updated the check sheet.</t>
  </si>
  <si>
    <t>180 IS-1A</t>
  </si>
  <si>
    <t>22mm</t>
  </si>
  <si>
    <t>1000 HAWKINS BLVD.</t>
  </si>
  <si>
    <t>C/O BROKERS LOGISTICS</t>
  </si>
  <si>
    <t>256-772-8880</t>
  </si>
  <si>
    <t>Anoka,  MN,  55303,  US</t>
  </si>
  <si>
    <t>612-427-6275</t>
  </si>
  <si>
    <t>Pricing Quidelines</t>
  </si>
  <si>
    <t>615 BLAND BLVD.</t>
  </si>
  <si>
    <t>ELMHURST,  IL,  60126,  US</t>
  </si>
  <si>
    <t>7" BOTHWAYS, 4"x 16" BOTHWAYS</t>
  </si>
  <si>
    <t>Gary Masoner</t>
  </si>
  <si>
    <t>507-457-8654</t>
  </si>
  <si>
    <t>16 Industrial Park Rd.</t>
  </si>
  <si>
    <t>Gardena,  CA,  90248</t>
  </si>
  <si>
    <t>6803 SANDBURG ROAD, DOCK 2</t>
  </si>
  <si>
    <t>MSPO DIVISION</t>
  </si>
  <si>
    <t>Grams Conversion</t>
  </si>
  <si>
    <t>Tony Minieri</t>
  </si>
  <si>
    <t>410-221-9533</t>
  </si>
  <si>
    <t>Mail Code 1-08</t>
  </si>
  <si>
    <t>P O Box 1042</t>
  </si>
  <si>
    <t>Dayton,  OH,  45401-1042,  US</t>
  </si>
  <si>
    <t>937-455-9150</t>
  </si>
  <si>
    <t>Renco Encoders, Inc.</t>
  </si>
  <si>
    <t>sbarsley@RENCO.com</t>
  </si>
  <si>
    <t>The above stated minimum release(s) must be shipped within a 30 day period and be taken with the stated minimum shipment(s).</t>
  </si>
  <si>
    <t>937-455-6798</t>
  </si>
  <si>
    <t>Max Regrind Allowed</t>
  </si>
  <si>
    <t>Excess Regrind</t>
  </si>
  <si>
    <t>Benefits</t>
  </si>
  <si>
    <t>Repair and Maintenance</t>
  </si>
  <si>
    <t>Operating Supplies</t>
  </si>
  <si>
    <t>414-768-8276</t>
  </si>
  <si>
    <t>414-768-8401</t>
  </si>
  <si>
    <t>DOMINICK MARINO</t>
  </si>
  <si>
    <t>919-956-4260</t>
  </si>
  <si>
    <t>919-682-3786</t>
  </si>
  <si>
    <t>Hella Lighting Corporation</t>
  </si>
  <si>
    <t>Precision Foam Salutation</t>
  </si>
  <si>
    <t>Count</t>
  </si>
  <si>
    <t>Ave PCS Per Hour</t>
  </si>
  <si>
    <t>6", 7", 10" BOTHWAYS &amp; CENTER</t>
  </si>
  <si>
    <t>YES</t>
  </si>
  <si>
    <t>517-773-0377</t>
  </si>
  <si>
    <t>400 EAST LINCOLN AVENUE</t>
  </si>
  <si>
    <t>SEARCY,  AR,  72143,  US</t>
  </si>
  <si>
    <t>501-279-2245</t>
  </si>
  <si>
    <t>Rate Scr. 2</t>
  </si>
  <si>
    <t>Press Cost Scr. 1</t>
  </si>
  <si>
    <t>Press 5:</t>
  </si>
  <si>
    <t>3600 Simset Avenue</t>
  </si>
  <si>
    <t>800-489-7372</t>
  </si>
  <si>
    <t>GKN Sinter Metals</t>
  </si>
  <si>
    <t>508-236-1534</t>
  </si>
  <si>
    <t>508-236-1497</t>
  </si>
  <si>
    <t>Ms. Belinda Begley</t>
  </si>
  <si>
    <t>910-892-8081 x634</t>
  </si>
  <si>
    <t>Packaging Costs 1</t>
  </si>
  <si>
    <t>Packaging Costs 2</t>
  </si>
  <si>
    <t>Duns Numbers:  Menasha Corporation: 00-607-3126 and Thermotech Hopkins Plant: 05-903-0239</t>
  </si>
  <si>
    <t>Duns Note 2103</t>
  </si>
  <si>
    <t>Duns Numbers:  Menasha Corporation: 00-607-3126 and Thermotech Hopkins Plant: 96-072-6883</t>
  </si>
  <si>
    <t>Duns Note 2104</t>
  </si>
  <si>
    <t>Duns Numbers:  Menasha Corporation: 00-607-3126 and Thermotech Hopkins Plant: 81-259-6609</t>
  </si>
  <si>
    <t>Duns 2101</t>
  </si>
  <si>
    <t>Duns 2103</t>
  </si>
  <si>
    <t>Duns Number: 05-903-0239</t>
  </si>
  <si>
    <t>of mold and evaluation of actual runner system weights.</t>
  </si>
  <si>
    <t>Molex Incorporated</t>
  </si>
  <si>
    <t>2222 Wellington Court</t>
  </si>
  <si>
    <t>Lisle,  IL,  60532-1682,  US</t>
  </si>
  <si>
    <t>60</t>
  </si>
  <si>
    <t>Changed the Mexico Customer Quote sheet to Customer Quote Each and created button so we can print customer quotes as per M price or per each.  Approved by sales and Tom Bogaard.</t>
  </si>
  <si>
    <t>850 PERIMETER ROAD</t>
  </si>
  <si>
    <t>Quadrant CMS NV</t>
  </si>
  <si>
    <t>Erta</t>
  </si>
  <si>
    <t>Apaseo el Grande, Guanajuato</t>
  </si>
  <si>
    <t>Ulrich Pflug</t>
  </si>
  <si>
    <t>777 Hickory Hill Drive</t>
  </si>
  <si>
    <t>309</t>
  </si>
  <si>
    <t>1377BAR</t>
  </si>
  <si>
    <t>23.4x19.6</t>
  </si>
  <si>
    <t>29.53X29.53</t>
  </si>
  <si>
    <t>COMPR.</t>
  </si>
  <si>
    <t>Transfer</t>
  </si>
  <si>
    <t>DISPOSALED EQUIPMENT</t>
  </si>
  <si>
    <t>Discon.</t>
  </si>
  <si>
    <t>Destination</t>
  </si>
  <si>
    <t>Honeywell Automation and Control Solutions</t>
  </si>
  <si>
    <t>Santos Ortiz</t>
  </si>
  <si>
    <t>Blvd., Antonio L Rodriguez 3058</t>
  </si>
  <si>
    <t>Plasza Delphi, Suite 501, Col. Santa Maria</t>
  </si>
  <si>
    <t>Monterrey,  NL,  Mexico,  MEXICO</t>
  </si>
  <si>
    <t>011-52-81-8865-8043</t>
  </si>
  <si>
    <t>011-52-81-8865-8046</t>
  </si>
  <si>
    <t>Root Directory Information</t>
  </si>
  <si>
    <t>Sales/Tool Ratio:</t>
  </si>
  <si>
    <t>011-52-419-198-3010</t>
  </si>
  <si>
    <t>011-52-419-198-3026</t>
  </si>
  <si>
    <t>Logical Test Scrap</t>
  </si>
  <si>
    <t>Added new pre-quote quidelines per Tim's requested and expanded the standard packaging options.</t>
  </si>
  <si>
    <t>941-351-9118(23)</t>
  </si>
  <si>
    <t>941-351-3829</t>
  </si>
  <si>
    <t>St. Jude Medical</t>
  </si>
  <si>
    <t>Louisville,  KY,  40201,  US</t>
  </si>
  <si>
    <t>Greg Anderson</t>
  </si>
  <si>
    <t>915-541-7646</t>
  </si>
  <si>
    <t>Exportacion Diaz</t>
  </si>
  <si>
    <t>1555 Lyell Avenue</t>
  </si>
  <si>
    <t>Rochester,  NY,  14606,  US</t>
  </si>
  <si>
    <t>716-277-3612</t>
  </si>
  <si>
    <t>9-B2 BUTTERFIELD TRAIL</t>
  </si>
  <si>
    <t>EL PASO,  TX,  79906,  US</t>
  </si>
  <si>
    <t>Kolenda Tool &amp; Die, Inc.</t>
  </si>
  <si>
    <t>Durbin Haas</t>
  </si>
  <si>
    <t xml:space="preserve">Grinder </t>
  </si>
  <si>
    <t>RCOwens24@aol.com</t>
  </si>
  <si>
    <t>COOPER POWER SYSTEMS</t>
  </si>
  <si>
    <t>EDWARD ROBERTSON</t>
  </si>
  <si>
    <t>1045 HICKORY STREET</t>
  </si>
  <si>
    <t>PEWAUKEE,  WI,  53072-3792,  US</t>
  </si>
  <si>
    <t>MTM TECHNOLOGIES</t>
  </si>
  <si>
    <t>1664 HIGHLAND ROAD</t>
  </si>
  <si>
    <t>UNIT 7</t>
  </si>
  <si>
    <t>Auburn,  IN,  46706,  US</t>
  </si>
  <si>
    <t>The estimator is totally responsible for all cost aspects of a quote.</t>
  </si>
  <si>
    <t>Sta. Rosa Jauregui,  Querertaro,  76220,  Mexico</t>
  </si>
  <si>
    <t>011-524-211-6654</t>
  </si>
  <si>
    <t>ONE SECURITY DRIVE</t>
  </si>
  <si>
    <t>NICHOLASVILLE,  KY,  40356,  US</t>
  </si>
  <si>
    <t>606-885-9411</t>
  </si>
  <si>
    <t>Forming Dies</t>
  </si>
  <si>
    <t>Lugging Tooling</t>
  </si>
  <si>
    <t>313-755-1885</t>
  </si>
  <si>
    <t>313-755-8140</t>
  </si>
  <si>
    <t>Fuji Component Parts</t>
  </si>
  <si>
    <t>Jerry Easton</t>
  </si>
  <si>
    <t>4115 W. 54th Street</t>
  </si>
  <si>
    <t>Indianapolis,  IN,  46254,  US</t>
  </si>
  <si>
    <t>UO-An/QAM3</t>
  </si>
  <si>
    <t>P.O. Box 2867</t>
  </si>
  <si>
    <t>Anderson,  SC,  29622-2867,  US</t>
  </si>
  <si>
    <t>Janie Finocchio</t>
  </si>
  <si>
    <t>630-443-6800 X370</t>
  </si>
  <si>
    <t>630-443-6898</t>
  </si>
  <si>
    <t>Plant2103 Fax</t>
  </si>
  <si>
    <t>22 Spur Drive</t>
  </si>
  <si>
    <t>Doug Dixon</t>
  </si>
  <si>
    <t>P.O. Box 312</t>
  </si>
  <si>
    <t>Customer Notes:</t>
  </si>
  <si>
    <t>Assembly Components Co</t>
  </si>
  <si>
    <t>VISHAY DALE ELECTRONICS</t>
  </si>
  <si>
    <t>Press 4 Pack Amt/M:</t>
  </si>
  <si>
    <t>Press 5 Pack Amt/M:</t>
  </si>
  <si>
    <t>Total Burried Pack/M:</t>
  </si>
  <si>
    <t>BASF</t>
  </si>
  <si>
    <t>Tool Maint. Cost:</t>
  </si>
  <si>
    <t>Waukegan,  IL,  60087,  US</t>
  </si>
  <si>
    <t>Nagle Industries</t>
  </si>
  <si>
    <t>Don Dewey</t>
  </si>
  <si>
    <t>901 West Maple</t>
  </si>
  <si>
    <t>Clawson,  MI,  48017,  US</t>
  </si>
  <si>
    <t>248-280-0333</t>
  </si>
  <si>
    <t>248-280-0951</t>
  </si>
  <si>
    <t>NATIONAL PRESTO INDUSTRIES, INC.</t>
  </si>
  <si>
    <t>TOOL SIZE (LxWxD)</t>
  </si>
  <si>
    <t>x</t>
  </si>
  <si>
    <t xml:space="preserve">  </t>
  </si>
  <si>
    <t># of cavities&gt;</t>
  </si>
  <si>
    <t>Material&gt;</t>
  </si>
  <si>
    <t xml:space="preserve">Tool Material                 </t>
  </si>
  <si>
    <t>$/UNIT</t>
  </si>
  <si>
    <t>August-Bilstein-Str. 4</t>
  </si>
  <si>
    <t>Robert Bosch Tool Corporation</t>
  </si>
  <si>
    <t>Dick Wemstrom</t>
  </si>
  <si>
    <t>1800 West Central Road</t>
  </si>
  <si>
    <t>Mount Prospect,  IL,  60056</t>
  </si>
  <si>
    <t>224-232-3052</t>
  </si>
  <si>
    <t>Sales/Tool Cost Ratio:</t>
  </si>
  <si>
    <t>Rolling Meadows,  IL,  60008,  US</t>
  </si>
  <si>
    <t>011-52-55-5559-6801</t>
  </si>
  <si>
    <t>Mr. Daniel Chau</t>
  </si>
  <si>
    <t>264 East Bentleigh, Victoria</t>
  </si>
  <si>
    <t>Australia</t>
  </si>
  <si>
    <t>613-9575-2555</t>
  </si>
  <si>
    <t>613-9575-2202</t>
  </si>
  <si>
    <t>SUITE 332</t>
  </si>
  <si>
    <t>LOUISVILLE,  KY,  40241,  US</t>
  </si>
  <si>
    <t xml:space="preserve">Quadrant </t>
  </si>
  <si>
    <t>Leslie Adyns</t>
  </si>
  <si>
    <t>CHALONS EN CHAMPAGNE,  51,  51009,  FR</t>
  </si>
  <si>
    <t>03-26-69-31-00</t>
  </si>
  <si>
    <t>03-26-69-31-99</t>
  </si>
  <si>
    <t>GRAHAM WHITE MFG COMPANY</t>
  </si>
  <si>
    <t>P.O. BOX 1099</t>
  </si>
  <si>
    <t>Relay</t>
  </si>
  <si>
    <t>011-52-442-221-5289</t>
  </si>
  <si>
    <t>Plating Tooling</t>
  </si>
  <si>
    <t>Reusable Reels</t>
  </si>
  <si>
    <t>Autecs</t>
  </si>
  <si>
    <t>Vicki Hall</t>
  </si>
  <si>
    <t>Hwy 81 at I 85</t>
  </si>
  <si>
    <t>16.94 X 17.84</t>
  </si>
  <si>
    <t>AM</t>
  </si>
  <si>
    <t>Fill Time</t>
  </si>
  <si>
    <t>1202 So. 5Th Street</t>
  </si>
  <si>
    <t>Independence,  KS,  67301,  US</t>
  </si>
  <si>
    <t>Final Ship Value:</t>
  </si>
  <si>
    <t>Federal Mogul Corp.</t>
  </si>
  <si>
    <t>26555 Northwestern Highway</t>
  </si>
  <si>
    <t>Southfield,  MI,  48034,  US</t>
  </si>
  <si>
    <t xml:space="preserve">samples exhibiting different percentages of foam during the mold qualification process.  Once a part weight is determined,  </t>
  </si>
  <si>
    <t>Siemens VDO Automotive Spa</t>
  </si>
  <si>
    <t>Sandra Daw</t>
  </si>
  <si>
    <t>S.S. 206, KM28</t>
  </si>
  <si>
    <t>Kiekert de Mexico, SA de CV</t>
  </si>
  <si>
    <t>Jorge Perez &amp; Rafael Limon</t>
  </si>
  <si>
    <t>14.5 Autopista Puebla-Orizaba</t>
  </si>
  <si>
    <t>Chachapa, Puebla,  MX,  72990</t>
  </si>
  <si>
    <t>011-52-222-891-8425</t>
  </si>
  <si>
    <t>011-52-222-891-8427</t>
  </si>
  <si>
    <t>Field5</t>
  </si>
  <si>
    <t>5.9 - 15.7</t>
  </si>
  <si>
    <t>15.95 x 14.17</t>
  </si>
  <si>
    <t>24 X 22.2</t>
  </si>
  <si>
    <t>Bill Demodry Sr.</t>
  </si>
  <si>
    <t>6999 Market</t>
  </si>
  <si>
    <t>651-733-6491</t>
  </si>
  <si>
    <t>OMC EL PASO</t>
  </si>
  <si>
    <t>ELOY SALAZAR</t>
  </si>
  <si>
    <t>11130 ROJAS DRIVE</t>
  </si>
  <si>
    <t>2900 S. Scatterfield Road</t>
  </si>
  <si>
    <t>Anderson,  IN,  46013-2439,  USA</t>
  </si>
  <si>
    <t>011-5272-794068</t>
  </si>
  <si>
    <t>1000 ROBINSON AVENUE</t>
  </si>
  <si>
    <t>Milwaukee,  WI,  53202,  US</t>
  </si>
  <si>
    <t>414-319-0165</t>
  </si>
  <si>
    <t>414-319-0168</t>
  </si>
  <si>
    <t>317-579-4959</t>
  </si>
  <si>
    <t>765-646-3400</t>
  </si>
  <si>
    <t>End Report</t>
  </si>
  <si>
    <t>ADEMCO</t>
  </si>
  <si>
    <t>Bayer Corporation</t>
  </si>
  <si>
    <t>James A. Vaughn, C.P.M.</t>
  </si>
  <si>
    <t>63 North Street</t>
  </si>
  <si>
    <t>Medfield,  MA,  02052-1688</t>
  </si>
  <si>
    <t>SALVADOR SOLIS</t>
  </si>
  <si>
    <t>14006 GLENOSA</t>
  </si>
  <si>
    <t>EL PASO,  TX,  79928,  US</t>
  </si>
  <si>
    <t>RFQ:</t>
  </si>
  <si>
    <t>717-810-4702</t>
  </si>
  <si>
    <t>763-559-0148</t>
  </si>
  <si>
    <t>Greg Beckham</t>
  </si>
  <si>
    <t>Duns Number: 96-072-6883</t>
  </si>
  <si>
    <t>Duns 2104</t>
  </si>
  <si>
    <t>Duns Number: 81-259-6609</t>
  </si>
  <si>
    <t>Menasha Duns Number:</t>
  </si>
  <si>
    <t>00-607-3126</t>
  </si>
  <si>
    <t>335 Woodlawn Road W.</t>
  </si>
  <si>
    <t>2401 72ND STREET NORTH</t>
  </si>
  <si>
    <t>ST. PETERSBURG,  FL,  33710-3835,  US</t>
  </si>
  <si>
    <t>727-302-4503</t>
  </si>
  <si>
    <t>727-347-4169</t>
  </si>
  <si>
    <t>770-932-2901</t>
  </si>
  <si>
    <t>Northland Electric</t>
  </si>
  <si>
    <t>505-845-9835</t>
  </si>
  <si>
    <t>MILFORD,  MA,  01757,  US</t>
  </si>
  <si>
    <t>508-476-3778</t>
  </si>
  <si>
    <t>Eden Prairie,  MN,  55346-1740,  US</t>
  </si>
  <si>
    <t>612-934-3000</t>
  </si>
  <si>
    <t>Pre-Price with Reduction:</t>
  </si>
  <si>
    <t>Pre-Price:</t>
  </si>
  <si>
    <t>FCI/BERG ELECTRONICS</t>
  </si>
  <si>
    <t>BRAD STRIEGIG</t>
  </si>
  <si>
    <t>Supplier:</t>
  </si>
  <si>
    <t>Inquiry Number:</t>
  </si>
  <si>
    <t>Buyer:</t>
  </si>
  <si>
    <t>Ford Atlantic Fastner Corporation</t>
  </si>
  <si>
    <t>Genicom Corporation</t>
  </si>
  <si>
    <t>1 SOLUTIONS WAY</t>
  </si>
  <si>
    <t>JEFF.CORNELL@menasha.com</t>
  </si>
  <si>
    <t>E1003</t>
  </si>
  <si>
    <t>1 BECTON DR</t>
  </si>
  <si>
    <t>Delco Remy America, Inc.</t>
  </si>
  <si>
    <t>763-780-1213</t>
  </si>
  <si>
    <t>763-780-5074</t>
  </si>
  <si>
    <t>Tom Burrell</t>
  </si>
  <si>
    <t>Rhonda Jahn</t>
  </si>
  <si>
    <t>815-285-6700</t>
  </si>
  <si>
    <t>Chicago,  IL,  60656,  US</t>
  </si>
  <si>
    <t>3000 SKYLINE DRIVE</t>
  </si>
  <si>
    <t>MESQUITE,  TX,  75149,  US</t>
  </si>
  <si>
    <t>913-677-6056</t>
  </si>
  <si>
    <t>913-677-6200</t>
  </si>
  <si>
    <t>OMAHA,  NE,  68137,  US</t>
  </si>
  <si>
    <t>BABCOCK &amp; CO</t>
  </si>
  <si>
    <t>Nick Weinkauf</t>
  </si>
  <si>
    <t>Print Tolerances For Moldability</t>
  </si>
  <si>
    <t>AURORA,  OH,  44202,  US</t>
  </si>
  <si>
    <t>330-995-1141</t>
  </si>
  <si>
    <t>Direct Labor / Value Added</t>
  </si>
  <si>
    <t>BASE RATE    X   D.L. Usage</t>
  </si>
  <si>
    <t>Selling Price:</t>
  </si>
  <si>
    <t>WAUSAU,  WI,  54402-8003,  US</t>
  </si>
  <si>
    <t>715-675-3359</t>
  </si>
  <si>
    <t>Formula Notes</t>
  </si>
  <si>
    <t>as seen in front view XX.</t>
  </si>
  <si>
    <t>6250 Bury Drive</t>
  </si>
  <si>
    <t>VDO NORTH AMERICA LLC</t>
  </si>
  <si>
    <t>DELPHI ENERGY &amp; ENGINE MANAGEMENT</t>
  </si>
  <si>
    <t>32 Celerity Wagon</t>
  </si>
  <si>
    <t>M/C MTC-301</t>
  </si>
  <si>
    <t>Eden Prairie,  MN,  55344</t>
  </si>
  <si>
    <t>J.Porter</t>
  </si>
  <si>
    <t>952-937-7396</t>
  </si>
  <si>
    <t>ISE</t>
  </si>
  <si>
    <t>Parque Industrial Jurica</t>
  </si>
  <si>
    <t>Queretaro, Queretaro, 76120, Mexico</t>
  </si>
  <si>
    <t>Cheryl Polowy</t>
  </si>
  <si>
    <t>847-862-2786</t>
  </si>
  <si>
    <t>847-862-8241</t>
  </si>
  <si>
    <t>Fixed robot note to check each flag individually in the event that scenario two flag is on only.</t>
  </si>
  <si>
    <t>Sharon Etherington</t>
  </si>
  <si>
    <t>Queretaro, Queretaro,  ,  CP 76246,  MX</t>
  </si>
  <si>
    <t>COILSMEX SA de CV</t>
  </si>
  <si>
    <t>219-295-3580</t>
  </si>
  <si>
    <t>HOWARD INDUSTRIES</t>
  </si>
  <si>
    <t>P.O. BOX 37</t>
  </si>
  <si>
    <t>COLUMBUS,  MS,  39704,  US</t>
  </si>
  <si>
    <t>Mike Muller</t>
  </si>
  <si>
    <t>574-722-6141</t>
  </si>
  <si>
    <t>407-282-1000</t>
  </si>
  <si>
    <t>407-277-7171</t>
  </si>
  <si>
    <t>Steloc Fastener Company</t>
  </si>
  <si>
    <t>160 Abbott Drive</t>
  </si>
  <si>
    <t>CAMAC 486 COLOR</t>
  </si>
  <si>
    <t>9.84 - 31.5</t>
  </si>
  <si>
    <t>34.25 x 34.25</t>
  </si>
  <si>
    <t>50 x 50</t>
  </si>
  <si>
    <t>7", 4" x 16", 6" x 28" both ways</t>
  </si>
  <si>
    <t>Press 3 Hrs:</t>
  </si>
  <si>
    <t>Press 4 Hrs:</t>
  </si>
  <si>
    <t>Press 5 Hrs:</t>
  </si>
  <si>
    <t>334 W 157th Street</t>
  </si>
  <si>
    <t>Queretaro,  QRO.,  76120,  Mexico</t>
  </si>
  <si>
    <t>011-52-4-211-7982</t>
  </si>
  <si>
    <t>011-52-4-211-8826</t>
  </si>
  <si>
    <t>2101 Nash Street</t>
  </si>
  <si>
    <t>Gina Vaungh</t>
  </si>
  <si>
    <t>Highway 51 North</t>
  </si>
  <si>
    <t>Scott Webster</t>
  </si>
  <si>
    <t>100 RegO Drive</t>
  </si>
  <si>
    <t>PO Box 247</t>
  </si>
  <si>
    <t>1 RAYCOM ROAD</t>
  </si>
  <si>
    <t>PO. BOX 250</t>
  </si>
  <si>
    <t>Added detail cost breakdowns below each material line and press/second ops line.  Updated the routine to hide unused lines.</t>
  </si>
  <si>
    <t>Tustin,   CA,  92780-7303,  US</t>
  </si>
  <si>
    <t>937-454-2374</t>
  </si>
  <si>
    <t>937-454-2357</t>
  </si>
  <si>
    <t>Jose Luis Juarez</t>
  </si>
  <si>
    <t>Carr. Mexico-Piedras Negras</t>
  </si>
  <si>
    <t>Delphi Packard</t>
  </si>
  <si>
    <t>Christine Mahood</t>
  </si>
  <si>
    <t>6000 Youngstown-Warren Rd</t>
  </si>
  <si>
    <t>Warren,  OH  44486</t>
  </si>
  <si>
    <t>330-505-3027</t>
  </si>
  <si>
    <t>330-5053064</t>
  </si>
  <si>
    <t>CFT</t>
  </si>
  <si>
    <t>Lind Electronics, Inc.</t>
  </si>
  <si>
    <t>Mary Baker</t>
  </si>
  <si>
    <t>6414 Cambridge Street</t>
  </si>
  <si>
    <t>Lockheed Martin</t>
  </si>
  <si>
    <t>Hyd</t>
  </si>
  <si>
    <t>PSI</t>
  </si>
  <si>
    <t>X : 1</t>
  </si>
  <si>
    <t>Cntrl</t>
  </si>
  <si>
    <t>EOF</t>
  </si>
  <si>
    <t>LAVERGNE,  TN,  37086,  US</t>
  </si>
  <si>
    <t>615-641-4607</t>
  </si>
  <si>
    <t>615-641-4893</t>
  </si>
  <si>
    <t>915-872-3501</t>
  </si>
  <si>
    <t>B H Electronics</t>
  </si>
  <si>
    <t>Bob Cargill</t>
  </si>
  <si>
    <t>12219 Wood Lake Dr.</t>
  </si>
  <si>
    <t>Edmond,  OK,  73083-7257,  US</t>
  </si>
  <si>
    <t>405-844-2356</t>
  </si>
  <si>
    <t>405-844-2670</t>
  </si>
  <si>
    <t>Lemo USA Inc.</t>
  </si>
  <si>
    <t>Peter Guckenheimer</t>
  </si>
  <si>
    <t>835 Park Court</t>
  </si>
  <si>
    <t>Mallory Controls Division of Emerson Electric Co.</t>
  </si>
  <si>
    <t>2000 NE Expressway</t>
  </si>
  <si>
    <t>Norcross,  GA,  30071,  US</t>
  </si>
  <si>
    <t>402-691-3521</t>
  </si>
  <si>
    <t>VDO Control Systems Inc.</t>
  </si>
  <si>
    <t>150 Knotter drive</t>
  </si>
  <si>
    <t>Daesung Electric Co., Ltd. / Packard Electric Systems</t>
  </si>
  <si>
    <t>Core/Cavity Block</t>
  </si>
  <si>
    <t>1. Source</t>
  </si>
  <si>
    <t>Ejector Box &amp; Plates</t>
  </si>
  <si>
    <t>2. Gage Type* (CMM, Attribute…)</t>
  </si>
  <si>
    <t>011-52-442-209-7100</t>
  </si>
  <si>
    <t>28 BUTTERFIELD TRAIL BLVD.</t>
  </si>
  <si>
    <t>260-563-5883</t>
  </si>
  <si>
    <t>612-519-9129</t>
  </si>
  <si>
    <t>612-519-9138</t>
  </si>
  <si>
    <t>Est. Status:</t>
  </si>
  <si>
    <t>In-Queue</t>
  </si>
  <si>
    <t>Estimating</t>
  </si>
  <si>
    <t>No Value Added</t>
  </si>
  <si>
    <t>15771 Red Hill Avenue</t>
  </si>
  <si>
    <t>P.O. BOX 489</t>
  </si>
  <si>
    <t>Renco Electronics Inc</t>
  </si>
  <si>
    <t>Susan Barsley</t>
  </si>
  <si>
    <t>26 Coromar Drive</t>
  </si>
  <si>
    <t>Goleta,  CA,  93117</t>
  </si>
  <si>
    <t>805-968-1525</t>
  </si>
  <si>
    <t>805-685-7965</t>
  </si>
  <si>
    <t>Added a "PriceDevelopmentNote" routine to add a note if either the 3% or 5% button has been triggered.</t>
  </si>
  <si>
    <t>850 DIVISION ROAD</t>
  </si>
  <si>
    <t>SUWANEE,  GA,  30024,  US</t>
  </si>
  <si>
    <t>Jasper,  IN,  47549-1003,  US</t>
  </si>
  <si>
    <t>Parts will be layer packed in poly-lined cartons for shipping.</t>
  </si>
  <si>
    <t>ADVANCE TRANSFORMER CO.</t>
  </si>
  <si>
    <t>Federal Mogul</t>
  </si>
  <si>
    <t xml:space="preserve">12124 Rojas Drive </t>
  </si>
  <si>
    <t>Suite F</t>
  </si>
  <si>
    <t>THERMOTECH HOUSE - TX ACCOUNTS</t>
  </si>
  <si>
    <t>137</t>
  </si>
  <si>
    <t>CAM/XTL</t>
  </si>
  <si>
    <t>CY-800</t>
  </si>
  <si>
    <t>5.9-17.5</t>
  </si>
  <si>
    <t>6", 7", 10", 16"</t>
  </si>
  <si>
    <t>136</t>
  </si>
  <si>
    <t>5.9-15.0</t>
  </si>
  <si>
    <t>Motorola, Inc.</t>
  </si>
  <si>
    <t>21440 West Lake Cook Road</t>
  </si>
  <si>
    <t>Ricardo Montfort Mendoza</t>
  </si>
  <si>
    <t>P. O. Box 1288</t>
  </si>
  <si>
    <t>Nogales,  AZ,  85628</t>
  </si>
  <si>
    <t>011-52-631-311-1100  Ext. 3906</t>
  </si>
  <si>
    <t>215-773-6794</t>
  </si>
  <si>
    <t>Nextel (520)980-1215</t>
  </si>
  <si>
    <t>Please read those Terms and Conditions and then sign in the space provided and return attached to your official order.  Your official order must be consistent in all ways</t>
  </si>
  <si>
    <t>Press/Ops:</t>
  </si>
  <si>
    <t>TIJUANA,B.C., MX</t>
  </si>
  <si>
    <t>General Industries</t>
  </si>
  <si>
    <t>724-258-5353</t>
  </si>
  <si>
    <t>315 South First Street</t>
  </si>
  <si>
    <t>Ann Arbor,  MI,  48106,  US</t>
  </si>
  <si>
    <t>United States Surgical Corporation</t>
  </si>
  <si>
    <t>Dorothy Lipton</t>
  </si>
  <si>
    <t>195 McDermott Road</t>
  </si>
  <si>
    <t>1 Solutions Way</t>
  </si>
  <si>
    <t>Candace Kirt</t>
  </si>
  <si>
    <t>414-247-3401</t>
  </si>
  <si>
    <t>414-247-3701</t>
  </si>
  <si>
    <t>1441 44TH ST NW</t>
  </si>
  <si>
    <t>FARGO,  ND,  58102,  US</t>
  </si>
  <si>
    <t>Kavlico</t>
  </si>
  <si>
    <t>Update back to quote entry routine.  Fixed automatic notes with GFL, MuCell, Plant 2104.</t>
  </si>
  <si>
    <t>National Bearings Company</t>
  </si>
  <si>
    <t>502-678-6202</t>
  </si>
  <si>
    <t>KEARFOTT GUIDANCE &amp; NAV</t>
  </si>
  <si>
    <t>P. O. BOX 1484</t>
  </si>
  <si>
    <t>BRANDON,  FL,  33509,  US</t>
  </si>
  <si>
    <t>Visteon Automotive Systems</t>
  </si>
  <si>
    <t>Femi O. Olubajo</t>
  </si>
  <si>
    <t>BRIGGS &amp; STRATTON CORPORATION</t>
  </si>
  <si>
    <t>Material 7:</t>
  </si>
  <si>
    <t>Material 6:</t>
  </si>
  <si>
    <t>Material 9:</t>
  </si>
  <si>
    <t>Material 10:</t>
  </si>
  <si>
    <t>EATON CORPORATION AUTOMOTIVE CONTROLS DIVISION</t>
  </si>
  <si>
    <t>CHUCK KELLY</t>
  </si>
  <si>
    <t>6058</t>
  </si>
  <si>
    <t>C. Glez, Gallo, 1269, Col Atlas C.P. 44870</t>
  </si>
  <si>
    <t>Customer Name:</t>
  </si>
  <si>
    <t>Press One</t>
  </si>
  <si>
    <t>Sub-Totals:</t>
  </si>
  <si>
    <t>Pack Price:</t>
  </si>
  <si>
    <t>John Johnson</t>
  </si>
  <si>
    <t>3605 Hwy. 52 N.</t>
  </si>
  <si>
    <t>519-436-3696</t>
  </si>
  <si>
    <t>519-436-3836</t>
  </si>
  <si>
    <t>Roger Thibodeau</t>
  </si>
  <si>
    <t>6555 Fain Street</t>
  </si>
  <si>
    <t>Delphi Energy &amp; Engine Management</t>
  </si>
  <si>
    <t>11616 EAST 51st STREET</t>
  </si>
  <si>
    <t>Winona,  MN,  55987,  US</t>
  </si>
  <si>
    <t>507-457-9797</t>
  </si>
  <si>
    <t>Quote Number</t>
  </si>
  <si>
    <t>Skelmersdale,  LA,  WN8 9PG,  GB</t>
  </si>
  <si>
    <t>Meier Tool &amp; Engineering Inc.</t>
  </si>
  <si>
    <t>PO BOX 2487</t>
  </si>
  <si>
    <t>SANFORD,  NC,  27330,  US</t>
  </si>
  <si>
    <t>Terry Dawson</t>
  </si>
  <si>
    <t>TS KAMINSKI &amp; CO INC</t>
  </si>
  <si>
    <t>2400 INDUSTRIAL LANE, UNIT 1900</t>
  </si>
  <si>
    <t>BROOMFIELD,  CO,  80020,  US</t>
  </si>
  <si>
    <t>847-862-8090</t>
  </si>
  <si>
    <t>P.O. BOX 3700</t>
  </si>
  <si>
    <t>FORT WAYNE,  IN,  46801,  US</t>
  </si>
  <si>
    <t>BECTON DICKSON</t>
  </si>
  <si>
    <t>HI-STAT MANUFACTURING COMPANY, INC.</t>
  </si>
  <si>
    <t>MARILYN ELLIOT-ENGE</t>
  </si>
  <si>
    <t>956-838-2480</t>
  </si>
  <si>
    <t>2104-3</t>
  </si>
  <si>
    <t>Gral. Marcelino G Barragan 1610</t>
  </si>
  <si>
    <t>Tool dimensions will be guaranteed to within .005" of CAD model and may not produce parts 100% to print due to variations in material shrinkage.</t>
  </si>
  <si>
    <t>Buyout Cost %</t>
  </si>
  <si>
    <t>Jill D. Lee</t>
  </si>
  <si>
    <t>Victor Equipment Company</t>
  </si>
  <si>
    <t>Centre Technique - Paris 117, av. des Nations</t>
  </si>
  <si>
    <t>ZAC Paris Nord II</t>
  </si>
  <si>
    <t>300 Hunter Avenue</t>
  </si>
  <si>
    <t xml:space="preserve">and an assumed 15% weight reduction.  It should be noted that this is a good faith estimate and </t>
  </si>
  <si>
    <t>Part Wgt.:</t>
  </si>
  <si>
    <t>Adjusted canned notes for customer furnished tooling, OK'd by Tom Bogaard.  Added the ability to have a different yield for scenario two.</t>
  </si>
  <si>
    <t>Sonic Weld</t>
  </si>
  <si>
    <t>Machining</t>
  </si>
  <si>
    <t>Pad Print</t>
  </si>
  <si>
    <t>SAUGERTIES,  NY,  12477,  US</t>
  </si>
  <si>
    <t>914-246-2811</t>
  </si>
  <si>
    <t>CHICAGO,  IL,  60651,  US</t>
  </si>
  <si>
    <t>Wire Insertion</t>
  </si>
  <si>
    <t>Rodrigo Carrasco/Fermin Mozqueda</t>
  </si>
  <si>
    <t xml:space="preserve">Av. Itedo 8900-1 </t>
  </si>
  <si>
    <t>Updated Sales Data sheet and eliminated house account number.</t>
  </si>
  <si>
    <t>908-561-5989</t>
  </si>
  <si>
    <t>RHONDA OVERBEY</t>
  </si>
  <si>
    <t>Robert Bosch S.A. de C.V.</t>
  </si>
  <si>
    <t>Avenida Robert Bosch 405</t>
  </si>
  <si>
    <t>Signal Transformer Mexicana, SA de CV</t>
  </si>
  <si>
    <t>Luis Corpi</t>
  </si>
  <si>
    <t>142, Parq. Ind. Kalos</t>
  </si>
  <si>
    <t>Apodaca, NL,  Mexico,  66600</t>
  </si>
  <si>
    <t>The Torrington Company</t>
  </si>
  <si>
    <t>INVENSYS SENSOR SYSTEMS</t>
  </si>
  <si>
    <t>ROBERT MACIAS</t>
  </si>
  <si>
    <t>12055 ROJAS DRIVE</t>
  </si>
  <si>
    <t>SUITE K</t>
  </si>
  <si>
    <t>915-872-3314</t>
  </si>
  <si>
    <t>915-872-3333</t>
  </si>
  <si>
    <t>ABBEVILLE,  AL,  36310-0159,  US</t>
  </si>
  <si>
    <t>23276D</t>
  </si>
  <si>
    <t>Material inc. .66  and lower quantities.</t>
  </si>
  <si>
    <t>North Olmsted,  OH,  44070</t>
  </si>
  <si>
    <t>DELTROL CONTROLS CORPORATION</t>
  </si>
  <si>
    <t>P.O. BOX 140394</t>
  </si>
  <si>
    <t>5.91 - 13.78</t>
  </si>
  <si>
    <t>12.8 x 12.2</t>
  </si>
  <si>
    <t>19.69 X 19.09</t>
  </si>
  <si>
    <t>15.97 x 14.17</t>
  </si>
  <si>
    <t>H7" x V7" &amp; CENTER</t>
  </si>
  <si>
    <t>132</t>
  </si>
  <si>
    <t>C VISTA</t>
  </si>
  <si>
    <t>XTL</t>
  </si>
  <si>
    <t>5.9 - 15</t>
  </si>
  <si>
    <t>17.9 X 16.7</t>
  </si>
  <si>
    <t>26.81 X 25.59</t>
  </si>
  <si>
    <t>John Hendricks</t>
  </si>
  <si>
    <t>Swift-Cor</t>
  </si>
  <si>
    <t>MARIA DANIELS</t>
  </si>
  <si>
    <t>200 S. Richland Creek Dr.</t>
  </si>
  <si>
    <t>815-288-2491</t>
  </si>
  <si>
    <t>DADE BEHRING</t>
  </si>
  <si>
    <t>MARY ANNE E. PELCZAR</t>
  </si>
  <si>
    <t>UTAH MEDICAL Products</t>
  </si>
  <si>
    <t>Col Pinar de la Calma</t>
  </si>
  <si>
    <t>VALEO TERMICO,S.A.DE C.V.</t>
  </si>
  <si>
    <t>Nadine Gasnier</t>
  </si>
  <si>
    <t>36,972 psi</t>
  </si>
  <si>
    <t>18.1</t>
  </si>
  <si>
    <t>12.6 X 12.6</t>
  </si>
  <si>
    <t>13.8</t>
  </si>
  <si>
    <t>005</t>
  </si>
  <si>
    <t>1.68</t>
  </si>
  <si>
    <t>Added the current revision level to the quote entry form so we know what version we are working on.</t>
  </si>
  <si>
    <t>Scarsdale,  NY,  10583,  US</t>
  </si>
  <si>
    <t>508-482-3296</t>
  </si>
  <si>
    <t>C &amp; K COMPONENTS, INC.</t>
  </si>
  <si>
    <t>3225 PENDORF ROAD</t>
  </si>
  <si>
    <t>Delphi Mechatronic Systems</t>
  </si>
  <si>
    <t>Lee M. Lannert</t>
  </si>
  <si>
    <t>3110 Woodcreek Drive</t>
  </si>
  <si>
    <t>Lee.M.Lannert@Delphi.com</t>
  </si>
  <si>
    <t>Downers Grove,  IL,  60515-5426</t>
  </si>
  <si>
    <t>630-795-4779</t>
  </si>
  <si>
    <t>630-795-4892</t>
  </si>
  <si>
    <t>CARO,  MI,  48723-9588,  US</t>
  </si>
  <si>
    <t>517-673-5536</t>
  </si>
  <si>
    <t>505-343-0090</t>
  </si>
  <si>
    <t>336-449-6594</t>
  </si>
  <si>
    <t>Sandra Schneider</t>
  </si>
  <si>
    <t>NENA DIAZ</t>
  </si>
  <si>
    <t>111 W. Buchanan Street</t>
  </si>
  <si>
    <t>Calz. Ignacio Zaragoza 885, Col. Agricola Oriental</t>
  </si>
  <si>
    <t>Mexico, DF, 08500, Mexico</t>
  </si>
  <si>
    <t xml:space="preserve">No hydrocarbon additives are put into the material.  Only Nitrogen Gas is included at the time of </t>
  </si>
  <si>
    <t>1950 West County Road B-2</t>
  </si>
  <si>
    <t>011-52-81-8156-7000  Ext. 2315</t>
  </si>
  <si>
    <t>011-52-81-8156-7014</t>
  </si>
  <si>
    <t>Salvador-delatorre@denso-diam.com</t>
  </si>
  <si>
    <t>CHUBBY CARLSON</t>
  </si>
  <si>
    <t>1617 N. FRONT ST.</t>
  </si>
  <si>
    <t>Tooling complexity and cost in relation to annual production must be considered.</t>
  </si>
  <si>
    <t>Genral Bearing Corperation</t>
  </si>
  <si>
    <t>Sasha Mitrovich</t>
  </si>
  <si>
    <t>44 High Street</t>
  </si>
  <si>
    <t>Xylum  Corp.</t>
  </si>
  <si>
    <t>Roger Couture</t>
  </si>
  <si>
    <t>670 White Plains Rd</t>
  </si>
  <si>
    <t>Guillermo Cervantes</t>
  </si>
  <si>
    <t>Calle Texas 100 OTE.</t>
  </si>
  <si>
    <t>RT MILLER</t>
  </si>
  <si>
    <t>Barry C. Worrell</t>
  </si>
  <si>
    <t>250 Northwoods Boulevard</t>
  </si>
  <si>
    <t>M/C 110</t>
  </si>
  <si>
    <t>Vandalia,  Ohio,  45377-5051</t>
  </si>
  <si>
    <t>937-356-2223</t>
  </si>
  <si>
    <t>937-356-2303</t>
  </si>
  <si>
    <t>Year</t>
  </si>
  <si>
    <t>Ton</t>
  </si>
  <si>
    <t>(mm)</t>
  </si>
  <si>
    <t xml:space="preserve">Production Delivery in Weeks </t>
  </si>
  <si>
    <t>PAT MARTONE</t>
  </si>
  <si>
    <t>651-733-8420</t>
  </si>
  <si>
    <t>651-736-6341</t>
  </si>
  <si>
    <t>6,4X16both     ways &amp;Center</t>
  </si>
  <si>
    <t>Herb Riedel</t>
  </si>
  <si>
    <t>248-340-4436</t>
  </si>
  <si>
    <t>Gear Development</t>
  </si>
  <si>
    <t>Hourly Fixed</t>
  </si>
  <si>
    <t>495 RENNER DRIVE</t>
  </si>
  <si>
    <t>Berg Electronics</t>
  </si>
  <si>
    <t>561-671-2659</t>
  </si>
  <si>
    <t>203-492-6350</t>
  </si>
  <si>
    <t>TRANSICOIL INC</t>
  </si>
  <si>
    <t>402 East Haven Street</t>
  </si>
  <si>
    <t>011-52-442-238-4163</t>
  </si>
  <si>
    <t>011-52-442-220-8377</t>
  </si>
  <si>
    <t>506-282-9482</t>
  </si>
  <si>
    <t>Jim Navratil</t>
  </si>
  <si>
    <t>P.O. BOX 800</t>
  </si>
  <si>
    <t>St. Bonifacus,  MN,  55375,  US</t>
  </si>
  <si>
    <t>011-52-4211-4978</t>
  </si>
  <si>
    <t>011-52-4211-4923</t>
  </si>
  <si>
    <t>200 Upper Mountain Road</t>
  </si>
  <si>
    <t>Lockport,  NY,  14094,  USA</t>
  </si>
  <si>
    <t>Queretaro,  Qro,  Mexico,  76060</t>
  </si>
  <si>
    <t>011-524-213-4149</t>
  </si>
  <si>
    <t>WOODLAND HILLS,  CA,  91367,  US</t>
  </si>
  <si>
    <t>Satoru (Sandy) Kitahara</t>
  </si>
  <si>
    <t>At Gary and Jeff's request, I revised the individual press and second ops summary section found underneath each line item.</t>
  </si>
  <si>
    <t>3700 EAST PONTIAC STREET</t>
  </si>
  <si>
    <t>330-425-7596</t>
  </si>
  <si>
    <t>440-238-6931</t>
  </si>
  <si>
    <t>GFL Note</t>
  </si>
  <si>
    <t>PO BOX 27446</t>
  </si>
  <si>
    <t>15.55 X 15.55</t>
  </si>
  <si>
    <t>616-428-7564</t>
  </si>
  <si>
    <t>616-428-7541</t>
  </si>
  <si>
    <t>SAN LUIS POTOSI, SLP,  78000,  MX</t>
  </si>
  <si>
    <t>Westfield,  IN,  46074-0408,  US</t>
  </si>
  <si>
    <t>P.O. Box 9086</t>
  </si>
  <si>
    <t>Specify Qty</t>
  </si>
  <si>
    <t>Break to use:</t>
  </si>
  <si>
    <t>Scenario One</t>
  </si>
  <si>
    <t>St. Paul,  MN,  55144-1000,  US</t>
  </si>
  <si>
    <t>651-736-6544</t>
  </si>
  <si>
    <t>1300 West Oak Street</t>
  </si>
  <si>
    <t>CAROLE.DECHAINE@menasha.com</t>
  </si>
  <si>
    <t>952-933-9468</t>
  </si>
  <si>
    <t>JUDY.OLSON@menasha.com</t>
  </si>
  <si>
    <t>952-933-9402</t>
  </si>
  <si>
    <t>Julie Peterson</t>
  </si>
  <si>
    <t>Added routine to automatically place quote number field as file name.</t>
  </si>
  <si>
    <t>616-323-7700</t>
  </si>
  <si>
    <t>616-323-3094</t>
  </si>
  <si>
    <t>X-Fer Plate</t>
  </si>
  <si>
    <t>Burried Pack</t>
  </si>
  <si>
    <t>Min Release / Min Ship</t>
  </si>
  <si>
    <t>Misc Analysis</t>
  </si>
  <si>
    <t>915-791-4040</t>
  </si>
  <si>
    <t>Carolina Assembly Components, Inc.</t>
  </si>
  <si>
    <t>704-878-8584</t>
  </si>
  <si>
    <t>Luis Bleriot 6720</t>
  </si>
  <si>
    <t>Parque Ind. Panamericano</t>
  </si>
  <si>
    <t>Ciudad Juarez Chih.,  CHI, 32695,  MX</t>
  </si>
  <si>
    <t>CHESHIRE,  CT,  06410,  US</t>
  </si>
  <si>
    <t>SUSAN SCHAEFER</t>
  </si>
  <si>
    <t>Fixed:</t>
  </si>
  <si>
    <t>Queretaro, Queretaro,  MX,  76060</t>
  </si>
  <si>
    <t>011-52-442-213-4149</t>
  </si>
  <si>
    <t>Grupo Kervo, SA de CV</t>
  </si>
  <si>
    <t>PolyOne</t>
  </si>
  <si>
    <t>Tool Maintenance Costs</t>
  </si>
  <si>
    <t>ELMA,  NY,  14059,  US</t>
  </si>
  <si>
    <t>UNISON</t>
  </si>
  <si>
    <t>Ken Swank</t>
  </si>
  <si>
    <t>7575 Bay Meadows Way</t>
  </si>
  <si>
    <t>Jacksonville,  FL,  32256,  US</t>
  </si>
  <si>
    <t>TIMKEN COMPANY</t>
  </si>
  <si>
    <t>1835 DUEBER AVENUE S.W.</t>
  </si>
  <si>
    <t>CANTON,  OH,  44711,  US</t>
  </si>
  <si>
    <t>Guadalajara, Jalisco,  Mexico,  44900</t>
  </si>
  <si>
    <t>509-525-1729</t>
  </si>
  <si>
    <t>Don Smith</t>
  </si>
  <si>
    <t>17000 Executive Plaza Dr.</t>
  </si>
  <si>
    <t>Combo Off</t>
  </si>
  <si>
    <t>011-524-211-6601,6602</t>
  </si>
  <si>
    <t>1055 Corporate Center Drive</t>
  </si>
  <si>
    <t>Oconomowoc,  WI,  53066-4829</t>
  </si>
  <si>
    <t>Industrial Sales Tech, Inc.</t>
  </si>
  <si>
    <t>262-560-5506</t>
  </si>
  <si>
    <t>R. T. Miller</t>
  </si>
  <si>
    <t>ANN M. BOHANON</t>
  </si>
  <si>
    <t>3550 ANNAPOLIS LANE</t>
  </si>
  <si>
    <t>SUITE 60</t>
  </si>
  <si>
    <t>8000 Purfoy Road</t>
  </si>
  <si>
    <t>M.S. 4</t>
  </si>
  <si>
    <t>MICHAEL DEHOOGE</t>
  </si>
  <si>
    <t>3600 CHAMBERLAIN LANE</t>
  </si>
  <si>
    <t>15.7x11</t>
  </si>
  <si>
    <t>No</t>
  </si>
  <si>
    <t>Changed Sub Routine "quote number" so that it drops the .XLS extension of the quote name.  Added routine to correct text cell alignment in cell range C57 to L104.  Added KM175TP 2SH to press rates sheet under Hopkins.  Updated commission calculation.</t>
  </si>
  <si>
    <t>Insert Volume</t>
  </si>
  <si>
    <t>S.G.</t>
  </si>
  <si>
    <t>$/lb.</t>
  </si>
  <si>
    <t>Mass</t>
  </si>
  <si>
    <t>Stamping Press</t>
  </si>
  <si>
    <t># of Oper.</t>
  </si>
  <si>
    <t>Labor</t>
  </si>
  <si>
    <t>P.L. PORTER COMPANY</t>
  </si>
  <si>
    <t>Timothy Hardwick</t>
  </si>
  <si>
    <t>Revised "Equote" Routine to delete buttons 1, 2,and 3.  Removed deletion of button 4 which was causing a run-time error.                                                                                                                                                       Changed file format from XLT to XLS for simplicity.  Update the VB code that reffered to XLT.                                                                            Updated the "Sales To Tooling Ratio" to reflect if less than or equal to 3.00, the number will be displayed as a reminder.</t>
  </si>
  <si>
    <t>Pontiac Coil</t>
  </si>
  <si>
    <t>5800 Moody Drive</t>
  </si>
  <si>
    <t>Clarkston,  MI,  48348,  USA</t>
  </si>
  <si>
    <t>248-922-1315</t>
  </si>
  <si>
    <t>Surface area x injection pressure for quoted material / 2000</t>
  </si>
  <si>
    <t>Jeff Fussell</t>
  </si>
  <si>
    <t>Kostal Mexicana SA de CV</t>
  </si>
  <si>
    <t>317-328-4057</t>
  </si>
  <si>
    <t>dhudson@mallorycontrols.com</t>
  </si>
  <si>
    <t>Indianapolis, IN  46214</t>
  </si>
  <si>
    <t>Rawsonville Plant</t>
  </si>
  <si>
    <t>Manufacturer's Services LTD.</t>
  </si>
  <si>
    <t>Rod Criego</t>
  </si>
  <si>
    <t>901-855-3591</t>
  </si>
  <si>
    <t>MEDI-FLEX INC.</t>
  </si>
  <si>
    <t>MANUEL ORTIZ</t>
  </si>
  <si>
    <t>19 BUTTERFIELD TRAIL</t>
  </si>
  <si>
    <t>PK U.S.A., Inc.</t>
  </si>
  <si>
    <t>937-455-9133</t>
  </si>
  <si>
    <t>Asco Joucomatic Ltd</t>
  </si>
  <si>
    <t>2 Pit Hey Place</t>
  </si>
  <si>
    <t xml:space="preserve">7000 CENTRAL AVENUE N.E. </t>
  </si>
  <si>
    <t>LARRY GIVENS</t>
  </si>
  <si>
    <t>We reserve the right to adjust prices after sampling and customer approval.</t>
  </si>
  <si>
    <t>Electricity</t>
  </si>
  <si>
    <t>Columbus,  OH,  43201,  US</t>
  </si>
  <si>
    <t>770-932-5336</t>
  </si>
  <si>
    <t>MIOX Corp.</t>
  </si>
  <si>
    <t>Greenville,  NC,  27834</t>
  </si>
  <si>
    <t>252-754-1000</t>
  </si>
  <si>
    <t>Dynamic Air Conveying Systems</t>
  </si>
  <si>
    <t>Jennifer Wagner</t>
  </si>
  <si>
    <t>219-285-5207</t>
  </si>
  <si>
    <t>1 Becton Drive</t>
  </si>
  <si>
    <t>Franklin Lakes,  NJ,  07417</t>
  </si>
  <si>
    <t>Removed the "Mfg Concept, Phone List, Sec Ops" sheets.  The group felt we did not need this data in our template.  Changed the way we enter a press by using the plant number as a pre-fix so we can quote different plant press rates by scenario for analysis purposes only.  Added a scenario two press/ops MU, added a automation tooling section for estimating to quote tooling.  Added colors by estimator.</t>
  </si>
  <si>
    <t>Carbono Lorena de Mexico</t>
  </si>
  <si>
    <t>CINCINNATI,  OH,  45242-2839,  US</t>
  </si>
  <si>
    <t>7", 4" x 16" BOTHWAYS, 16" HORIZONTAL</t>
  </si>
  <si>
    <t>306</t>
  </si>
  <si>
    <t>7.9 - 25.2</t>
  </si>
  <si>
    <t>25.2 x 24.6</t>
  </si>
  <si>
    <t>36.8 X 36.2</t>
  </si>
  <si>
    <t>307</t>
  </si>
  <si>
    <t>8.0-25.0</t>
  </si>
  <si>
    <t>25.2 x 25</t>
  </si>
  <si>
    <t>501-279-2115</t>
  </si>
  <si>
    <t>125 Eugene O'Neil Drive</t>
  </si>
  <si>
    <t>Guadalajara, Jal,  Mexico</t>
  </si>
  <si>
    <t>011-52-3619-1720 EXT. 113</t>
  </si>
  <si>
    <t>7&amp;10 both ways</t>
  </si>
  <si>
    <t>Lighten up shaded areas for better print resolution.</t>
  </si>
  <si>
    <t>3701 Hy-Point Boulevard</t>
  </si>
  <si>
    <t>513-337-7077</t>
  </si>
  <si>
    <t>908-754-3030</t>
  </si>
  <si>
    <t>Sleeve/Blade</t>
  </si>
  <si>
    <t>AMEREX</t>
  </si>
  <si>
    <t>H. D. NICODEMUS</t>
  </si>
  <si>
    <t>P.O. BOX 81</t>
  </si>
  <si>
    <t>TRUSSVILLE,  AL,  35173-0081,  US</t>
  </si>
  <si>
    <t>205-655-3271</t>
  </si>
  <si>
    <t>CARMEN ZAMORA</t>
  </si>
  <si>
    <t>BLVD. INSURGNETES #18002</t>
  </si>
  <si>
    <t>Quote entry cell F2</t>
  </si>
  <si>
    <t>19.6x16.5</t>
  </si>
  <si>
    <t>BRIAN AHEARN</t>
  </si>
  <si>
    <t>55 DUPONT DRIVE</t>
  </si>
  <si>
    <t>ZONA INDUSTRIAL ILi ARANDA</t>
  </si>
  <si>
    <t>SAN LUIS POTOSI,  S.L.P. 78090,  MX</t>
  </si>
  <si>
    <t>011(52)4826-7454</t>
  </si>
  <si>
    <t>011(52)4824-5825</t>
  </si>
  <si>
    <t>ROSTRA ENGINEERED COMP INC.</t>
  </si>
  <si>
    <t>CENTER ONLY</t>
  </si>
  <si>
    <t>Custom Reels</t>
  </si>
  <si>
    <t>Mold Type</t>
  </si>
  <si>
    <t>Square Geometry</t>
  </si>
  <si>
    <t>Round Geometry</t>
  </si>
  <si>
    <t>Material 1:</t>
  </si>
  <si>
    <t>Material 2:</t>
  </si>
  <si>
    <t>Material 3:</t>
  </si>
  <si>
    <t>Material 4:</t>
  </si>
  <si>
    <t>Material 5:</t>
  </si>
  <si>
    <t>Derek Callan</t>
  </si>
  <si>
    <t xml:space="preserve">El Paso, TX  </t>
  </si>
  <si>
    <t>915-584-3011</t>
  </si>
  <si>
    <t>LA BARGE INC</t>
  </si>
  <si>
    <t>RONALD GOSSAGE</t>
  </si>
  <si>
    <t>SOUTH BOSTON,  VA,  24592,  US</t>
  </si>
  <si>
    <t>KAREN CHRISTIAN</t>
  </si>
  <si>
    <t>804-575-7911</t>
  </si>
  <si>
    <t>Labor Cost Scr. 1</t>
  </si>
  <si>
    <t>248-583-9938</t>
  </si>
  <si>
    <t>Added "DateDue" Routine to assign today's date to the due date field only if it is blank.  Triggered during the press ops update.</t>
  </si>
  <si>
    <t>DAYTON,  OH,  45404-1249,  US</t>
  </si>
  <si>
    <t>Fran Adler / Oscar Regalado</t>
  </si>
  <si>
    <t>Olivos 502-A</t>
  </si>
  <si>
    <t>Jurica, QRO</t>
  </si>
  <si>
    <t>Queretaro,  76100,  Mexico</t>
  </si>
  <si>
    <t>011-52-442-218-1094</t>
  </si>
  <si>
    <t>011-52-442-218-7726</t>
  </si>
  <si>
    <t>PO BOX 5020</t>
  </si>
  <si>
    <t>Rochester Hills,  MI,  48308-5020,  US</t>
  </si>
  <si>
    <t>5 seconds</t>
  </si>
  <si>
    <t>IDES</t>
  </si>
  <si>
    <t>Above prices are budgetary pending the results of mold evaluation.</t>
  </si>
  <si>
    <t>Parque Industrial Finsa Qro</t>
  </si>
  <si>
    <t>Sta Roda de Viterbo No.12</t>
  </si>
  <si>
    <t>561-881-2362</t>
  </si>
  <si>
    <t>561-881-2360</t>
  </si>
  <si>
    <t>STANDARD MAGNETO SALES COMPANY INC</t>
  </si>
  <si>
    <t>Total Material Cost:</t>
  </si>
  <si>
    <t>Total Material Price:</t>
  </si>
  <si>
    <t>Press/Ops Cost:</t>
  </si>
  <si>
    <t>Manny Flores</t>
  </si>
  <si>
    <t>MANUEL.FLORES@menasha.com</t>
  </si>
  <si>
    <t>(1132-)</t>
  </si>
  <si>
    <t>Professional Services</t>
  </si>
  <si>
    <t>202 East Street</t>
  </si>
  <si>
    <t>1985 Douglas Drive</t>
  </si>
  <si>
    <t>Johanson</t>
  </si>
  <si>
    <t>Carol Fischer</t>
  </si>
  <si>
    <t>Rockaway Valley Road</t>
  </si>
  <si>
    <t>Boonton,  NJ,  07005,  US</t>
  </si>
  <si>
    <t>Part Wt and Runner Calculations</t>
  </si>
  <si>
    <t>Press Two</t>
  </si>
  <si>
    <t>Customer No.</t>
  </si>
  <si>
    <t xml:space="preserve">Customer Name </t>
  </si>
  <si>
    <t>Attention</t>
  </si>
  <si>
    <t>Address1</t>
  </si>
  <si>
    <t>Address2</t>
  </si>
  <si>
    <t>CityStateZipCounty</t>
  </si>
  <si>
    <t>Rep#</t>
  </si>
  <si>
    <t>Name</t>
  </si>
  <si>
    <t>Bowles Fluidics Corporation</t>
  </si>
  <si>
    <t>6625 Dobbin Road</t>
  </si>
  <si>
    <t>4538 CAMBERWELL ROAD</t>
  </si>
  <si>
    <t>Mold Price</t>
  </si>
  <si>
    <t>Tooling Price</t>
  </si>
  <si>
    <t>Date:</t>
  </si>
  <si>
    <t>Kim Allen</t>
  </si>
  <si>
    <t>Electromech Technologies</t>
  </si>
  <si>
    <t>Roxanne King</t>
  </si>
  <si>
    <t>2600 S. Custer</t>
  </si>
  <si>
    <t>Wichita,  KS,  67217,  US</t>
  </si>
  <si>
    <t>MAGNETEC CORPORATION</t>
  </si>
  <si>
    <t>EC-88</t>
  </si>
  <si>
    <t>W. DAVID OUTLAW</t>
  </si>
  <si>
    <t>Tim Haerr</t>
  </si>
  <si>
    <t>937-455-6938</t>
  </si>
  <si>
    <t>440-449-6150</t>
  </si>
  <si>
    <t>440-449-0515</t>
  </si>
  <si>
    <t>30.9 X 33.15</t>
  </si>
  <si>
    <t>7"  BOTHWAYS, 4" x 16" BOTHWAYS</t>
  </si>
  <si>
    <t>219-920-6013</t>
  </si>
  <si>
    <t>219-925-8805</t>
  </si>
  <si>
    <t>Sims Deltec</t>
  </si>
  <si>
    <t>No fixtures/gages have been quoted and we assume all nests and fixtures will be sent with the tooling.</t>
  </si>
  <si>
    <t>801 Industrial Drive</t>
  </si>
  <si>
    <t>615-451-5624</t>
  </si>
  <si>
    <t>Metal Logic Inc</t>
  </si>
  <si>
    <t>15 to 20 degree helix angle or less will not require a an unscrewing or rotating mechanism in the mold.</t>
  </si>
  <si>
    <t>Bticino de Mexico, SA de CV</t>
  </si>
  <si>
    <t>Carr 57 Km22.7, Qro-SLP</t>
  </si>
  <si>
    <t>Queretaro, Queretaro</t>
  </si>
  <si>
    <t>Queretaro,  MX,  76220</t>
  </si>
  <si>
    <t>011-52-442-238-0481</t>
  </si>
  <si>
    <t>Linde-Pullman Mexico SA de CV</t>
  </si>
  <si>
    <t>AUBURN,  NY, 13021-3120,  US</t>
  </si>
  <si>
    <t>Strattec Security Corp.</t>
  </si>
  <si>
    <t>El Marques, Queretaro,  Mexico,  76246</t>
  </si>
  <si>
    <t>SEYMOUR,  IN,  47274,  US</t>
  </si>
  <si>
    <t>812-524-5713</t>
  </si>
  <si>
    <t>Seaquist Perfect</t>
  </si>
  <si>
    <t>Oliver Leon</t>
  </si>
  <si>
    <t>Av. Del Marques er, Bodega 5, Parq. Ind.</t>
  </si>
  <si>
    <t>Bernardo Quintana</t>
  </si>
  <si>
    <t>El Marques, Qro,  MX,  76240</t>
  </si>
  <si>
    <t>011-52-442-221-5673</t>
  </si>
  <si>
    <t>011-52-442-221-5698</t>
  </si>
  <si>
    <t>Thermotech is capitalizing a robot and retaining ownership of this robot.  $ 12,000/EAU has been added to the mfg cost and part price.</t>
  </si>
  <si>
    <t>P.O. BOX 127</t>
  </si>
  <si>
    <t>GALLMAN,  MS,  39077,  US</t>
  </si>
  <si>
    <t>WATERS CORP</t>
  </si>
  <si>
    <t>34 MAPLE ST</t>
  </si>
  <si>
    <t>MuCell Off</t>
  </si>
  <si>
    <t>6.0-19.0</t>
  </si>
  <si>
    <t>30.9 X 30.1</t>
  </si>
  <si>
    <t>VLC</t>
  </si>
  <si>
    <t>Skyline Exhibits</t>
  </si>
  <si>
    <t>Guillermo Cano</t>
  </si>
  <si>
    <t>011-52-33-3810-8949</t>
  </si>
  <si>
    <t>011-52-33-3157-0778</t>
  </si>
  <si>
    <t>BARBRA O'BRIEN</t>
  </si>
  <si>
    <t>WINONA DIVISION</t>
  </si>
  <si>
    <t>P.O. BOX 5025</t>
  </si>
  <si>
    <t>Buhler Motor Inc.</t>
  </si>
  <si>
    <t>Randy C. Daughtry</t>
  </si>
  <si>
    <t>303 Gregson Drive</t>
  </si>
  <si>
    <t>Cary,  NC,  27511,  USA</t>
  </si>
  <si>
    <t>919-380-2351</t>
  </si>
  <si>
    <t>919-380-2314</t>
  </si>
  <si>
    <t>Add / Sub</t>
  </si>
  <si>
    <t>Burnsville,  MN,  55337,  US</t>
  </si>
  <si>
    <t>612-894-9590</t>
  </si>
  <si>
    <t>717-292-2919</t>
  </si>
  <si>
    <t>QTERA</t>
  </si>
  <si>
    <t>Dave Sepanic</t>
  </si>
  <si>
    <t xml:space="preserve">Width </t>
  </si>
  <si>
    <t>Volume</t>
  </si>
  <si>
    <t>Number</t>
  </si>
  <si>
    <t>E1024</t>
  </si>
  <si>
    <t>Eaton Corp : Lectron Products Division</t>
  </si>
  <si>
    <t>1400 S LIVERNOIS</t>
  </si>
  <si>
    <t>DEARBORN,  MI,  48126-2659,  US</t>
  </si>
  <si>
    <t>956-986-6700</t>
  </si>
  <si>
    <t>765-451-0273</t>
  </si>
  <si>
    <t>Texas Instruments Inc.</t>
  </si>
  <si>
    <t>34 Forest Street,MS 01-29</t>
  </si>
  <si>
    <t>P.O. Box 2964</t>
  </si>
  <si>
    <t>Siemens VDO, S.A. de C.V.</t>
  </si>
  <si>
    <t>Julio Ortiz</t>
  </si>
  <si>
    <t>Chimeneas 4300</t>
  </si>
  <si>
    <t>Parque Industrial Juarez</t>
  </si>
  <si>
    <t>Cd. Juarez, Chih., MX  32360</t>
  </si>
  <si>
    <t>505-874-7591</t>
  </si>
  <si>
    <t>505-874-7518</t>
  </si>
  <si>
    <t>Added RFQ form for the Sales Administrator to print in-lieu of printing two page form.  Changed the final check list routine from a check sheet to a pop-up with all the checklist items.</t>
  </si>
  <si>
    <t>Vivian Garland</t>
  </si>
  <si>
    <t>395 T Elmer Cox Drive</t>
  </si>
  <si>
    <t>952-988-9555</t>
  </si>
  <si>
    <t>E1025</t>
  </si>
  <si>
    <t>Sanyo Battery Div. Monterrey</t>
  </si>
  <si>
    <t>Cesar Gardenas</t>
  </si>
  <si>
    <t>Av. Santa Barbara 601</t>
  </si>
  <si>
    <t>Ex-Ejido San Nicolas</t>
  </si>
  <si>
    <t>Escobedo,  NL,  Mexico  66050</t>
  </si>
  <si>
    <t>011-52-818-154-7100 Ext. 7149</t>
  </si>
  <si>
    <t>011-52-818-154-7122</t>
  </si>
  <si>
    <t>Order Contact:</t>
  </si>
  <si>
    <t>Type</t>
  </si>
  <si>
    <t>Duns Note 2101</t>
  </si>
  <si>
    <t xml:space="preserve">Code maintenance:  changing absolute cell positions to named cell location. </t>
  </si>
  <si>
    <t>EE Relations</t>
  </si>
  <si>
    <t>WABASH MAGNETICS</t>
  </si>
  <si>
    <t>Sondra Scheiber</t>
  </si>
  <si>
    <t>1375 SWAN STREET</t>
  </si>
  <si>
    <t>PO Box 829</t>
  </si>
  <si>
    <t>Plant2101 Fax</t>
  </si>
  <si>
    <t>LUCAS BODY SYSTEMS</t>
  </si>
  <si>
    <t>LAKE CENTER INDUSTRIES</t>
  </si>
  <si>
    <t>P.O. BOX 5649</t>
  </si>
  <si>
    <t>WINONA,  MN,  55987,  US</t>
  </si>
  <si>
    <t>10.7 - 12.5</t>
  </si>
  <si>
    <t>10.6 x 10.6</t>
  </si>
  <si>
    <t>16.5 X 19.38</t>
  </si>
  <si>
    <t>5.9 - 14.96</t>
  </si>
  <si>
    <t>15.98 x 13.58</t>
  </si>
  <si>
    <t>THERMOTECH HOUSE - KS, MO, So. IL</t>
  </si>
  <si>
    <t>Midlantic Plastic Sales Co.</t>
  </si>
  <si>
    <t>152</t>
  </si>
  <si>
    <t>865 PARKVIEW BOULEVARD</t>
  </si>
  <si>
    <t>COST / PRICE BREAKDOWN FORMULA</t>
  </si>
  <si>
    <t>Raw Materials</t>
  </si>
  <si>
    <t>Huntsville,  AL,  35803,  US</t>
  </si>
  <si>
    <t>256-882-4789</t>
  </si>
  <si>
    <t>12415 ROJAS DRIVE</t>
  </si>
  <si>
    <t>EL PASO,  TX,  79995,  US</t>
  </si>
  <si>
    <t>10500 9TH Street North</t>
  </si>
  <si>
    <t>304</t>
  </si>
  <si>
    <t>330</t>
  </si>
  <si>
    <t>Santa Teresa,  NM,  88008</t>
  </si>
  <si>
    <t>Min Cost %</t>
  </si>
  <si>
    <t>Pack Cost %</t>
  </si>
  <si>
    <t>10</t>
  </si>
  <si>
    <t>Valley Lab</t>
  </si>
  <si>
    <t>Jon Dodd</t>
  </si>
  <si>
    <t>5920 Longbow Drive</t>
  </si>
  <si>
    <t>Jon.Dodd@tycohealthcare.com</t>
  </si>
  <si>
    <t>Boulder,  CO,  80301</t>
  </si>
  <si>
    <t>303-530-6508</t>
  </si>
  <si>
    <t>303-530-6277</t>
  </si>
  <si>
    <t>1997</t>
  </si>
  <si>
    <t>TECSTAR</t>
  </si>
  <si>
    <t>Mendota Heights,  MN,  55121,  US</t>
  </si>
  <si>
    <t>Shot Size Variable</t>
  </si>
  <si>
    <t>MINNEAPOLIS,  MN,  55430,  US</t>
  </si>
  <si>
    <t>Venusa, LTD</t>
  </si>
  <si>
    <r>
      <t xml:space="preserve">                                                                                                                                                    Supplier Tooling Breakdown</t>
    </r>
    <r>
      <rPr>
        <b/>
        <u/>
        <sz val="14"/>
        <rFont val="Arial"/>
        <family val="2"/>
      </rPr>
      <t xml:space="preserve"> </t>
    </r>
    <r>
      <rPr>
        <b/>
        <sz val="14"/>
        <rFont val="Arial"/>
        <family val="2"/>
      </rPr>
      <t xml:space="preserve">   </t>
    </r>
  </si>
  <si>
    <t>TBD</t>
  </si>
  <si>
    <t>Factor</t>
  </si>
  <si>
    <t># of Units</t>
  </si>
  <si>
    <t>$$/Unit</t>
  </si>
  <si>
    <t>Changed "it's" in the customer terms section of our customer quote to the correct possessive form of "its"</t>
  </si>
  <si>
    <t>Scenario One: Test Resin/Buyout</t>
  </si>
  <si>
    <t xml:space="preserve">Per Tim Hardwick's request: Added 5 more materials, cleaned up verbage on the notes, adding additional press and secondary operations. </t>
  </si>
  <si>
    <t>011-52-722-279-2384</t>
  </si>
  <si>
    <t>Hitachi Automotive Products</t>
  </si>
  <si>
    <t>PO BOX 1588</t>
  </si>
  <si>
    <t>Oxford,  CT,  06478,  US</t>
  </si>
  <si>
    <t>203-234-4016</t>
  </si>
  <si>
    <t>203-264-6649</t>
  </si>
  <si>
    <t>9896 INDIAN KEY TRAIL</t>
  </si>
  <si>
    <t>612-934-4928</t>
  </si>
  <si>
    <t>Tom Bogaard</t>
  </si>
  <si>
    <t>Internal Notes:</t>
  </si>
  <si>
    <t>BOM Data:</t>
  </si>
  <si>
    <t>Scott Jukich</t>
  </si>
  <si>
    <t>704-482-9582 x288</t>
  </si>
  <si>
    <t>Wixom,  MI,  48393-3694,  US</t>
  </si>
  <si>
    <t>Lara Folmer</t>
  </si>
  <si>
    <t>Bohemia,  NY,  11716-2529,  US</t>
  </si>
  <si>
    <t>631-244-7393</t>
  </si>
  <si>
    <t>EL PASO,  TX,  79915,  US</t>
  </si>
  <si>
    <t>423-538-4198</t>
  </si>
  <si>
    <t>616-847-4285</t>
  </si>
  <si>
    <t>616-850-1245</t>
  </si>
  <si>
    <t>Saturn Electronics &amp; Engineering</t>
  </si>
  <si>
    <t>255 Rex Blvd.</t>
  </si>
  <si>
    <t>Creative Product Development</t>
  </si>
  <si>
    <t>Danna Begnoche</t>
  </si>
  <si>
    <t>91 Willenbrock Road A-2</t>
  </si>
  <si>
    <t>Scott James</t>
  </si>
  <si>
    <t>28147 HIGHWAY 71</t>
  </si>
  <si>
    <t>CC100-A03</t>
  </si>
  <si>
    <t>CEDAR KNOLLS,  NJ,  07927,  US</t>
  </si>
  <si>
    <t>Omron</t>
  </si>
  <si>
    <t>3709 Ohio Avenue</t>
  </si>
  <si>
    <t>St. Charles,  IL,  60174,  US</t>
  </si>
  <si>
    <t xml:space="preserve">The most tangible advantage is weight reduction, which reduces part cost.  For automotive or hand held tools and appliances, </t>
  </si>
  <si>
    <t>DUNN,  NC,  28334,  US</t>
  </si>
  <si>
    <t>Delphi Global Purchasing</t>
  </si>
  <si>
    <t>P.O. Box 1042</t>
  </si>
  <si>
    <t>Dayton,  OH,  45401-1042</t>
  </si>
  <si>
    <t>Vent-Matic Company Inc.</t>
  </si>
  <si>
    <t>Bradford Amidzich</t>
  </si>
  <si>
    <t>757 N. Broadway</t>
  </si>
  <si>
    <t>Suite 700</t>
  </si>
  <si>
    <t>915-860-3169</t>
  </si>
  <si>
    <t>915-860-3067</t>
  </si>
  <si>
    <t>STD. Pin EJ</t>
  </si>
  <si>
    <t>Buyout Dollars</t>
  </si>
  <si>
    <t>SAINT PAUL,  MN,  55133-3121,  US</t>
  </si>
  <si>
    <t>Franklin Precision Industry, Inc.</t>
  </si>
  <si>
    <t>Nihon Plast Mexicana, Sa de CV</t>
  </si>
  <si>
    <t>44</t>
  </si>
  <si>
    <t>21,330 psi</t>
  </si>
  <si>
    <t>Warsaw,  IN,  46581-1057,  US</t>
  </si>
  <si>
    <t>Queretaro,  CP76147 Queretaro,  MX</t>
  </si>
  <si>
    <t>011.5242.1175.00-70</t>
  </si>
  <si>
    <t>011.5242.1175.44</t>
  </si>
  <si>
    <t>vert.</t>
  </si>
  <si>
    <t>Dist. HxV</t>
  </si>
  <si>
    <t>Min.</t>
  </si>
  <si>
    <t>Endries International Inc.</t>
  </si>
  <si>
    <t>Mike Krause</t>
  </si>
  <si>
    <t>714 W. Ryan Street</t>
  </si>
  <si>
    <t>Brillion,  WI,  54110-0069</t>
  </si>
  <si>
    <t>Trussville,  AL,  35173-0081,  US</t>
  </si>
  <si>
    <t xml:space="preserve">Sub Total </t>
  </si>
  <si>
    <t>Revised:  03/17/2003</t>
  </si>
  <si>
    <t>731-660-9586</t>
  </si>
  <si>
    <t>Rate Calculator:</t>
  </si>
  <si>
    <t>Overhead Items</t>
  </si>
  <si>
    <t>Indirect labor</t>
  </si>
  <si>
    <t>OT Premium</t>
  </si>
  <si>
    <t>El Paso,  TX,  79915,  US</t>
  </si>
  <si>
    <t>915-771-0282</t>
  </si>
  <si>
    <t>915-771-6415</t>
  </si>
  <si>
    <t>Dura Automotive Systems</t>
  </si>
  <si>
    <t>1700 RITNER HIGHWWAY</t>
  </si>
  <si>
    <t>CARLISLE,  PA,  17013,  US</t>
  </si>
  <si>
    <t>717-243-4041</t>
  </si>
  <si>
    <t>717-243-6519</t>
  </si>
  <si>
    <t>501-549-1038</t>
  </si>
  <si>
    <t>501-549-1011</t>
  </si>
  <si>
    <t>Added routine that will require the Market Code and at least the first Hiearchy to be filled in or else the quote update routine will not work.</t>
  </si>
  <si>
    <t>Amortization</t>
  </si>
  <si>
    <t>Press 1</t>
  </si>
  <si>
    <t>Delphi A Mexico Tech Center</t>
  </si>
  <si>
    <t>Thermotech House -MN Accounts</t>
  </si>
  <si>
    <t>Field4</t>
  </si>
  <si>
    <t>* Tooling Lead</t>
  </si>
  <si>
    <t xml:space="preserve">Time </t>
  </si>
  <si>
    <t>505-844-6161</t>
  </si>
  <si>
    <t>919-212-4476</t>
  </si>
  <si>
    <t>Taxes and License</t>
  </si>
  <si>
    <t>Telephone</t>
  </si>
  <si>
    <t>Knowles Electronics, Inc</t>
  </si>
  <si>
    <t>1151 Maplewood Drive</t>
  </si>
  <si>
    <t>Labor Cost:</t>
  </si>
  <si>
    <t>EC-100</t>
  </si>
  <si>
    <t xml:space="preserve">Tiebarless </t>
  </si>
  <si>
    <t>17x17</t>
  </si>
  <si>
    <t>22.4x22</t>
  </si>
  <si>
    <t>Ventrax - 5P2800</t>
  </si>
  <si>
    <t>Material Filler Factor</t>
  </si>
  <si>
    <t>1 = 5 weeks,  2 = 6 weeks,  and  3 = 7 weeks</t>
  </si>
  <si>
    <t>Keith Q. Nelson</t>
  </si>
  <si>
    <t>P.O. Box 1101</t>
  </si>
  <si>
    <t>WIRE-PRO INCORPORATED</t>
  </si>
  <si>
    <t>23 FRONT STREET</t>
  </si>
  <si>
    <t>Press 1 Hrs:</t>
  </si>
  <si>
    <t>ANGAR SCIENTIFIC CO</t>
  </si>
  <si>
    <t>52 HORSEHILL ROAD</t>
  </si>
  <si>
    <t>203-845-1000</t>
  </si>
  <si>
    <t>HERTS WD2 4LG</t>
  </si>
  <si>
    <t>Added routine to hide unused material lines, press lines and second ops lines.  Added " Press Hrs" lines for all five press operations and routine to unhide/hide as press lines are being used.  Named internal note cells so they show up on the RFQ form.</t>
  </si>
  <si>
    <t>BMC Inc</t>
  </si>
  <si>
    <t>Frank Wenciker</t>
  </si>
  <si>
    <t>125 Chickory Lane</t>
  </si>
  <si>
    <t>Press 7 Ind Logical Test:</t>
  </si>
  <si>
    <t>Press 7 Tonnage:</t>
  </si>
  <si>
    <t>Press 7 Pack Amt/M:</t>
  </si>
  <si>
    <t>847-451-1758</t>
  </si>
  <si>
    <t>Phone: 915-779-0411</t>
  </si>
  <si>
    <t>956-838-1796</t>
  </si>
  <si>
    <t>Kautex Textron de Mexico, SA de CV</t>
  </si>
  <si>
    <t>Samuel Garcia</t>
  </si>
  <si>
    <t>2001</t>
  </si>
  <si>
    <t>80</t>
  </si>
  <si>
    <t>36</t>
  </si>
  <si>
    <t>937-229-8579</t>
  </si>
  <si>
    <t>Ogden,  UT,  84405,  US</t>
  </si>
  <si>
    <t>919-557-8598</t>
  </si>
  <si>
    <t>Janesvile,  WI,  53547-5011,  US</t>
  </si>
  <si>
    <t>Gage, Fixtures and Racking</t>
  </si>
  <si>
    <t>Cost and Details</t>
  </si>
  <si>
    <t>Dennis Campbell</t>
  </si>
  <si>
    <t>8100 W Florissant</t>
  </si>
  <si>
    <t>St. Louis,  MO,  63136</t>
  </si>
  <si>
    <t>314-553-2887</t>
  </si>
  <si>
    <t>316-331-9565</t>
  </si>
  <si>
    <t>Procter &amp; Gamble</t>
  </si>
  <si>
    <t>David Moore</t>
  </si>
  <si>
    <t>8256 Union Centre Boulevard</t>
  </si>
  <si>
    <t>Corporate Engineering Tech. Lab</t>
  </si>
  <si>
    <t>West Chester,  OH,  45069</t>
  </si>
  <si>
    <t>513-634-8973</t>
  </si>
  <si>
    <t>513-634-8911</t>
  </si>
  <si>
    <t>Standard Motor Products, Inc.</t>
  </si>
  <si>
    <t>Al Kepanis</t>
  </si>
  <si>
    <t>Added "Back Channel" routine to send quote statistics to hidden database sheet.</t>
  </si>
  <si>
    <t>Travel</t>
  </si>
  <si>
    <t>Vernon Hills,  IL,  60061-4102,  US</t>
  </si>
  <si>
    <t>847-478-6782</t>
  </si>
  <si>
    <t>847-478-6813</t>
  </si>
  <si>
    <t>SUN ELECTRONICS</t>
  </si>
  <si>
    <t>Queretaro,  Queretaro,  Mexico,  76120</t>
  </si>
  <si>
    <t>011-52-442-209-7109</t>
  </si>
  <si>
    <t>CHARLES.CARLSON@menasha.com</t>
  </si>
  <si>
    <t>Valeo Wiper Systems</t>
  </si>
  <si>
    <t>Thermotech S.A. de C.V.</t>
  </si>
  <si>
    <t>Price Reduction %:</t>
  </si>
  <si>
    <t>Revised Final Price:</t>
  </si>
  <si>
    <t>Revised Final Margin:</t>
  </si>
  <si>
    <t>Rick Bass</t>
  </si>
  <si>
    <t>865-379-5620</t>
  </si>
  <si>
    <t>Finalized the price development concept and customer note per previous request of Tom Bogaard.</t>
  </si>
  <si>
    <t>Stamping die(s) quoted at  $ XX,XXX and is included in the above tooling price.</t>
  </si>
  <si>
    <t>Additional Tooling Information:</t>
  </si>
  <si>
    <t>Torrington,  CT,  06790</t>
  </si>
  <si>
    <t>860-626-2698</t>
  </si>
  <si>
    <t>Wall thickness may have to be increased as preliminary mold flow analysis indicated a high stress or no fill condition.</t>
  </si>
  <si>
    <t>260-355-4166</t>
  </si>
  <si>
    <t>260-355-4271</t>
  </si>
  <si>
    <t>Updated sales master data sheet.  Fixed operator check routine to indicate which press is missing an operator value.  Updated resin qty calculation and tooling ratio with new formula.</t>
  </si>
  <si>
    <t>randyk@bwtnet.com</t>
  </si>
  <si>
    <t>513-622-0530</t>
  </si>
  <si>
    <t>513-622-0406</t>
  </si>
  <si>
    <t xml:space="preserve">Revised the calculator sheet to allow adding additional lines to calculate volume for a given geometric feature.  Added spheres and cones shapes as options.  Developed routines to hide unused lines to reduce cluttered appearance.  Changed the method of adding or subtracting volume calculations.  Changed the dimension type option, instead of placing an "X" next to the english or metric field, built a drop down and you can select the dimension type.  evised "Equote" Routine to delete buttons 1 and 2.  Removed deletion of button 3 inconjuction with moving the min rel and min ship matrix back onto the quote entry sheet..  </t>
  </si>
  <si>
    <t>ROUTE 4 BOX 169</t>
  </si>
  <si>
    <t>AIRPORT ROAD</t>
  </si>
  <si>
    <t>WALLA WALLA,  WA,  99362,  US</t>
  </si>
  <si>
    <t>2055 DUBLIN DRIVE</t>
  </si>
  <si>
    <t>915-860-5647</t>
  </si>
  <si>
    <t>915-860-5663</t>
  </si>
  <si>
    <t>25 Howard Road</t>
  </si>
  <si>
    <t>SOUTH PLAINFIELD,  NJ,  07080,  US</t>
  </si>
  <si>
    <t>Blvd. Bernardo Quintana 139, Col. Loma Dorada</t>
  </si>
  <si>
    <t>El Paso,  TX,  79915</t>
  </si>
  <si>
    <t>Alice Jordan</t>
  </si>
  <si>
    <t>Mark Fricker</t>
  </si>
  <si>
    <t>3020 Old Ranch Parkway, Suite 270</t>
  </si>
  <si>
    <t>Seal Beach,  CA,  80740-2751</t>
  </si>
  <si>
    <t>562-493-8822  X227</t>
  </si>
  <si>
    <t>562-493-8520</t>
  </si>
  <si>
    <t>Col. Loma Dorada</t>
  </si>
  <si>
    <t>921 HOLLOWAY STREET</t>
  </si>
  <si>
    <t>Shelbyville,  IN,  46176,  US</t>
  </si>
  <si>
    <t>27.9 X 27.9</t>
  </si>
  <si>
    <t>14.97</t>
  </si>
  <si>
    <t>51.20</t>
  </si>
  <si>
    <t>D-Platten</t>
  </si>
  <si>
    <t>MAC. 8" x 100"</t>
  </si>
  <si>
    <t>375 N Belvedere Drive</t>
  </si>
  <si>
    <t>Gallatin,  TN,  37066,  US</t>
  </si>
  <si>
    <t>12345 EAST NINE MILE ROAD</t>
  </si>
  <si>
    <t>WARREN,  MI,  48090,  US</t>
  </si>
  <si>
    <t>UNITED TECHNOLOGIES AUTOMOTIVE</t>
  </si>
  <si>
    <t>Maiz No 180.3 Col. Esmeralda</t>
  </si>
  <si>
    <t>70 CRESTRIDGE DRIVE</t>
  </si>
  <si>
    <t>SUITE 150</t>
  </si>
  <si>
    <t>507-359-0111</t>
  </si>
  <si>
    <t>TRW</t>
  </si>
  <si>
    <t>Waynesboro,  VA,  22980,  USA</t>
  </si>
  <si>
    <t>Midlantic Plastic Sales</t>
  </si>
  <si>
    <t>615 Bland Blvd.</t>
  </si>
  <si>
    <t>Newport News, Va,  23602</t>
  </si>
  <si>
    <t>716-272-3103</t>
  </si>
  <si>
    <t>Albarany Godwait, Manzana 5, Lote 7</t>
  </si>
  <si>
    <t>Virtually any injection moldable thermoplastic including filled and reinforced grades.</t>
  </si>
  <si>
    <t>Product Development</t>
  </si>
  <si>
    <t>Product Development:</t>
  </si>
  <si>
    <t>406 Parr Road</t>
  </si>
  <si>
    <t>Berne,  IN,  46711,  US</t>
  </si>
  <si>
    <t>CI Vol:</t>
  </si>
  <si>
    <t>Metric Vol:</t>
  </si>
  <si>
    <t>Weight/M:</t>
  </si>
  <si>
    <t>Anderson,  IN,  46018,  US</t>
  </si>
  <si>
    <t>Springfield,  MO,  65807,  US</t>
  </si>
  <si>
    <t>417-888-1643</t>
  </si>
  <si>
    <t>417-888-6516</t>
  </si>
  <si>
    <t>Cut or Burn</t>
  </si>
  <si>
    <t>Runner Size/WT</t>
  </si>
  <si>
    <t>Machining-EDM</t>
  </si>
  <si>
    <t>Machining-CNC</t>
  </si>
  <si>
    <t>Tool &amp; Build</t>
  </si>
  <si>
    <t>Fit &amp; Finish</t>
  </si>
  <si>
    <t>914-725-1158</t>
  </si>
  <si>
    <t>Destron-Fearing</t>
  </si>
  <si>
    <t>George Johnson</t>
  </si>
  <si>
    <t>490 Villaume Ave.</t>
  </si>
  <si>
    <t>South St. Paul,  MN,  55075,  US</t>
  </si>
  <si>
    <t>Becton Dickinson &amp; CO</t>
  </si>
  <si>
    <t>ADC Telecommunications</t>
  </si>
  <si>
    <t>Material 12 Cost:</t>
  </si>
  <si>
    <t>Material 12 Price:</t>
  </si>
  <si>
    <t>Material 13 Cost:</t>
  </si>
  <si>
    <t>Material 13 Price:</t>
  </si>
  <si>
    <t>Material 14 Cost:</t>
  </si>
  <si>
    <t>Material 14 Price:</t>
  </si>
  <si>
    <t>Material 15 Cost:</t>
  </si>
  <si>
    <t>Material 15 Price:</t>
  </si>
  <si>
    <t>Material 11:</t>
  </si>
  <si>
    <t>Material 12:</t>
  </si>
  <si>
    <t>Material 13:</t>
  </si>
  <si>
    <t>Material 14:</t>
  </si>
  <si>
    <t>Material 15:</t>
  </si>
  <si>
    <t>770-371-3313</t>
  </si>
  <si>
    <t>Modify VB code for Sub UnPasteNote2104 by adding variable PasteNote2104 = "All prices quoted in US Dollars, parts will be produced in our Queretaro Mexico facility and the Value Added tax has not been included in this quotation."  Simplifies the process of updating changes to these statements.  Same change to GFL Sub and MuCell Sub.</t>
  </si>
  <si>
    <t>Cubic Inch Multiplier</t>
  </si>
  <si>
    <t>Runner Calc.</t>
  </si>
  <si>
    <t>Dia.</t>
  </si>
  <si>
    <t>Wgt.</t>
  </si>
  <si>
    <t>C.I. V.</t>
  </si>
  <si>
    <t>Tool Cost</t>
  </si>
  <si>
    <t>Design-cutterpaths</t>
  </si>
  <si>
    <t># of Drops/Zones</t>
  </si>
  <si>
    <t>Final Review</t>
  </si>
  <si>
    <t>812-523-5209</t>
  </si>
  <si>
    <t>TSE INDUSTRIES, INC.</t>
  </si>
  <si>
    <t>Macedonia,  OH,  44056,  US</t>
  </si>
  <si>
    <t>MINNEAPOLIS,  MN,  55431,  US</t>
  </si>
  <si>
    <t>GS ELECTRIC</t>
  </si>
  <si>
    <t>CRAIG TAYLOR</t>
  </si>
  <si>
    <t>62 COLUMBUS STREET</t>
  </si>
  <si>
    <t>Global Industrial Components</t>
  </si>
  <si>
    <t>David Vance/Tracv Brazelton</t>
  </si>
  <si>
    <t>705 South College Street</t>
  </si>
  <si>
    <t>Woodbury,  TN,  37190</t>
  </si>
  <si>
    <t>Judy Olson</t>
  </si>
  <si>
    <t>P.O. Box 1039</t>
  </si>
  <si>
    <t>Daleville,  VA,  24083,  US</t>
  </si>
  <si>
    <t>Grand Junction,  CO,  81503,  US</t>
  </si>
  <si>
    <t>970-244-1288</t>
  </si>
  <si>
    <t>Hamilton Beach-Proctor Silex, Inc.</t>
  </si>
  <si>
    <t>Cooling Time</t>
  </si>
  <si>
    <t>Milwaukee,  WI,  53224-0400,  US</t>
  </si>
  <si>
    <t>14.14 x 14.14</t>
  </si>
  <si>
    <t>22.05 X 22.83</t>
  </si>
  <si>
    <t>7.8</t>
  </si>
  <si>
    <t>19.3</t>
  </si>
  <si>
    <t>7</t>
  </si>
  <si>
    <t>104</t>
  </si>
  <si>
    <t>JUAREZ AIRPORT INDUSTRIAL PARK</t>
  </si>
  <si>
    <t>11500 WEST BROWN DEER RD</t>
  </si>
  <si>
    <t>MILWAUKEE PLANT</t>
  </si>
  <si>
    <t>Water</t>
  </si>
  <si>
    <t>GE LIGHTING CANADA INC</t>
  </si>
  <si>
    <t>JOSEPH ESTOK</t>
  </si>
  <si>
    <t>PO BOX 2041</t>
  </si>
  <si>
    <t>Lake Zurich, IL,  60047</t>
  </si>
  <si>
    <t>T.Hardwick</t>
  </si>
  <si>
    <t>847-726-6535</t>
  </si>
  <si>
    <t>AISIN Mexicana, SA dE CV</t>
  </si>
  <si>
    <t>MIU-8X</t>
  </si>
  <si>
    <t>1609 Airport Road</t>
  </si>
  <si>
    <t>Monroe,  NC,  28111,  US</t>
  </si>
  <si>
    <t>704-292-7954</t>
  </si>
  <si>
    <t>704-289-3543</t>
  </si>
  <si>
    <t>1200 WASHINGTON AVE. N.</t>
  </si>
  <si>
    <t>Updated the formula on the customer quote sheet to look at QEFinalPrice for the selling price in-lieu of the FSMexPrice on the formula sheet.</t>
  </si>
  <si>
    <t>Mike Birringer</t>
  </si>
  <si>
    <t>Attleboro,  MA,  02703-0964,  US</t>
  </si>
  <si>
    <t>Kit Dobbe</t>
  </si>
  <si>
    <t>1907 WALL ST</t>
  </si>
  <si>
    <t>FLORENCE,  SC,  29501,  US</t>
  </si>
  <si>
    <t>Javad Mirpanh</t>
  </si>
  <si>
    <t>James Kozlowski</t>
  </si>
  <si>
    <t>PART NAME</t>
  </si>
  <si>
    <t>DWG REV</t>
  </si>
  <si>
    <t>SUPPLIER NAME</t>
  </si>
  <si>
    <t>LEAD TIME</t>
  </si>
  <si>
    <t>TOOL SHOP</t>
  </si>
  <si>
    <t>TOOLING COSTS</t>
  </si>
  <si>
    <t>Rapid-air index</t>
  </si>
  <si>
    <t>NELMOR</t>
  </si>
  <si>
    <t>Stokes</t>
  </si>
  <si>
    <t>n/a</t>
  </si>
  <si>
    <t>PLC</t>
  </si>
  <si>
    <t>Jackson,  TN,  38305</t>
  </si>
  <si>
    <t>HONEYWELL INCORPORATED</t>
  </si>
  <si>
    <t>Janet Romfo</t>
  </si>
  <si>
    <t>544 Columbia Dr., Suite D</t>
  </si>
  <si>
    <t>Lawrence,  KS  66049</t>
  </si>
  <si>
    <t>785-749-6011</t>
  </si>
  <si>
    <t>785-749-4760</t>
  </si>
  <si>
    <t>Tlajomulco de Zuniga, Jalisco,  45640,  Mexico</t>
  </si>
  <si>
    <t>Minimum 25% if insert content is less than 25% of total cost.</t>
  </si>
  <si>
    <t>011-5272-794088</t>
  </si>
  <si>
    <t>GUARDIAN ELECTRIC MFG. CO.</t>
  </si>
  <si>
    <t>Ken Sager</t>
  </si>
  <si>
    <t>662-283-4854</t>
  </si>
  <si>
    <t>662-283-2189</t>
  </si>
  <si>
    <t>Automation</t>
  </si>
  <si>
    <t>WAYNESBORO, WA,   22980-1999,  US</t>
  </si>
  <si>
    <t>Platen Size</t>
  </si>
  <si>
    <t>Tiebar</t>
  </si>
  <si>
    <t>Dryer</t>
  </si>
  <si>
    <t>Sprue</t>
  </si>
  <si>
    <t>Press</t>
  </si>
  <si>
    <t>St. Paul,  MN,  55114,  US</t>
  </si>
  <si>
    <t>651-603-2560</t>
  </si>
  <si>
    <t>651-603-2638</t>
  </si>
  <si>
    <t>19963 Progress Drive</t>
  </si>
  <si>
    <t>5731 Industrial Park Road</t>
  </si>
  <si>
    <t>507-457-3750</t>
  </si>
  <si>
    <t>Press 8 Pack Amt/M:</t>
  </si>
  <si>
    <t>Nogales,  AZ,  85628,  US</t>
  </si>
  <si>
    <t>Eleanor M. Kupris</t>
  </si>
  <si>
    <t>General Dynamics</t>
  </si>
  <si>
    <t>El Paso TX 79906-5310</t>
  </si>
  <si>
    <t>Runner Plate</t>
  </si>
  <si>
    <t>Stripper Mold</t>
  </si>
  <si>
    <t>Rotary Mold</t>
  </si>
  <si>
    <t>Bobbin Mold</t>
  </si>
  <si>
    <t>Thermoset Adder</t>
  </si>
  <si>
    <t>Ed Flynn</t>
  </si>
  <si>
    <t>262-513-4200</t>
  </si>
  <si>
    <t>952-937-7153</t>
  </si>
  <si>
    <t>Toolroom</t>
  </si>
  <si>
    <t>Arneses Electricos Automotrices SA de CV</t>
  </si>
  <si>
    <t>219-234-3948</t>
  </si>
  <si>
    <t xml:space="preserve">Updated routines to account for 15 materials, removed the "Buyout Check" routine and expanded the "Insert Check" routine to include the insert handling message.  Added a routine to hide all sheet other than the quote entry sheet upon all updates, equote routines, auto open and print routines.  Created logic to check if the calculator sheet and tooling sheet are being used, if they are not, they will not print.  Updated the estimator color scheme to pick the mold price and automation price boxes on the quote entry sheet.  Improved the "Print Quote Entry" routine to reduce the checks and improve the page layouts when printing.  </t>
  </si>
  <si>
    <t>Noblesville,  IN,  46060,  US</t>
  </si>
  <si>
    <t>Lake Zurich,  IL,  60047-1564,  US</t>
  </si>
  <si>
    <t>011-52-46-186118</t>
  </si>
  <si>
    <t>Genicom</t>
  </si>
  <si>
    <t>DETROIT COIL COMPANY</t>
  </si>
  <si>
    <t>KEVIN BROWNING</t>
  </si>
  <si>
    <t>2435 HILTON ROAD</t>
  </si>
  <si>
    <t>FERNDALE,  MI,  48220,  US</t>
  </si>
  <si>
    <t>248-398-5600</t>
  </si>
  <si>
    <t>248-398-0481</t>
  </si>
  <si>
    <t>CALLE 30, NO. 2715 ZONA INDUSTRIAL</t>
  </si>
  <si>
    <t>GUADALAJARA,  MCH,  44940,  MX</t>
  </si>
  <si>
    <t>Johnson Controls, Inc.</t>
  </si>
  <si>
    <t>Guillermo Meza</t>
  </si>
  <si>
    <t>1320-C Goodyear</t>
  </si>
  <si>
    <t>El Paso,  TX,  79936</t>
  </si>
  <si>
    <t>915-629-6000  Ext. 2340</t>
  </si>
  <si>
    <t>915-629-6080</t>
  </si>
  <si>
    <t>guillermo.meza@jci.com</t>
  </si>
  <si>
    <t>Cost ($)</t>
  </si>
  <si>
    <t>part wt</t>
  </si>
  <si>
    <t>shot size</t>
  </si>
  <si>
    <t>runner wt</t>
  </si>
  <si>
    <t>cavities</t>
  </si>
  <si>
    <t>Regrind</t>
  </si>
  <si>
    <t>502-429-8866</t>
  </si>
  <si>
    <t>Quote Data</t>
  </si>
  <si>
    <t xml:space="preserve">Insert mark up – </t>
  </si>
  <si>
    <t>Press 9 Pack Amt/M:</t>
  </si>
  <si>
    <t>Oliver Cromwell No. 2810 Parque Industrial Fernandez</t>
  </si>
  <si>
    <t>Minneapolis, MN  55414  USA</t>
  </si>
  <si>
    <t>1125 Sugg Parkway</t>
  </si>
  <si>
    <t>Winona,  MS,  38967</t>
  </si>
  <si>
    <t>(Lbs)</t>
  </si>
  <si>
    <t>1</t>
  </si>
  <si>
    <t>001</t>
  </si>
  <si>
    <t>Autojector</t>
  </si>
  <si>
    <t>804-974-2300</t>
  </si>
  <si>
    <t>Valeo Wipers &amp; Motors</t>
  </si>
  <si>
    <t>Wendy Bandych</t>
  </si>
  <si>
    <t>Runner wt/m Shot</t>
  </si>
  <si>
    <t>KM 8,5</t>
  </si>
  <si>
    <t>Llica D'Amunt,  ,  08186,  ES</t>
  </si>
  <si>
    <t>34.93860.9471</t>
  </si>
  <si>
    <t>34.93860.9480</t>
  </si>
  <si>
    <t>SIMS GRASEBY LIMITED</t>
  </si>
  <si>
    <t>IAN GEE</t>
  </si>
  <si>
    <t>011.5231.4512.53</t>
  </si>
  <si>
    <t>11137 Warland Drive</t>
  </si>
  <si>
    <t>Cypress,  CA,  90630,  US</t>
  </si>
  <si>
    <t>Bosch Braking Systems</t>
  </si>
  <si>
    <t>RTP</t>
  </si>
  <si>
    <t>Minneapolis,  MN,  55440,  US</t>
  </si>
  <si>
    <t>P.A.R.</t>
  </si>
  <si>
    <t>Proc.</t>
  </si>
  <si>
    <t>Inj Rate</t>
  </si>
  <si>
    <t>Core</t>
  </si>
  <si>
    <t>Pckr/</t>
  </si>
  <si>
    <t>Hopper</t>
  </si>
  <si>
    <t>Tie Bar</t>
  </si>
  <si>
    <t>% Off</t>
  </si>
  <si>
    <t>Updated the master data on the sales sheet:  Changed Kathy Pedraja to Kathy Anderson, removed Dan Francis and John Porter from the list.</t>
  </si>
  <si>
    <t>2400 Executive Hills Drive</t>
  </si>
  <si>
    <t>Auburn Hills,  MI,  48326-2980,  US</t>
  </si>
  <si>
    <t>248-764-6527</t>
  </si>
  <si>
    <t>248-209-7577</t>
  </si>
  <si>
    <t>BEL MAGNETICS LTD</t>
  </si>
  <si>
    <t>MARGARET BELL</t>
  </si>
  <si>
    <t>Advanced Concepts</t>
  </si>
  <si>
    <t>1237 NORTH SIDE BLVD.</t>
  </si>
  <si>
    <t>SOUTH BEND,  IN,  46615,  US</t>
  </si>
  <si>
    <t>219-234-3157</t>
  </si>
  <si>
    <t>Garrettsville,  OH,  44231,  US</t>
  </si>
  <si>
    <t>330-527-2191</t>
  </si>
  <si>
    <t>825 OLD TRAIL ROAD</t>
  </si>
  <si>
    <t>Stryker Instruments</t>
  </si>
  <si>
    <t>Warminster,  PA,  18974-4995,  US</t>
  </si>
  <si>
    <t>Rich Shefte</t>
  </si>
  <si>
    <t>Suntec Industries, Inc.</t>
  </si>
  <si>
    <t>Larry Morris</t>
  </si>
  <si>
    <t>60 Aberdeen Drive</t>
  </si>
  <si>
    <t>Glasgow,  KY,  42141-8298</t>
  </si>
  <si>
    <t>VDO NORTH AMERICA</t>
  </si>
  <si>
    <t>789 CHICAGO ROAD</t>
  </si>
  <si>
    <t>Troy,  MI,  48083-4223</t>
  </si>
  <si>
    <t>Calculated Margin:</t>
  </si>
  <si>
    <t>Target Sales Margin:</t>
  </si>
  <si>
    <t>Per request of Jeff Cornell:  Updated notes and revised the giveback program to trigger off any price break.</t>
  </si>
  <si>
    <t>Galgenveldstraat 10,  BE 8700 Tielt</t>
  </si>
  <si>
    <t>32-51-42-32-01</t>
  </si>
  <si>
    <t>32-51-42-33-50</t>
  </si>
  <si>
    <t>HACKETTSTOWN,  NJ 07840,  US</t>
  </si>
  <si>
    <t>SELMA,  AL,  36703,  US</t>
  </si>
  <si>
    <t>Ryan McNeill</t>
  </si>
  <si>
    <t>T.Bogaard</t>
  </si>
  <si>
    <t xml:space="preserve">Thermotech prides itself on being a technology leader.  We strive to continually bring our customers advancements </t>
  </si>
  <si>
    <t>COMPONENTS DIVISION</t>
  </si>
  <si>
    <t>1128 HIGHWAY 412 SOUTH</t>
  </si>
  <si>
    <t>ALAMO,  TN,  38001-3813,  US</t>
  </si>
  <si>
    <t>901-696-5311</t>
  </si>
  <si>
    <t>901-696-5339</t>
  </si>
  <si>
    <t>Berkshire Corporate Park</t>
  </si>
  <si>
    <t>Bethel,  CT,  06801,  US</t>
  </si>
  <si>
    <t>Assembly Components Company</t>
  </si>
  <si>
    <t>Part and Runner Weight Multiplier</t>
  </si>
  <si>
    <t>Material</t>
  </si>
  <si>
    <t>228 South Cherry Street</t>
  </si>
  <si>
    <t>14930 ALONDRA BLVD.</t>
  </si>
  <si>
    <t>Material:</t>
  </si>
  <si>
    <t>Press Cost:</t>
  </si>
  <si>
    <t>Press Price:</t>
  </si>
  <si>
    <t>Scenario Two:</t>
  </si>
  <si>
    <t>Robots, $12,000/annual press hours used, added to hourly rate.</t>
  </si>
  <si>
    <t>Melt PSI</t>
  </si>
  <si>
    <t>Min Release:</t>
  </si>
  <si>
    <t>Min Shipment:</t>
  </si>
  <si>
    <t>GFL Off</t>
  </si>
  <si>
    <t>205-355-5322</t>
  </si>
  <si>
    <t>ADVANCED MOLDING TECHNOLOGIES</t>
  </si>
  <si>
    <t>P.O. Box 50457</t>
  </si>
  <si>
    <t>Indianapolis,  IN,  46250-0457,  US</t>
  </si>
  <si>
    <t>317-576-2992</t>
  </si>
  <si>
    <t>317-576-3080</t>
  </si>
  <si>
    <t>ARK-LES</t>
  </si>
  <si>
    <t>MARK PREY</t>
  </si>
  <si>
    <t>011-52-722-279-2354</t>
  </si>
  <si>
    <t>KATHY DIVERGILIO</t>
  </si>
  <si>
    <t>440-962-2000</t>
  </si>
  <si>
    <t>Ronnert Park,  CA,  94925,  US</t>
  </si>
  <si>
    <t>707-206-3770</t>
  </si>
  <si>
    <t>707-578-0869</t>
  </si>
  <si>
    <t>PHILIPS COMPONENTS</t>
  </si>
  <si>
    <t>1033 KINGS HWY</t>
  </si>
  <si>
    <t>10 Cobham Drive</t>
  </si>
  <si>
    <t>Orchard Park,  NY,  14127-4195,  US</t>
  </si>
  <si>
    <t>PROCESS CONTROLLED COMPONENTS</t>
  </si>
  <si>
    <t>P.O. Box 40309</t>
  </si>
  <si>
    <t>Catherine Jaeckels</t>
  </si>
  <si>
    <t>CATHERINE.JAECKELS@menasha.com</t>
  </si>
  <si>
    <t>952-988-9526</t>
  </si>
  <si>
    <t>P.O. Box 130</t>
  </si>
  <si>
    <t>Carthage,  IL,  62321,  US</t>
  </si>
  <si>
    <t>BEL FUSE INC.</t>
  </si>
  <si>
    <t>Rose</t>
  </si>
  <si>
    <t>198 VAN VORST ST</t>
  </si>
  <si>
    <t>Minnetonka,  MN,  55435-2126,  US</t>
  </si>
  <si>
    <t>Qty 1 Cost</t>
  </si>
  <si>
    <t>MOTOROLA</t>
  </si>
  <si>
    <t>434-369-5117</t>
  </si>
  <si>
    <t>Rate Adjust</t>
  </si>
  <si>
    <t>Class One PCS</t>
  </si>
  <si>
    <t>Hot Runner</t>
  </si>
  <si>
    <t>Combo</t>
  </si>
  <si>
    <t>KOHLER COMPANY</t>
  </si>
  <si>
    <t>444 HIGHLAND DRIVE</t>
  </si>
  <si>
    <t>KOHLER,  WI,  53044,  US</t>
  </si>
  <si>
    <t>Amtec Corporation</t>
  </si>
  <si>
    <t>1300 Norwood Road</t>
  </si>
  <si>
    <t>Janesville,  WI,  53545,  US</t>
  </si>
  <si>
    <t>608-752-2699</t>
  </si>
  <si>
    <t>SCI</t>
  </si>
  <si>
    <r>
      <t xml:space="preserve">These special rates apply to simpler parts.  No </t>
    </r>
    <r>
      <rPr>
        <b/>
        <sz val="10"/>
        <rFont val="Arial"/>
        <family val="2"/>
      </rPr>
      <t>AUTOMOTIVE QUALITY REQUIREMENTS</t>
    </r>
    <r>
      <rPr>
        <sz val="10"/>
        <rFont val="Arial"/>
        <family val="2"/>
      </rPr>
      <t>, no tight tolerance, no excessive SPC and no critical cosetic requirements.</t>
    </r>
  </si>
  <si>
    <t>Automation equipment to load inserts quoted at  $ XX,XXX and is included in the above tooling price.</t>
  </si>
  <si>
    <t>PARIS,  TN,  38242,  US</t>
  </si>
  <si>
    <t>HOUSTON,  TX,  77002,  US</t>
  </si>
  <si>
    <t>713-209-8546</t>
  </si>
  <si>
    <t>EC100</t>
  </si>
  <si>
    <t>10X</t>
  </si>
  <si>
    <t>7",7"</t>
  </si>
  <si>
    <t>C-ROBO</t>
  </si>
  <si>
    <t>180 I</t>
  </si>
  <si>
    <t>ss-750T</t>
  </si>
  <si>
    <t>17.8 - 19.3</t>
  </si>
  <si>
    <t>20 X 20</t>
  </si>
  <si>
    <t>29.5X29.5</t>
  </si>
  <si>
    <t>7"x7",4"x16",CENTER</t>
  </si>
  <si>
    <t>Joe Ramanko</t>
  </si>
  <si>
    <t>248-393-5328</t>
  </si>
  <si>
    <t>248-393-6446</t>
  </si>
  <si>
    <t>Queretaro, Queretaro,  76100,  Mexico</t>
  </si>
  <si>
    <t>011-52-442-218-7227</t>
  </si>
  <si>
    <t>MITSUBISHI ELECTRIC AUTOMOTIVE</t>
  </si>
  <si>
    <t>727-443-2673</t>
  </si>
  <si>
    <t>National Sales Manager</t>
  </si>
  <si>
    <t>Krupp Bilstein GmbH</t>
  </si>
  <si>
    <t>Mr. Michael Fritz or Mr. Uwe Klein</t>
  </si>
  <si>
    <t>John Foggo</t>
  </si>
  <si>
    <t>Ryan Rebholz</t>
  </si>
  <si>
    <t>59 Field Rd.</t>
  </si>
  <si>
    <t>Second OpsTwo</t>
  </si>
  <si>
    <t>Combination Flag</t>
  </si>
  <si>
    <t>QuoteLog</t>
  </si>
  <si>
    <t>=</t>
  </si>
  <si>
    <t>Field3</t>
  </si>
  <si>
    <t>Added new routine that will add up to 10 material lines.  Updated back ground material cost and price tables.  Added new routine to add up to 5 press lines and 3 second ops lines.  Added all routines, updated routine to recognize named cell location verse absolute locations.  Updated the table to calculate minimum release and ship values to calculate for all 5 presses, updated the insert check routine to look at the last 9 material lines, updated the clear quote entry routine.</t>
  </si>
  <si>
    <t>El Paso,  TX,  79927</t>
  </si>
  <si>
    <t>915-780-5800 Ext. 1141</t>
  </si>
  <si>
    <t>915-780-5811</t>
  </si>
  <si>
    <t>Tlacoquemecatl No. 41-er.</t>
  </si>
  <si>
    <t>La Grange,  IL,  60525-0373,  US</t>
  </si>
  <si>
    <t>Medamicus</t>
  </si>
  <si>
    <t>Peter Ness &amp; Brian Anderson</t>
  </si>
  <si>
    <t>508-399-7655</t>
  </si>
  <si>
    <t>Guanajuato,  MX,  38160</t>
  </si>
  <si>
    <t>011-52-46-186100</t>
  </si>
  <si>
    <t>NORTH CARROLLTON,  OH,  45449,  US</t>
  </si>
  <si>
    <t>Taisho Electric Corporation of America</t>
  </si>
  <si>
    <t>Frank C. Escontrias</t>
  </si>
  <si>
    <t>1200 Golden Key Circle</t>
  </si>
  <si>
    <t>Suite 300</t>
  </si>
  <si>
    <t>El Paso, TX  79925</t>
  </si>
  <si>
    <t>915-595-3696 ext. 106</t>
  </si>
  <si>
    <t>915-595-3698</t>
  </si>
  <si>
    <t>Sub-Total Manufacturing Cost:</t>
  </si>
  <si>
    <t>Scrap:</t>
  </si>
  <si>
    <t>Trays/Boxes</t>
  </si>
  <si>
    <t>Total Tool Cost</t>
  </si>
  <si>
    <t>Links</t>
  </si>
  <si>
    <t>ASTM</t>
  </si>
  <si>
    <t>B.P. 530</t>
  </si>
  <si>
    <t>2503 Calumet Ave</t>
  </si>
  <si>
    <t>10545 Freedom Street</t>
  </si>
  <si>
    <t>GLYNN DAVIS</t>
  </si>
  <si>
    <t>1101 E. WALNUT STREET</t>
  </si>
  <si>
    <t>GARLAND,  TX,  75040-6697,  US</t>
  </si>
  <si>
    <t>972-272-8287X11</t>
  </si>
  <si>
    <t>972-272-6897</t>
  </si>
  <si>
    <t>5425 W. AMELIA EARHART DR.</t>
  </si>
  <si>
    <t>CII TECHNOLOGIES</t>
  </si>
  <si>
    <t>BECKY MARTINEZ</t>
  </si>
  <si>
    <t>MIDTEX DIVISION</t>
  </si>
  <si>
    <t xml:space="preserve">control.  Thermotech reserves the right to review its material cost and adjust part prices accordingly.  Terms and Conditions of order acceptance are attached or on file. </t>
  </si>
  <si>
    <t>Tustin,  CA,  92781-2085,  US</t>
  </si>
  <si>
    <t>CASCADE MARKETING INC</t>
  </si>
  <si>
    <t>23.62 X 23.62</t>
  </si>
  <si>
    <t>144</t>
  </si>
  <si>
    <t>519-885-5552</t>
  </si>
  <si>
    <t>6", 7", 10" BOTHWAYS, NO CENTER</t>
  </si>
  <si>
    <t>7 - 15</t>
  </si>
  <si>
    <t>9.25 x 37.75</t>
  </si>
  <si>
    <t>46.46 X 17.95</t>
  </si>
  <si>
    <t>A02</t>
  </si>
  <si>
    <t>5.79 - 14.98</t>
  </si>
  <si>
    <t>12 x 12</t>
  </si>
  <si>
    <t>SAN DIEGO,  CA,  92173,  US</t>
  </si>
  <si>
    <t>619-671-1536</t>
  </si>
  <si>
    <t>619-671-1217</t>
  </si>
  <si>
    <t>Shot OZ:</t>
  </si>
  <si>
    <t>Shot Size OZ</t>
  </si>
  <si>
    <t>Magna Mirror Systems</t>
  </si>
  <si>
    <t>David Rose</t>
  </si>
  <si>
    <t>4185 44th Street S.E.</t>
  </si>
  <si>
    <t>Grand Rapids,  MI,  49512</t>
  </si>
  <si>
    <t>Jose Miguel Mas</t>
  </si>
  <si>
    <t>Tyco Electronics Corporation</t>
  </si>
  <si>
    <t>James Martin</t>
  </si>
  <si>
    <t>301 Robey Street</t>
  </si>
  <si>
    <t>P.O. Box 308</t>
  </si>
  <si>
    <t>Franklin,  KY,  42135-0308,  US</t>
  </si>
  <si>
    <t>270-586-1015</t>
  </si>
  <si>
    <t>Add four lines of external text, updated the delete blank line routine, removed the customer quote sheet.  Develop table in background to handle new rules for minimum orders and minimum shipping qty's.</t>
  </si>
  <si>
    <t>H. David Nicodemus</t>
  </si>
  <si>
    <t>7595 Gadsden Highway</t>
  </si>
  <si>
    <t>TRINETICS INC.</t>
  </si>
  <si>
    <t>55807 CURRANT ROAD</t>
  </si>
  <si>
    <t>MISHAWAKA,  IN,  46545,  US</t>
  </si>
  <si>
    <t>612 E. Lake St</t>
  </si>
  <si>
    <t>Lake Mills,  WI,  53551,  US</t>
  </si>
  <si>
    <t>INDUSTRIAL SALES TECH INC</t>
  </si>
  <si>
    <t>Magneti Marelli</t>
  </si>
  <si>
    <t>Glenn Phillips</t>
  </si>
  <si>
    <t>Equipment</t>
  </si>
  <si>
    <t>Gear Recut</t>
  </si>
  <si>
    <t>Hot Plate Welder</t>
  </si>
  <si>
    <t>Hand Loader 1</t>
  </si>
  <si>
    <t>Hand Loader 2</t>
  </si>
  <si>
    <t>Stamping Die 3</t>
  </si>
  <si>
    <t>P.O. Box 3107</t>
  </si>
  <si>
    <t>Asheville,  NC,  28802-2107,  US</t>
  </si>
  <si>
    <t>148</t>
  </si>
  <si>
    <t>TWS-800FM</t>
  </si>
  <si>
    <t>16.14  x 16.14</t>
  </si>
  <si>
    <t>151</t>
  </si>
  <si>
    <t>DDS</t>
  </si>
  <si>
    <t>16.14 x 16.14</t>
  </si>
  <si>
    <t>Bucher</t>
  </si>
  <si>
    <t>555 International Parkway</t>
  </si>
  <si>
    <t>CHAMBERLAIN MFG. CORP.</t>
  </si>
  <si>
    <t>845 LARCH AVE.</t>
  </si>
  <si>
    <t>5260 112TH AVENUE NORTH</t>
  </si>
  <si>
    <t>P.O. BOX 17225</t>
  </si>
  <si>
    <t>Stepped PL</t>
  </si>
  <si>
    <t>Fitting</t>
  </si>
  <si>
    <t>CTS CORPORATION AUTOMOTIVE PRODUCTS</t>
  </si>
  <si>
    <t>DAVID EWILLIS</t>
  </si>
  <si>
    <t>1142 W BEARDSLEY AVE</t>
  </si>
  <si>
    <t>Lynelle Tueffel</t>
  </si>
  <si>
    <t>LYNELLE.TUEFFEL@menasha.com</t>
  </si>
  <si>
    <t>Hella Electronics Corp.</t>
  </si>
  <si>
    <t>VDO Control Systems</t>
  </si>
  <si>
    <t>Will Chapin</t>
  </si>
  <si>
    <t>813 S Grandstaff Dr</t>
  </si>
  <si>
    <t>Die Products</t>
  </si>
  <si>
    <t>Tim Martin</t>
  </si>
  <si>
    <t>7880 Beech St NE</t>
  </si>
  <si>
    <t>tmartin@dieproducts.com</t>
  </si>
  <si>
    <t>Minneapolis,  MN,  55432</t>
  </si>
  <si>
    <t>763-574-9225</t>
  </si>
  <si>
    <t>763-574-9344</t>
  </si>
  <si>
    <t>Eaton Hydraulics</t>
  </si>
  <si>
    <t>Mike Barto</t>
  </si>
  <si>
    <t>15151 Highway 5</t>
  </si>
  <si>
    <t>Columbia,  MD,  21045-4707,  US</t>
  </si>
  <si>
    <t>Denso</t>
  </si>
  <si>
    <t>3M Center Building 270-2A-01</t>
  </si>
  <si>
    <t>St. Paul,  MN,  55133-3327,  US</t>
  </si>
  <si>
    <t>LA MIRADA,  CA,  90638,  US</t>
  </si>
  <si>
    <t>Steve Eaton</t>
  </si>
  <si>
    <t>615-867-3407</t>
  </si>
  <si>
    <t>Quantity5</t>
  </si>
  <si>
    <t>Material One</t>
  </si>
  <si>
    <t>4685 Investment Dr.</t>
  </si>
  <si>
    <t>2730 Carolean Industrial Drive</t>
  </si>
  <si>
    <t>State College,  PA,  16801,  US</t>
  </si>
  <si>
    <t>Auto. Maint:</t>
  </si>
  <si>
    <t>THERMOTECH-EL PASO PRESS CONFIGURATION</t>
  </si>
  <si>
    <t>Work</t>
  </si>
  <si>
    <t>Screw</t>
  </si>
  <si>
    <t>Shot</t>
  </si>
  <si>
    <t>Injection</t>
  </si>
  <si>
    <t>MD 1100B, Cube 12D32</t>
  </si>
  <si>
    <t>Note Print Exceptions On Quotation</t>
  </si>
  <si>
    <t>716-439-2438</t>
  </si>
  <si>
    <t>Acceso A #101</t>
  </si>
  <si>
    <t>Parq. Ind. Jurica</t>
  </si>
  <si>
    <t>The LS Starrett Company</t>
  </si>
  <si>
    <t>Part Number:</t>
  </si>
  <si>
    <t>Cavities:</t>
  </si>
  <si>
    <t>Canton,  GA,  30114,  US</t>
  </si>
  <si>
    <t>678-493-8141</t>
  </si>
  <si>
    <t>678-493-8142</t>
  </si>
  <si>
    <t>Emerson Motor Company</t>
  </si>
  <si>
    <t>Emerson Electric Co</t>
  </si>
  <si>
    <t>8100 W. Florissant</t>
  </si>
  <si>
    <t>P.O. Box 3946</t>
  </si>
  <si>
    <t>MANNESMANN REXROTH</t>
  </si>
  <si>
    <t>CHARLES FARLEY</t>
  </si>
  <si>
    <t>Repricing</t>
  </si>
  <si>
    <t>Increasing cost in producing short runs have contributed significantly</t>
  </si>
  <si>
    <t>to the above price increase. Cost to set-up, cycle and maintain tools</t>
  </si>
  <si>
    <t>401-943-2686</t>
  </si>
  <si>
    <t>401-946-8352</t>
  </si>
  <si>
    <t>Internal PurchasingOffice: AminMaduar</t>
  </si>
  <si>
    <t>38000 Hills Tech Drive</t>
  </si>
  <si>
    <t>BDT de Mexico, S de RL de CV</t>
  </si>
  <si>
    <t>Alejandro Tejeda</t>
  </si>
  <si>
    <t>Av. El Bosque 1220</t>
  </si>
  <si>
    <t>810-497-4000</t>
  </si>
  <si>
    <t>968 BRADLEY ST</t>
  </si>
  <si>
    <t>612-559-3300</t>
  </si>
  <si>
    <t>612-559-4806</t>
  </si>
  <si>
    <t>Tilbury, Ontario,  NOP 2LO,  CA</t>
  </si>
  <si>
    <t>1-519-682-5096</t>
  </si>
  <si>
    <t>1-519-682-5068</t>
  </si>
  <si>
    <t>STMicroelectronics</t>
  </si>
  <si>
    <t>DAVID ADOLF</t>
  </si>
  <si>
    <t>2001 CENTER STREET</t>
  </si>
  <si>
    <t>BERLELEY,  CA,  94704-1112,  US</t>
  </si>
  <si>
    <t>Sta. Rosa Jauregui, Qro. Mexico 76220</t>
  </si>
  <si>
    <t>Quotation assumes that part design will be modified to uniformly core out the thick wall sections.</t>
  </si>
  <si>
    <t>270-586-1064</t>
  </si>
  <si>
    <t>270-586-1089</t>
  </si>
  <si>
    <t>763-954-5152</t>
  </si>
  <si>
    <t>Delphi Chassis Systems</t>
  </si>
  <si>
    <t>36.67 X 35.67</t>
  </si>
  <si>
    <t>7", 4" x 16" BOTH WAYS</t>
  </si>
  <si>
    <t>218-562-5579</t>
  </si>
  <si>
    <t>EL PASO,  TX,  79912,  US</t>
  </si>
  <si>
    <t>ZF LENKSYSTEME</t>
  </si>
  <si>
    <t>011-52-442-211-3399</t>
  </si>
  <si>
    <t>MENOMONEE FALLS,  WI,  53051,  US</t>
  </si>
  <si>
    <t>Visteon Power Train Control Systems</t>
  </si>
  <si>
    <t>N. Balabaskaran</t>
  </si>
  <si>
    <t>Cavity Generation</t>
  </si>
  <si>
    <t>Roll Test</t>
  </si>
  <si>
    <t>Master Gear</t>
  </si>
  <si>
    <t>Inspection</t>
  </si>
  <si>
    <t>Sample TT</t>
  </si>
  <si>
    <t>Sample Kleiss</t>
  </si>
  <si>
    <t>Requal Mex TT</t>
  </si>
  <si>
    <t>Press 10</t>
  </si>
  <si>
    <t>Press 8 Tonnage:</t>
  </si>
  <si>
    <t>Press 8 Ind Logical Test:</t>
  </si>
  <si>
    <t>Press 9 Ind Logical Test:</t>
  </si>
  <si>
    <t>Press 9 Tonnage:</t>
  </si>
  <si>
    <t>Press 10 Ind Logical Test:</t>
  </si>
  <si>
    <t>216-481-6081</t>
  </si>
  <si>
    <t>Scr. One</t>
  </si>
  <si>
    <t>Scr. Two</t>
  </si>
  <si>
    <t>Delivery:</t>
  </si>
  <si>
    <t>716-687-6039</t>
  </si>
  <si>
    <t>716-687-6195</t>
  </si>
  <si>
    <t>Anderson,  IN,  46013,  US</t>
  </si>
  <si>
    <t>765-778-6447</t>
  </si>
  <si>
    <t>Tooling Maint.</t>
  </si>
  <si>
    <t>All prices are F.O.B. sellers facility.</t>
  </si>
  <si>
    <t>Min Rel Flag</t>
  </si>
  <si>
    <t>Andy Hobson</t>
  </si>
  <si>
    <t>011-44-1923-231593</t>
  </si>
  <si>
    <t>011-44-1923-231595</t>
  </si>
  <si>
    <t>Use the CONCATENATE function in the notes section to bring in part weight, cavities, runner weight, pcs/hr mucell factor and gfl factor to help simplify the notes.  Updated hyperlink address.</t>
  </si>
  <si>
    <t>GS Electric</t>
  </si>
  <si>
    <t>011-52-442-211-5230</t>
  </si>
  <si>
    <t>3M ELECTRICAL PROD  BLDG 10</t>
  </si>
  <si>
    <t>Edmond,  OK,  73031,  US</t>
  </si>
  <si>
    <t>405-475-9800</t>
  </si>
  <si>
    <t>405-478-8319</t>
  </si>
  <si>
    <t>Colonia Quinta Velarde</t>
  </si>
  <si>
    <t>Guadalajara, Jalisco, C.P.,  ,  44430,  MX</t>
  </si>
  <si>
    <t>011.5261.95615</t>
  </si>
  <si>
    <t>NEW ULM,  MN,  56073,  US</t>
  </si>
  <si>
    <t>507-359-0160</t>
  </si>
  <si>
    <t>Delphi Notes:</t>
  </si>
  <si>
    <t>The same criteria for account selection remains: I.e., good credit, high potential overall volumes.</t>
  </si>
  <si>
    <t>952-933-9491</t>
  </si>
  <si>
    <t>KAREN.CHRISTIAN@menasha.com</t>
  </si>
  <si>
    <t>976-966-2300</t>
  </si>
  <si>
    <t>Robot Amort Cost:</t>
  </si>
  <si>
    <t>Robot Amort Price:</t>
  </si>
  <si>
    <t>SAN JOSE,  CA,  95131,  US</t>
  </si>
  <si>
    <t>MEDTRONIC HEART VALVES</t>
  </si>
  <si>
    <t>Hunt Technologies, Inc.</t>
  </si>
  <si>
    <t>Tim Edwards</t>
  </si>
  <si>
    <t>HC2 Box 17H</t>
  </si>
  <si>
    <t>Valporaiso,  IN,  46384,  US</t>
  </si>
  <si>
    <r>
      <t>Terms:</t>
    </r>
    <r>
      <rPr>
        <sz val="9"/>
        <rFont val="Arial"/>
        <family val="2"/>
      </rPr>
      <t xml:space="preserve">  Tooling 1/3 with PO, 1/3 upon tool delivery and balance upon sample approval.  Production net 30 day.  Any recommendation or technical advise furnished</t>
    </r>
  </si>
  <si>
    <t>6% Tooling Margin:</t>
  </si>
  <si>
    <t>Min Ship Flag</t>
  </si>
  <si>
    <t>217-932-5292</t>
  </si>
  <si>
    <t>Cape Coral,  FL,  33915,  US</t>
  </si>
  <si>
    <t>941-458-7646</t>
  </si>
  <si>
    <t xml:space="preserve">The range can be anywhere from 2% for warp/shrink reduction to 30% weight reduction in certain </t>
  </si>
  <si>
    <t>HONEYWELL, INC.</t>
  </si>
  <si>
    <t>SILVERIOAVALOS</t>
  </si>
  <si>
    <t>217-357-2371</t>
  </si>
  <si>
    <t>Adrianne Wynn</t>
  </si>
  <si>
    <t>734-392-5347</t>
  </si>
  <si>
    <t>Marco Guzman/Carlos Aramburu</t>
  </si>
  <si>
    <t>011-52-33-3134-2749</t>
  </si>
  <si>
    <t>Catherine Gonthier</t>
  </si>
  <si>
    <t>CP CLARE CORP</t>
  </si>
  <si>
    <t>xxx,  MN,  55343,  US</t>
  </si>
  <si>
    <t>9236 East Hall Road</t>
  </si>
  <si>
    <t>Downey,  CA,  90241,  US</t>
  </si>
  <si>
    <t>562-923-7511</t>
  </si>
  <si>
    <t>562-904-7517</t>
  </si>
  <si>
    <t>440-238-2210</t>
  </si>
  <si>
    <t>Duracell</t>
  </si>
  <si>
    <t>Ricardo A. Rago</t>
  </si>
  <si>
    <t>Global Business Management Group</t>
  </si>
  <si>
    <t>Piece Price In Volumes Of:</t>
  </si>
  <si>
    <t>DIN Specs</t>
  </si>
  <si>
    <t>Price Quotes</t>
  </si>
  <si>
    <t>Polymerland</t>
  </si>
  <si>
    <t>Clamp Tonnage Does Not Exceed 80% of Press</t>
  </si>
  <si>
    <t>Av 3 y Calle 9 s/n, Zona Industrial</t>
  </si>
  <si>
    <t>San Juan del Rio</t>
  </si>
  <si>
    <t>SYOSSET,  NY,  11791,  US</t>
  </si>
  <si>
    <t>Delatsa</t>
  </si>
  <si>
    <t>Gabrieldela Torre</t>
  </si>
  <si>
    <t>Rio Amacuzac No 1578</t>
  </si>
  <si>
    <t>Alejandro Hernandez Perez</t>
  </si>
  <si>
    <t>15552 Herriman Blvd.</t>
  </si>
  <si>
    <t>Plant:</t>
  </si>
  <si>
    <t>Part Name:</t>
  </si>
  <si>
    <t>011-52-442-211-0893</t>
  </si>
  <si>
    <t>MuCell Calc.</t>
  </si>
  <si>
    <t>MuCell On</t>
  </si>
  <si>
    <t>Phone Number</t>
  </si>
  <si>
    <t>Fax Number</t>
  </si>
  <si>
    <t>Charleston,  SC,  29423-0309</t>
  </si>
  <si>
    <t>843-797-2500</t>
  </si>
  <si>
    <t>Loretta Hemsworth</t>
  </si>
  <si>
    <t>Calle Miguel Trillo 3934</t>
  </si>
  <si>
    <t>Carretera Libre a Celaya KM 8.6</t>
  </si>
  <si>
    <t>Fraccionamiento industrial Balvaner</t>
  </si>
  <si>
    <t>1 AVE AMPERE</t>
  </si>
  <si>
    <t>Regrind %:</t>
  </si>
  <si>
    <t>Run Qty:</t>
  </si>
  <si>
    <t>Tool Maint 2104</t>
  </si>
  <si>
    <t>35.67</t>
  </si>
  <si>
    <t>Rushford,  MN,  55971,  US</t>
  </si>
  <si>
    <t>E1009</t>
  </si>
  <si>
    <t>Kelly Guthrie</t>
  </si>
  <si>
    <t>805-523-2000 Ext. 2326</t>
  </si>
  <si>
    <t>Ben Tomblinson, T.S. Kaminski &amp; Co., Inc.</t>
  </si>
  <si>
    <t>Juarez,  CP32310,  MX</t>
  </si>
  <si>
    <t>Buyout Cost:</t>
  </si>
  <si>
    <t>143</t>
  </si>
  <si>
    <t>5.9-18.0</t>
  </si>
  <si>
    <t>145</t>
  </si>
  <si>
    <t>146</t>
  </si>
  <si>
    <t>5.9-20</t>
  </si>
  <si>
    <t>149</t>
  </si>
  <si>
    <t>Motorola Automotive Communication</t>
  </si>
  <si>
    <t>Electronics Systems Group</t>
  </si>
  <si>
    <t>21440 W. Lake Cook Rd.  Flr #7</t>
  </si>
  <si>
    <t>Deer Park,  IL,  60010</t>
  </si>
  <si>
    <t>847-862-0121</t>
  </si>
  <si>
    <t>Marco Antonio Castro</t>
  </si>
  <si>
    <t>Km 116.5 Autopista Mexico-Puebla</t>
  </si>
  <si>
    <t>Puebla, Puebla,  Mexico,  72008</t>
  </si>
  <si>
    <t>011-52-222-230-8502</t>
  </si>
  <si>
    <t>011-52-222-230-8792</t>
  </si>
  <si>
    <t>N. MANCHESTER,  IN,  46962,  US</t>
  </si>
  <si>
    <t>Dave Jones</t>
  </si>
  <si>
    <t>713-209-8986</t>
  </si>
  <si>
    <t>757-890-1572</t>
  </si>
  <si>
    <t>615-563-5121</t>
  </si>
  <si>
    <t>Honda of America Mfg., Inc.</t>
  </si>
  <si>
    <t>Puchasing Department</t>
  </si>
  <si>
    <t>427 North Shamrock</t>
  </si>
  <si>
    <t>4773 BETHANY ROAD</t>
  </si>
  <si>
    <t>MASON,  OH,  45040,  US</t>
  </si>
  <si>
    <t>513-573-6661</t>
  </si>
  <si>
    <t>507-457-9736</t>
  </si>
  <si>
    <t>Qty 2 Cost</t>
  </si>
  <si>
    <t>Qty 3 Cost</t>
  </si>
  <si>
    <t>Qty 4 Cost</t>
  </si>
  <si>
    <t>Warren,  OH,  44486,  US</t>
  </si>
  <si>
    <t>330-373-5653</t>
  </si>
  <si>
    <t>SUSAN OAKES</t>
  </si>
  <si>
    <t>801 SCHOLZ DRIVE</t>
  </si>
  <si>
    <t>VANDALIA,  OH,  45377,  US</t>
  </si>
  <si>
    <t>Logical Test Sales/Tool Ratio:</t>
  </si>
  <si>
    <t>Scenario One: Test 1, 2 or B</t>
  </si>
  <si>
    <t>Resin Cost:</t>
  </si>
  <si>
    <t>608-757-2009</t>
  </si>
  <si>
    <t>Added 7th press to matrix.  Updated programming for clear sheet routine, added press 7 routines, updated estimator color selection routine, added reset material routines, add press line and hide press line routines.</t>
  </si>
  <si>
    <t>818-347-7147</t>
  </si>
  <si>
    <t>MOLDED INTERCONNECT DEVICE, LLC</t>
  </si>
  <si>
    <t>MAX LEONE</t>
  </si>
  <si>
    <t>In-Mold Degating</t>
  </si>
  <si>
    <t>SCHILLER PARK,  IL,  60176-2383,  US</t>
  </si>
  <si>
    <t>PRECISION INC.</t>
  </si>
  <si>
    <t>334-436-8125</t>
  </si>
  <si>
    <t>334-438-1092</t>
  </si>
  <si>
    <t>Bronson,  MI,  49028,  US</t>
  </si>
  <si>
    <t>517-369-2315</t>
  </si>
  <si>
    <t>Buss-Out</t>
  </si>
  <si>
    <t>303</t>
  </si>
  <si>
    <t>X</t>
  </si>
  <si>
    <t>CULLIGAN USA</t>
  </si>
  <si>
    <t>ONE CULLIGAN PARKWAY</t>
  </si>
  <si>
    <t>Dieter Winter</t>
  </si>
  <si>
    <t>1313 Fifth Street So.</t>
  </si>
  <si>
    <t>Hopkins,  MN,  55343,  US</t>
  </si>
  <si>
    <t>Hamlin</t>
  </si>
  <si>
    <t>Minneapolis,  MN,  55420,  US</t>
  </si>
  <si>
    <t>612-887-5580</t>
  </si>
  <si>
    <t>ABB ELECTRICITY METERING</t>
  </si>
  <si>
    <t>W. BRUCE BOYETTE</t>
  </si>
  <si>
    <t>Annual Sales:</t>
  </si>
  <si>
    <t>Dues and Subscriptions</t>
  </si>
  <si>
    <t>Alejandro Terminel</t>
  </si>
  <si>
    <t>Calle 30, No 2715, Zona Industrial</t>
  </si>
  <si>
    <t>GLOBE MOTORS</t>
  </si>
  <si>
    <t>Material 5 Cost:</t>
  </si>
  <si>
    <t>29.33 X 30.31</t>
  </si>
  <si>
    <t>18.5 X 18.5</t>
  </si>
  <si>
    <t>Universal Metal Products Inc</t>
  </si>
  <si>
    <t>401 Airport Road</t>
  </si>
  <si>
    <t>Remy Componentes, S de RL de CV</t>
  </si>
  <si>
    <t>Jorge Gomez</t>
  </si>
  <si>
    <t>Eje 128 No. 190, Zona Industrial, 2a. Seccion</t>
  </si>
  <si>
    <t>Gomez.Jorge@delcoremy.com.mx</t>
  </si>
  <si>
    <t>San  Luis  Potosi,  SLP,  Mexico,  78090</t>
  </si>
  <si>
    <t>011-52-444-834-6476</t>
  </si>
  <si>
    <t>ST. PAUL,  MN,  55116,  US</t>
  </si>
  <si>
    <t>Hrs/Wk</t>
  </si>
  <si>
    <t>LT</t>
  </si>
  <si>
    <t>GFL Cost</t>
  </si>
  <si>
    <t>Shots</t>
  </si>
  <si>
    <t>Totals PCS</t>
  </si>
  <si>
    <t>304-586-0070  Ext. 110</t>
  </si>
  <si>
    <t>MOTOR SPECIALITY, INC</t>
  </si>
  <si>
    <t>LYNN MARIELUND</t>
  </si>
  <si>
    <t>2801-17 LATHROP AVENUE</t>
  </si>
  <si>
    <t>PO BOX 081278</t>
  </si>
  <si>
    <t>RACINE,  WI,  53408-1278,  US</t>
  </si>
  <si>
    <t>262-632-2794</t>
  </si>
  <si>
    <t>262-632-8899</t>
  </si>
  <si>
    <t>Ortronics</t>
  </si>
  <si>
    <t>Rob Aekins</t>
  </si>
  <si>
    <t>011-52-65-6649-8641</t>
  </si>
  <si>
    <t>El Paso LT Adder</t>
  </si>
  <si>
    <t>Lead Time Variable 1</t>
  </si>
  <si>
    <t>Lead Time Variable 2</t>
  </si>
  <si>
    <t>Lead Time Variable 3</t>
  </si>
  <si>
    <t>LT Note</t>
  </si>
  <si>
    <t xml:space="preserve">the use of precision foam.  This price is based on a typical part weight reduction.  Thermotech would supply you with </t>
  </si>
  <si>
    <t>336-449-7707</t>
  </si>
  <si>
    <t>Merkle-Korf Industries</t>
  </si>
  <si>
    <t>Jeffrey Neuman</t>
  </si>
  <si>
    <t>1776 Winthrop Dr.</t>
  </si>
  <si>
    <t>Des Plaines,  IL,  60018</t>
  </si>
  <si>
    <t>847-298-8800</t>
  </si>
  <si>
    <t>847-699-0832</t>
  </si>
  <si>
    <t>15.4x13.5</t>
  </si>
  <si>
    <t>MFG Concept:</t>
  </si>
  <si>
    <t>Steve Saylor</t>
  </si>
  <si>
    <t>410-221-9471</t>
  </si>
  <si>
    <t>Three Plate Mold</t>
  </si>
  <si>
    <t>P. O. BOX 1800</t>
  </si>
  <si>
    <t>Debra Bushey</t>
  </si>
  <si>
    <t>Hewlett-Packard</t>
  </si>
  <si>
    <t>Kent Shum</t>
  </si>
  <si>
    <t>*********************************************************************************************************************************</t>
  </si>
  <si>
    <t>Wgt CI Volume/M</t>
  </si>
  <si>
    <t>3400 YONKERS RD</t>
  </si>
  <si>
    <t>43811 Plymouth Oaks Blvd.</t>
  </si>
  <si>
    <t>Plymouth Twp., MI 48170-2539, US</t>
  </si>
  <si>
    <t>734-414-0928</t>
  </si>
  <si>
    <t>734-414-5041</t>
  </si>
  <si>
    <t>GE POLYMERLAND, INC.</t>
  </si>
  <si>
    <t>STEVE JARAE</t>
  </si>
  <si>
    <t>915-790-1129</t>
  </si>
  <si>
    <t>4000 Commercial Avenue</t>
  </si>
  <si>
    <t>AIEG</t>
  </si>
  <si>
    <t>Prototype:</t>
  </si>
  <si>
    <t>PO BOX 60530</t>
  </si>
  <si>
    <t>801-625-4800</t>
  </si>
  <si>
    <t>Hopkins Manufacturing de Mexico, S. de R.L. de C.V.</t>
  </si>
  <si>
    <t>Servicios Condumex, SA de CV</t>
  </si>
  <si>
    <t>Lorenzo Rinaldi</t>
  </si>
  <si>
    <t>San Luis Potosi, SLP,  78395,  Mexico</t>
  </si>
  <si>
    <t>011-524-826-6910</t>
  </si>
  <si>
    <t>011-524-826-7028</t>
  </si>
  <si>
    <t>BOSCH SISTEMAS DE FRENADO,S.L.</t>
  </si>
  <si>
    <t>Manoli Sanchez</t>
  </si>
  <si>
    <t>P.O. Box 5011</t>
  </si>
  <si>
    <t>NEWBURY</t>
  </si>
  <si>
    <t>Frequency</t>
  </si>
  <si>
    <t>Interchangable</t>
  </si>
  <si>
    <t>XQ-600F</t>
  </si>
  <si>
    <t>Labor Scr. 1</t>
  </si>
  <si>
    <t>BUILDING A, SUITE C</t>
  </si>
  <si>
    <t>EL PASO,  TX,  79935,  US</t>
  </si>
  <si>
    <t>915-593-5000</t>
  </si>
  <si>
    <t>915-593-1059</t>
  </si>
  <si>
    <t>Mark IV</t>
  </si>
  <si>
    <t>Patrick McFarren</t>
  </si>
  <si>
    <t>3925 N. HASTINGS WAY</t>
  </si>
  <si>
    <t>Max.</t>
  </si>
  <si>
    <t>Core-</t>
  </si>
  <si>
    <t>Clamp</t>
  </si>
  <si>
    <t>Controller</t>
  </si>
  <si>
    <t>Loader</t>
  </si>
  <si>
    <t>Conveyor</t>
  </si>
  <si>
    <t>901-642-5582</t>
  </si>
  <si>
    <t xml:space="preserve">This is a relatively new process and many questions are not answered on property changes.  It is </t>
  </si>
  <si>
    <t>270-843-1688</t>
  </si>
  <si>
    <t>Chatham,  ON,  N7M 5M7,  CA</t>
  </si>
  <si>
    <t>MODERN ENGINEERING CO.</t>
  </si>
  <si>
    <t>Florian Stevens</t>
  </si>
  <si>
    <t>3350 Airport Road</t>
  </si>
  <si>
    <t>Wilmington,  NC,  28401-6599,  US</t>
  </si>
  <si>
    <t>910-763-8261</t>
  </si>
  <si>
    <t>910-763-2650</t>
  </si>
  <si>
    <t>Franklin Park, IL,  60131</t>
  </si>
  <si>
    <t>Quote Data:</t>
  </si>
  <si>
    <t>How much weight reduction can I expect?</t>
  </si>
  <si>
    <t>Cust. Mold Price</t>
  </si>
  <si>
    <t>Total Mold Cost</t>
  </si>
  <si>
    <t>Brian Wallingford</t>
  </si>
  <si>
    <t>38000 Hills Tech Dr.</t>
  </si>
  <si>
    <t>248-848-6499</t>
  </si>
  <si>
    <t>Carolina Assembly Comp., Inc.</t>
  </si>
  <si>
    <t>336-578-6300</t>
  </si>
  <si>
    <t>336-229-0768</t>
  </si>
  <si>
    <t>952-352-9750</t>
  </si>
  <si>
    <t>Avenida Hermanos Escobar 5756</t>
  </si>
  <si>
    <t>Molten</t>
  </si>
  <si>
    <t>Yukihide Noma</t>
  </si>
  <si>
    <t>Enrique Pinocelli #8951</t>
  </si>
  <si>
    <t>Parque Ind. AeroJuarez, Cd., Juares, Chih</t>
  </si>
  <si>
    <t>Juarez, Chih,  MX,  32690</t>
  </si>
  <si>
    <t>011-52-656-679-1000</t>
  </si>
  <si>
    <t>011-52-656-679-1099</t>
  </si>
  <si>
    <t>Cecilia Hernandez</t>
  </si>
  <si>
    <t>915-783-7195</t>
  </si>
  <si>
    <t>915-782-8096</t>
  </si>
  <si>
    <t>Ivan Miranda</t>
  </si>
  <si>
    <t>DPI</t>
  </si>
  <si>
    <t>Kirti Patel</t>
  </si>
  <si>
    <t>1607 East Big Beaver Road</t>
  </si>
  <si>
    <t>kpatel@doshiassociates.com</t>
  </si>
  <si>
    <t>Troy,  MI,  48033</t>
  </si>
  <si>
    <t>248-689-0510</t>
  </si>
  <si>
    <t>248-689-1007</t>
  </si>
  <si>
    <t>INJECTION MOLD PROCESSING REQUIREMENTS</t>
  </si>
  <si>
    <t>Composite</t>
  </si>
  <si>
    <t>Tool Labor</t>
  </si>
  <si>
    <t>RATE/HR</t>
  </si>
  <si>
    <t>HOURS</t>
  </si>
  <si>
    <t>Tool Dimensions</t>
  </si>
  <si>
    <t>Operations:</t>
  </si>
  <si>
    <t>Total Resins Sales</t>
  </si>
  <si>
    <t>Total Buyout Sales</t>
  </si>
  <si>
    <t>Total Press Sales</t>
  </si>
  <si>
    <t>Total Resins Sales:</t>
  </si>
  <si>
    <t>Total Buyout Sales:</t>
  </si>
  <si>
    <t>Total Press Sales:</t>
  </si>
  <si>
    <t>CHINO,  CA,  91710,  US</t>
  </si>
  <si>
    <t>West Palm Beach,  FL,  33407</t>
  </si>
  <si>
    <t>P.Caron</t>
  </si>
  <si>
    <t>Itasca,  IL,  60143,  US</t>
  </si>
  <si>
    <t>Detroit,  MI,  48232,  US</t>
  </si>
  <si>
    <t>HICKORY,  NC,  28602-0489,  US</t>
  </si>
  <si>
    <t>714-258-7500</t>
  </si>
  <si>
    <t>714-258-8120</t>
  </si>
  <si>
    <t>TRW Braking Systems</t>
  </si>
  <si>
    <t>Daniel Mendoza</t>
  </si>
  <si>
    <t>Av. La Griega 101, Parque Ind.</t>
  </si>
  <si>
    <t>P.O BOX 727</t>
  </si>
  <si>
    <t>St. Petersburg,  FL,  33716,  US</t>
  </si>
  <si>
    <t>727-803-3745</t>
  </si>
  <si>
    <t>727-803-3052</t>
  </si>
  <si>
    <t>P L PORTER</t>
  </si>
  <si>
    <t>818-884-7260</t>
  </si>
  <si>
    <t>MC3-F</t>
  </si>
  <si>
    <t>30x30</t>
  </si>
  <si>
    <t>CUMB-12X15</t>
  </si>
  <si>
    <t>ROSEMEAD,  CA,  91770-0677,  US</t>
  </si>
  <si>
    <t>Part wt/m</t>
  </si>
  <si>
    <t>Qualification Factor</t>
  </si>
  <si>
    <t>Parts will be bulk packed in poly-lined cartons for shipping.</t>
  </si>
  <si>
    <t>AutoTemplateWizardDONTMESSWITHIT</t>
  </si>
  <si>
    <t>Database Type:</t>
  </si>
  <si>
    <t>MAGNETIC POWER SYSTEMS INC.</t>
  </si>
  <si>
    <t>BECTON DICKINSON LABWARE</t>
  </si>
  <si>
    <t>Amortization Per M:</t>
  </si>
  <si>
    <t>Phone Number:</t>
  </si>
  <si>
    <t>507-864-7753</t>
  </si>
  <si>
    <t>FASCO DC MOTORS</t>
  </si>
  <si>
    <t>724-258-8342</t>
  </si>
  <si>
    <t>VALEO</t>
  </si>
  <si>
    <t>Parq Ind. Bernardo Quintana</t>
  </si>
  <si>
    <t>Able Coil and Electronics Co.</t>
  </si>
  <si>
    <t>Mark Gilbert</t>
  </si>
  <si>
    <t>GE LIGHTING</t>
  </si>
  <si>
    <t>WILLIAM SIEFERT</t>
  </si>
  <si>
    <t>MARK IV AUTOMOTIVE, DAYCO PRODUCTS, INC.</t>
  </si>
  <si>
    <t>MR. JOHN MOBLEY</t>
  </si>
  <si>
    <t>1921 NORTH BROAD STREET</t>
  </si>
  <si>
    <t>LEXINGTON,  TN,  38351,  US</t>
  </si>
  <si>
    <t>731-968-4282</t>
  </si>
  <si>
    <t>801 W. NAUB STREET</t>
  </si>
  <si>
    <t>Takata Seat Belts, Inc.</t>
  </si>
  <si>
    <t>Andrew James</t>
  </si>
  <si>
    <t>4611 Wiseman Blvd.</t>
  </si>
  <si>
    <t>Andrew.james@takata.com</t>
  </si>
  <si>
    <t>San Antonio,  TX  78251</t>
  </si>
  <si>
    <t>210-250-5000</t>
  </si>
  <si>
    <t>210-250-5057</t>
  </si>
  <si>
    <t>2275 STANLEY AVENUE</t>
  </si>
  <si>
    <t>WARMINSTER,  PA,  18974,  US</t>
  </si>
  <si>
    <t>215-674-6716</t>
  </si>
  <si>
    <t>215-674-7184</t>
  </si>
  <si>
    <t>7575 Market Place Drive</t>
  </si>
  <si>
    <t>Eden Prairie,  MN,  55344,  US</t>
  </si>
  <si>
    <t>612-941-1100</t>
  </si>
  <si>
    <t>612-392-6677</t>
  </si>
  <si>
    <t>Peter Popp</t>
  </si>
  <si>
    <t>Guadalajara,  Jalisco,  45070,  MX</t>
  </si>
  <si>
    <t>727-443-2674</t>
  </si>
  <si>
    <t>BOSCH BRAKING SYSTEMS-AMERICAS</t>
  </si>
  <si>
    <t>Doskocil Mfg. Co.</t>
  </si>
  <si>
    <t>Robert Blum</t>
  </si>
  <si>
    <t>4300 Barnett</t>
  </si>
  <si>
    <t>Arlington,  TX,  76017</t>
  </si>
  <si>
    <t>817-467-5116  Ext. 1591</t>
  </si>
  <si>
    <t>Tiebarless</t>
  </si>
  <si>
    <t>RAM</t>
  </si>
  <si>
    <t>CC90</t>
  </si>
  <si>
    <t>VL-4</t>
  </si>
  <si>
    <t>HI-03-05-06</t>
  </si>
  <si>
    <t>MARK II-250EMS</t>
  </si>
  <si>
    <t>P.O. BOX 1060</t>
  </si>
  <si>
    <t>WINDSOR,  ON,  N9A6P7,  CA</t>
  </si>
  <si>
    <t>519-972-2835</t>
  </si>
  <si>
    <t>519-969-2753</t>
  </si>
  <si>
    <t>918-465-2348</t>
  </si>
  <si>
    <t>ECII Engineered Controls International, Inc.</t>
  </si>
  <si>
    <t>Furukawa Electric North America APD</t>
  </si>
  <si>
    <t>Carlos Estrada</t>
  </si>
  <si>
    <t>cestrada@fenaapd.com</t>
  </si>
  <si>
    <t>TBD,  TBD,  ?, xxxxx</t>
  </si>
  <si>
    <t>760-768-8006</t>
  </si>
  <si>
    <t>760-768-8197</t>
  </si>
  <si>
    <t>Jeff Labbadia</t>
  </si>
  <si>
    <t>860-824-2378</t>
  </si>
  <si>
    <t>860-824-2296</t>
  </si>
  <si>
    <t>Per request of Jeff Cornell:  Added the capability of entering the final "Target Sales Margin" and having the sheet recalculate the final selling price.</t>
  </si>
  <si>
    <t>2650 Buford Highway</t>
  </si>
  <si>
    <t>300 Albers Road</t>
  </si>
  <si>
    <t>813-882-5167</t>
  </si>
  <si>
    <t>KING TECHNOLOGIES</t>
  </si>
  <si>
    <t>BOB HOLMES</t>
  </si>
  <si>
    <t>KAWASAKI MOTORS INC</t>
  </si>
  <si>
    <t>Ben Tomblinson, TS Kaminski &amp; Co.</t>
  </si>
  <si>
    <t>270-659-2926</t>
  </si>
  <si>
    <t>270-651-9276</t>
  </si>
  <si>
    <t>01149-2333-791-4583 or 4502</t>
  </si>
  <si>
    <t>Carolina Assembly Components, Inc</t>
  </si>
  <si>
    <t>William E. Reese</t>
  </si>
  <si>
    <t>JAMES.KOZLOWSKI@menasha.com</t>
  </si>
  <si>
    <t>American Technical Center</t>
  </si>
  <si>
    <t>Acceso II #43, Fraec. Ind. Benito Juarez</t>
  </si>
  <si>
    <t>G:\Departmt\67ESTIMA\Excel Quotes\Quote Tracker1.mdb</t>
  </si>
  <si>
    <t>Quantity1</t>
  </si>
  <si>
    <t>Quantity2</t>
  </si>
  <si>
    <t>MARK CRAWFORD</t>
  </si>
  <si>
    <t>650 ALPHA DRIVE</t>
  </si>
  <si>
    <t>The mold will be built to the resin manufacturers recommended shrinkage by isotropic scaling the customer supplied database.</t>
  </si>
  <si>
    <t>Quotation is based on customer furnishing all required inserts with a ___% scrap allowance at no cost to Thermotech.</t>
  </si>
  <si>
    <t>Discussion is required on print tolerances prior to acceptance of a purchase order, some dimensions exceed injection molding capabilities.</t>
  </si>
  <si>
    <t>1450 FIRST STREET</t>
  </si>
  <si>
    <t>WABASH,  IN,  46992,  US</t>
  </si>
  <si>
    <t>MEDTRONIC INC.</t>
  </si>
  <si>
    <t>1851 DEERE AVE.</t>
  </si>
  <si>
    <t>SANTA ANA,  CA,  92705,  US</t>
  </si>
  <si>
    <t>617-926-6400 EXT. 8109</t>
  </si>
  <si>
    <t>617-926-6947</t>
  </si>
  <si>
    <t>MuCell Matl. Variable</t>
  </si>
  <si>
    <t>MuCell Press Variable</t>
  </si>
  <si>
    <t>Cycle</t>
  </si>
  <si>
    <t>Northbrook,  IL,  60062-1840,  US</t>
  </si>
  <si>
    <t>The Chamberlain Group, inc.</t>
  </si>
  <si>
    <t>MS 1300</t>
  </si>
  <si>
    <t>414-247-3517</t>
  </si>
  <si>
    <t>414-247-3329</t>
  </si>
  <si>
    <t>7251 Zell Miller Parkway</t>
  </si>
  <si>
    <t>Regensburg,Germany,  ,  ,  DE</t>
  </si>
  <si>
    <t>Greg Linville</t>
  </si>
  <si>
    <t>PHILIP.SWIGGUM@menasha.com</t>
  </si>
  <si>
    <t>Panther Crankshafts</t>
  </si>
  <si>
    <t>50613 Varsity Court</t>
  </si>
  <si>
    <t>Six Allroad Drive</t>
  </si>
  <si>
    <t>952-933-9472</t>
  </si>
  <si>
    <t>ITT Industries</t>
  </si>
  <si>
    <t>Steve Carty</t>
  </si>
  <si>
    <t>325 Paul Ave</t>
  </si>
  <si>
    <t>Charles Frazer</t>
  </si>
  <si>
    <t>310-354-1243</t>
  </si>
  <si>
    <t>Jerry Good</t>
  </si>
  <si>
    <t>Reell Precision Manufacturing Corp</t>
  </si>
  <si>
    <t>618-993-9371</t>
  </si>
  <si>
    <t>618-993-9394</t>
  </si>
  <si>
    <t>Lee Ann Murphy</t>
  </si>
  <si>
    <t>Family Notes:</t>
  </si>
  <si>
    <t>Pricing is per each part.</t>
  </si>
  <si>
    <t>Pricing is budgetary pending receipt of part print, CAD data and specifications.</t>
  </si>
  <si>
    <t>Parts quoted to run in a x+x cavity family mold that will make left and right hand parts and that both parts will be ordered together in sets.</t>
  </si>
  <si>
    <t>Mold Automatic - Bulk Pack</t>
  </si>
  <si>
    <t>615-230-5209</t>
  </si>
  <si>
    <t>Added "Family" note pack.</t>
  </si>
  <si>
    <t>Mold Automatic - Layer Pack</t>
  </si>
  <si>
    <t>Mold Manual - Bulk Pack</t>
  </si>
  <si>
    <t>Mold Manual - Layer Pack</t>
  </si>
  <si>
    <t>Insert Mold: Full Automation</t>
  </si>
  <si>
    <t>Insert Mold:Operator Loads Mold With Fixture</t>
  </si>
  <si>
    <t>Insert Mold:Operator Loads X-Fer Plate</t>
  </si>
  <si>
    <t>Two Shot Molding Automatic</t>
  </si>
  <si>
    <t>Two Shot Molding Manual</t>
  </si>
  <si>
    <t>Assemble With Inserts</t>
  </si>
  <si>
    <t>First Shot Molding</t>
  </si>
  <si>
    <t>Second Shot Molding</t>
  </si>
  <si>
    <t>Lugging Manual</t>
  </si>
  <si>
    <t>Lugging Automatic</t>
  </si>
  <si>
    <t>Hot Stamping</t>
  </si>
  <si>
    <t>GE Commercial Motors Casa</t>
  </si>
  <si>
    <t>Rafael Marquez</t>
  </si>
  <si>
    <t>Ave Rio Bravo #1440</t>
  </si>
  <si>
    <t>Parque Ind Rio Bravo C.P. Nvo Zaragoza D, B</t>
  </si>
  <si>
    <t>Ciudad Juarez, MX  32557</t>
  </si>
  <si>
    <t>011-52-656-649-5386</t>
  </si>
  <si>
    <t>011-52-656-649-5302</t>
  </si>
  <si>
    <t>847-360-3498</t>
  </si>
  <si>
    <t>PUR Water Purification Products</t>
  </si>
  <si>
    <t>Brian Morra</t>
  </si>
  <si>
    <t>9300 75th Avenue North</t>
  </si>
  <si>
    <t>House - Minnesota</t>
  </si>
  <si>
    <t>011-52-444-834-6471</t>
  </si>
  <si>
    <t>011-52-444-834-6416</t>
  </si>
  <si>
    <t>Available Press Hours For Program</t>
  </si>
  <si>
    <t>Proper Packaging Costs For Large Parts</t>
  </si>
  <si>
    <t>011-52-3688-0881</t>
  </si>
  <si>
    <t xml:space="preserve">Ejector </t>
  </si>
  <si>
    <t>Mfg</t>
  </si>
  <si>
    <t>Purch</t>
  </si>
  <si>
    <t>Tons</t>
  </si>
  <si>
    <t>Labor Scr. 2</t>
  </si>
  <si>
    <t>Press Scr. 1</t>
  </si>
  <si>
    <t>WATERTOWN,  NY,  13601,  US</t>
  </si>
  <si>
    <t>Press 6:</t>
  </si>
  <si>
    <t>Press 6</t>
  </si>
  <si>
    <t xml:space="preserve"> Parq. Ind. Jurica</t>
  </si>
  <si>
    <t>Judy Epperson</t>
  </si>
  <si>
    <t>101</t>
  </si>
  <si>
    <t xml:space="preserve"> *Roboshot</t>
  </si>
  <si>
    <t>2000</t>
  </si>
  <si>
    <t>110</t>
  </si>
  <si>
    <t>24,174 psi</t>
  </si>
  <si>
    <t>24</t>
  </si>
  <si>
    <t>16.1 X 16.1</t>
  </si>
  <si>
    <t>5.9</t>
  </si>
  <si>
    <t>17.7</t>
  </si>
  <si>
    <t>EATON CORP OF FLORIDA</t>
  </si>
  <si>
    <t>17.9X16.7</t>
  </si>
  <si>
    <t>26.81X25.59</t>
  </si>
  <si>
    <t>7X7, 4X16' BOTH  WAYS</t>
  </si>
  <si>
    <t>DUAL</t>
  </si>
  <si>
    <t>GEIGER</t>
  </si>
  <si>
    <t>5.98-21.96</t>
  </si>
  <si>
    <t>SQUARE D COMPANY</t>
  </si>
  <si>
    <t>6 COMMERCIAL ROAD</t>
  </si>
  <si>
    <t>HUNTINGTON,  IN,  46750,  US</t>
  </si>
  <si>
    <t>505-552-9265</t>
  </si>
  <si>
    <t>MARIA CONRADT</t>
  </si>
  <si>
    <t>Guelph,  ON,  N1H 7K9,  CA</t>
  </si>
  <si>
    <t>Material 11 Cost:</t>
  </si>
  <si>
    <t>Material 11 Price:</t>
  </si>
  <si>
    <t>Raytech Powertrain</t>
  </si>
  <si>
    <t>Paul Fathauer</t>
  </si>
  <si>
    <t>609 E. Chaney St.</t>
  </si>
  <si>
    <t>P.O.B. 267</t>
  </si>
  <si>
    <t>Sullivan,  IN,  47882</t>
  </si>
  <si>
    <t>T. S. Kaminski &amp; Co., Inc.</t>
  </si>
  <si>
    <t>812-268-0322  Ext. 245</t>
  </si>
  <si>
    <t>Keith Beisner</t>
  </si>
  <si>
    <t>55 Jewelers Park Drive</t>
  </si>
  <si>
    <t>Neenah,  WI,  54956,  USA</t>
  </si>
  <si>
    <t>919-807-8031</t>
  </si>
  <si>
    <t>919-807-8190</t>
  </si>
  <si>
    <t>47660 HALYARD DRIVE</t>
  </si>
  <si>
    <t>PLYMOUTH,  MI,  48170,  US</t>
  </si>
  <si>
    <t>734-392-5387</t>
  </si>
  <si>
    <t>Walbro Automotive Corp Caro</t>
  </si>
  <si>
    <t>630 Columbia Street</t>
  </si>
  <si>
    <t>Caro,  MI,  48723-9588,  US</t>
  </si>
  <si>
    <t>MATSUSHITA MICROWAVE OVEN CO.</t>
  </si>
  <si>
    <t>MARVIN SWANN</t>
  </si>
  <si>
    <t>Stanadyne</t>
  </si>
  <si>
    <t>Larry Lewis</t>
  </si>
  <si>
    <t>SPRINGFIELD,  TN,  37172,  US</t>
  </si>
  <si>
    <t>Per request of Jeff Cornell: revised standard notes and added canned comments regarding databases and fully dimensions part prints.</t>
  </si>
  <si>
    <t>Value Added Per Hour:</t>
  </si>
  <si>
    <t>21.26 X 19.29</t>
  </si>
  <si>
    <t>505 King Avenue</t>
  </si>
  <si>
    <t>37-18 Northern Blvd</t>
  </si>
  <si>
    <t>Long Island City,  NY,  11101</t>
  </si>
  <si>
    <t>718-392-0200</t>
  </si>
  <si>
    <t>718-786-8247</t>
  </si>
  <si>
    <t>SoftPac Industries, Inc.</t>
  </si>
  <si>
    <t>Chris Ambrose</t>
  </si>
  <si>
    <t>12920 N.E. 125TH WAY</t>
  </si>
  <si>
    <t>KIRKLAND,  WA,  98034,  US</t>
  </si>
  <si>
    <t>919-387-7020</t>
  </si>
  <si>
    <t>Industrial Sales Tech, Inc</t>
  </si>
  <si>
    <t>414-543-9400</t>
  </si>
  <si>
    <t>T.S. Kaminski &amp; Co., Inc.</t>
  </si>
  <si>
    <t>Tyco Electronics</t>
  </si>
  <si>
    <t>Jeffrey Hoffer</t>
  </si>
  <si>
    <t>Plymouth,  MN,  55447-4440,  US</t>
  </si>
  <si>
    <t>763-258-5307</t>
  </si>
  <si>
    <t>763-258-8448</t>
  </si>
  <si>
    <t>Siemens VDO Automotive Corp.</t>
  </si>
  <si>
    <t>2700 Airport Rd.</t>
  </si>
  <si>
    <t>Suite #200</t>
  </si>
  <si>
    <t>Machine Building Divison</t>
  </si>
  <si>
    <t>MAC. 2' x 7'</t>
  </si>
  <si>
    <t xml:space="preserve"> Wittmann</t>
  </si>
  <si>
    <t>2575 W 7TH STREET</t>
  </si>
  <si>
    <t>SARASOTA,  FL,  34246,  US</t>
  </si>
  <si>
    <t>Optoelectronics Products Division</t>
  </si>
  <si>
    <t>1 Alexander Place</t>
  </si>
  <si>
    <t>Glen Cove,  NY,  11542,  US</t>
  </si>
  <si>
    <t>516-682-7760</t>
  </si>
  <si>
    <t>516-682-7775</t>
  </si>
  <si>
    <t>Shelby,  NC,  28150,  US</t>
  </si>
  <si>
    <t>704-481-1741</t>
  </si>
  <si>
    <t>DAYRON</t>
  </si>
  <si>
    <t>BOHEMIA,  NY,  11716,  US</t>
  </si>
  <si>
    <t>1020 Adelaide St S</t>
  </si>
  <si>
    <t>London,  ON,  N6E 1R6,  CA</t>
  </si>
  <si>
    <t>Printed By:</t>
  </si>
  <si>
    <t>200m</t>
  </si>
  <si>
    <t>Parque Industrial El Bosque II</t>
  </si>
  <si>
    <t>Tlaquepaque,  Jalisco,  Mexico  45590</t>
  </si>
  <si>
    <t>011-52-33-3208-5400</t>
  </si>
  <si>
    <t>011-52-33-3601-2952</t>
  </si>
  <si>
    <t>Daesung Electric Co., Ltd.</t>
  </si>
  <si>
    <t>915-860-7057</t>
  </si>
  <si>
    <t>Diametrics</t>
  </si>
  <si>
    <t>Marty Hieb</t>
  </si>
  <si>
    <t>2658 Patton Road</t>
  </si>
  <si>
    <t>Roseville,  MN,  55113,  US</t>
  </si>
  <si>
    <t>Plant2103 Address</t>
  </si>
  <si>
    <t>MR. FRANK HAYAKAWA</t>
  </si>
  <si>
    <t>414-354-2411</t>
  </si>
  <si>
    <t>414-354-2421</t>
  </si>
  <si>
    <t>Beta Transformer Technology Corp.</t>
  </si>
  <si>
    <t>Peter Buttner</t>
  </si>
  <si>
    <t>11.8</t>
  </si>
  <si>
    <t>25.6</t>
  </si>
  <si>
    <t>225</t>
  </si>
  <si>
    <t>202</t>
  </si>
  <si>
    <t>1998</t>
  </si>
  <si>
    <t>250</t>
  </si>
  <si>
    <t>10.57</t>
  </si>
  <si>
    <t>27.018 psi</t>
  </si>
  <si>
    <t>Press 6 Tonnage:</t>
  </si>
  <si>
    <t>CAROLINA ASSEMBLY COMPONENTS</t>
  </si>
  <si>
    <t>717-569-0485</t>
  </si>
  <si>
    <t>Mike Pritchett</t>
  </si>
  <si>
    <t>915-779-0411</t>
  </si>
  <si>
    <t>Per Tim Hardwick's request: Added Cav 1 and 2 scenario's to each press line.   Based on the scenario indicator selected the cavities list above will default in or you can override the defaults and list any cavitation needed.  Also eliminated the secondary ops lines.</t>
  </si>
  <si>
    <t>800 Heath St</t>
  </si>
  <si>
    <t>Plasticos Especializados Mexicanos</t>
  </si>
  <si>
    <t>Carlos G. Hernandez</t>
  </si>
  <si>
    <t>MARK SIRBAUGH</t>
  </si>
  <si>
    <t>188 BROOKE ROAD</t>
  </si>
  <si>
    <t>248-608-6899</t>
  </si>
  <si>
    <t>Ed Duffy</t>
  </si>
  <si>
    <t>937-454-2336</t>
  </si>
  <si>
    <t>Meed Fluid Dynamics, Inc.</t>
  </si>
  <si>
    <t>Robert Burnett</t>
  </si>
  <si>
    <t>4114 North Knox Avenue</t>
  </si>
  <si>
    <t>Chicago,  IL,  60641,  US</t>
  </si>
  <si>
    <t>Hank Hofeler</t>
  </si>
  <si>
    <t>Eastman Kodak Co.</t>
  </si>
  <si>
    <t>REX ENGINEERING</t>
  </si>
  <si>
    <t>1200 CHAFFEE DRIVE</t>
  </si>
  <si>
    <t>TITUSVILLE,  FL,  32780,  US</t>
  </si>
  <si>
    <t>Variable Overhead Sub-Total</t>
  </si>
  <si>
    <t>Supervision</t>
  </si>
  <si>
    <t>Ejection</t>
  </si>
  <si>
    <t>Average Wall</t>
  </si>
  <si>
    <t>Total Cycle</t>
  </si>
  <si>
    <t>Press 3:</t>
  </si>
  <si>
    <t>PLYMOUTH,  MN,  55447,  US</t>
  </si>
  <si>
    <t>765-646-2126</t>
  </si>
  <si>
    <t>Pulse.ECM</t>
  </si>
  <si>
    <t>St. Cloud,  FL,  34769,  US</t>
  </si>
  <si>
    <t>Findlay,  OH,  45840,  US</t>
  </si>
  <si>
    <t>419-425-6725</t>
  </si>
  <si>
    <t>419-425-6729</t>
  </si>
  <si>
    <t>Hot Runner Variable</t>
  </si>
  <si>
    <t>612-887-9114</t>
  </si>
  <si>
    <t>as a percent to sales is much greater in producing minimum quantities.</t>
  </si>
  <si>
    <t>519-680-5578</t>
  </si>
  <si>
    <t>BORG WARNER</t>
  </si>
  <si>
    <t>1350 Franklin Grove Rd</t>
  </si>
  <si>
    <t>801 Scholz Drive</t>
  </si>
  <si>
    <t>P.O. Box 427</t>
  </si>
  <si>
    <t>Coil Specialty Company, Inc.</t>
  </si>
  <si>
    <t>Linda Lansberry</t>
  </si>
  <si>
    <t>Minneapolis,  MN,  55409,  US</t>
  </si>
  <si>
    <t>612-339-7521</t>
  </si>
  <si>
    <t>612-339-0963</t>
  </si>
  <si>
    <t>MARATHON ELECTRIC</t>
  </si>
  <si>
    <t>Direction des Achats Europe Zone industrielle</t>
  </si>
  <si>
    <t>Kris B. Mauldin</t>
  </si>
  <si>
    <t>Tooling:</t>
  </si>
  <si>
    <t>2509 Hayes Ave.</t>
  </si>
  <si>
    <t>Mail Code - SN-040</t>
  </si>
  <si>
    <t>MASS PRECISION SHEETMETAL INC.</t>
  </si>
  <si>
    <t>2070 OLD OAKLAND ROAD</t>
  </si>
  <si>
    <t>Resin</t>
  </si>
  <si>
    <t>Improved the formatting of several of the pop up message boxes.</t>
  </si>
  <si>
    <t>LINDA KENNEDY</t>
  </si>
  <si>
    <t>Cascade Marketing Inc.</t>
  </si>
  <si>
    <t>Kris Mauldin</t>
  </si>
  <si>
    <t>Avail</t>
  </si>
  <si>
    <t>Melt</t>
  </si>
  <si>
    <t>P.O. BOX 180</t>
  </si>
  <si>
    <t>YANKTON,  SD,  57078,  US</t>
  </si>
  <si>
    <t>The L.S. Starrett Company</t>
  </si>
  <si>
    <t>121 Crescent Street</t>
  </si>
  <si>
    <t>Eaton Corporation: Automotive Controls Division</t>
  </si>
  <si>
    <t>Eugenia Acosta</t>
  </si>
  <si>
    <t>615 Elca Lane, Suite A</t>
  </si>
  <si>
    <t>Brownsville,  TX,  78521,  US</t>
  </si>
  <si>
    <t>FEDERAL MOGUL</t>
  </si>
  <si>
    <t>ELECTRO-MECHANISMS, INC.</t>
  </si>
  <si>
    <t>ROY SURJONO</t>
  </si>
  <si>
    <t>990 AMELIA AVE.</t>
  </si>
  <si>
    <t>Queretaro,  Queretaro,  MX,  76100</t>
  </si>
  <si>
    <t>700 Westpark Dr.</t>
  </si>
  <si>
    <t>Peachtree,  GA,  30269,  US</t>
  </si>
  <si>
    <t>262-560-5841</t>
  </si>
  <si>
    <t>Inspection Station</t>
  </si>
  <si>
    <t>49.941.790.3607</t>
  </si>
  <si>
    <t>011-52-4218-0717</t>
  </si>
  <si>
    <t>Cummins, S. de R.L. de C.V.</t>
  </si>
  <si>
    <t>Migual Aranda</t>
  </si>
  <si>
    <t>Lighting &amp; Electrical Division</t>
  </si>
  <si>
    <t>101 Industrial Boulevard</t>
  </si>
  <si>
    <t>Logansport,  IN,  46947,  US</t>
  </si>
  <si>
    <t>Microswitch Division Of Honeywell</t>
  </si>
  <si>
    <t>St. Joesph,  MI,  49085-9217,  US</t>
  </si>
  <si>
    <t>The effective price increase date will be</t>
  </si>
  <si>
    <t>Kurz-Kasch</t>
  </si>
  <si>
    <t>David R. Hardwick</t>
  </si>
  <si>
    <t>179 Park Drive</t>
  </si>
  <si>
    <t>Wilmington,  OH,  45177,  US</t>
  </si>
  <si>
    <t>937-382-2202</t>
  </si>
  <si>
    <t>8182 U.S. 70 WEST</t>
  </si>
  <si>
    <t>Vistar, Sa de CV (Moulinex)</t>
  </si>
  <si>
    <t>Luis Pazdio</t>
  </si>
  <si>
    <t>Autopista Queretaro-Irapuato Km. 36</t>
  </si>
  <si>
    <t xml:space="preserve">microvoids ranging from 5-100 microns in size.  The parts are different from both gas assist molded parts and structural </t>
  </si>
  <si>
    <t>Cool Time Factor</t>
  </si>
  <si>
    <t>Diameter (Inches)</t>
  </si>
  <si>
    <t>Length (Inches)</t>
  </si>
  <si>
    <t>Width (Inches)</t>
  </si>
  <si>
    <t xml:space="preserve">Total Area </t>
  </si>
  <si>
    <t>Tonnage Req.</t>
  </si>
  <si>
    <t>Tonnage Calculator:</t>
  </si>
  <si>
    <t>Three Plate</t>
  </si>
  <si>
    <t>Two Plate</t>
  </si>
  <si>
    <t xml:space="preserve">Mold Type </t>
  </si>
  <si>
    <t>18 x 15.62</t>
  </si>
  <si>
    <t>Mnoga@Globe-Motors.com</t>
  </si>
  <si>
    <t>100</t>
  </si>
  <si>
    <t>SR1013</t>
  </si>
  <si>
    <t>2</t>
  </si>
  <si>
    <t>3</t>
  </si>
  <si>
    <t xml:space="preserve">Bulk Packaging </t>
  </si>
  <si>
    <t>MAGNETEK</t>
  </si>
  <si>
    <t>MICHAEL J. SMALLING</t>
  </si>
  <si>
    <t>1430 WALL TRIANA HIGHWAY</t>
  </si>
  <si>
    <t>12112 Rojas Drive</t>
  </si>
  <si>
    <t>Suite B</t>
  </si>
  <si>
    <t>MORGANITE INC.</t>
  </si>
  <si>
    <t>ONE MORGANITE DRIVE</t>
  </si>
  <si>
    <t>Mercedes Alfaro</t>
  </si>
  <si>
    <t>615-A Elca Lane</t>
  </si>
  <si>
    <t>956-548-9666</t>
  </si>
  <si>
    <t>2919 Commonwealth Blvd.</t>
  </si>
  <si>
    <t>MADISON,  AL,  35756,  US</t>
  </si>
  <si>
    <t>agreed on measurement methods and gaging requirements for this program.</t>
  </si>
  <si>
    <t>Peachtree City,  GA,  30269,  US</t>
  </si>
  <si>
    <t>1265 Grey Fox Road</t>
  </si>
  <si>
    <t>St. Paul,  MN,  55112,  US</t>
  </si>
  <si>
    <t>Graphite</t>
  </si>
  <si>
    <t>Brent Garson</t>
  </si>
  <si>
    <t>Per request of Jeff Cornell:  Added Tim Hardwick to the estimating list and added color blue for Tim.  At Jim's request, corrected the cost breakdown to include corrected labor rates and four resins and buyouts.</t>
  </si>
  <si>
    <t>Cust Inquiry:</t>
  </si>
  <si>
    <t>Date Received:</t>
  </si>
  <si>
    <t>Date Due:</t>
  </si>
  <si>
    <t>101 INDUSTRIAL BLVD.</t>
  </si>
  <si>
    <t>Added 3% and 5% price development buttons for Pat Caron.  Added a second run qty column that will allow us to quote two scenario's and upto five quantities or one scenario and upto ten quantities.  Adjusted the customer output to reflect the 10 run quantities.</t>
  </si>
  <si>
    <t>Buyout Price:</t>
  </si>
  <si>
    <t>Tooling definition, Everyone downstream must understand if the customer’s requirements exceed what was quoted.</t>
  </si>
  <si>
    <t>Quote all three plants.</t>
  </si>
  <si>
    <t>Fracc. Ind. Benito Juarez</t>
  </si>
  <si>
    <t>Calle 2 No. 7</t>
  </si>
  <si>
    <t>C.P. 76120 Queretaro, Qro,  ,  ,  MX</t>
  </si>
  <si>
    <t>248-754-2000</t>
  </si>
  <si>
    <t>248-754-7365</t>
  </si>
  <si>
    <t>Nance Roberts</t>
  </si>
  <si>
    <t>4421 Waterfront Dr.</t>
  </si>
  <si>
    <t>Project Analyst Comments:</t>
  </si>
  <si>
    <t>no</t>
  </si>
  <si>
    <t>VerteX</t>
  </si>
  <si>
    <t>Siloam Springs,  AR,  72761,  US</t>
  </si>
  <si>
    <t>NEWARK,  DE,  19714-6026,  US</t>
  </si>
  <si>
    <t>302-631-6867</t>
  </si>
  <si>
    <t>302-631-6736</t>
  </si>
  <si>
    <t>Prettl de Mexico</t>
  </si>
  <si>
    <t>Markus Iseli</t>
  </si>
  <si>
    <t>AVIONICS SPECIALTIES, INC.</t>
  </si>
  <si>
    <t>PAT COLLIER</t>
  </si>
  <si>
    <t>P.O. BOX 6400</t>
  </si>
  <si>
    <t>4700 - 21st Street</t>
  </si>
  <si>
    <t>Racine,  WI  53143</t>
  </si>
  <si>
    <t>262-554-3520</t>
  </si>
  <si>
    <t>262-554-3636</t>
  </si>
  <si>
    <t>941-458-7720</t>
  </si>
  <si>
    <t>VENTAX</t>
  </si>
  <si>
    <t>TY-150</t>
  </si>
  <si>
    <t>120mm x 4, 8", 4" x 16" see print</t>
  </si>
  <si>
    <t>FANUC 180is</t>
  </si>
  <si>
    <t>52mm</t>
  </si>
  <si>
    <t>Star 800FM</t>
  </si>
  <si>
    <t>11.8 - 25.6</t>
  </si>
  <si>
    <t>24.8x24.8</t>
  </si>
  <si>
    <t>Commission %</t>
  </si>
  <si>
    <t>Added a hidden column "E" to Sales Data sheet which holds the commission percent by rep group.  When we enter a rep number, the routine will check this column for any rep commission value and place it on the quote entry sheet.</t>
  </si>
  <si>
    <t>Alejandro Fiero / Marco Guzman</t>
  </si>
  <si>
    <t>Apartado Postal 31-105</t>
  </si>
  <si>
    <t>McKean and Textile Roads</t>
  </si>
  <si>
    <t>ABBEVILLE INDUSTRIAL PARK</t>
  </si>
  <si>
    <t>Denton,  TX,  76205</t>
  </si>
  <si>
    <t>ORTECH</t>
  </si>
  <si>
    <t>Randy Hays</t>
  </si>
  <si>
    <t>2806 N. Industrial Road</t>
  </si>
  <si>
    <t>CELL</t>
  </si>
  <si>
    <t>7" BOTHWAYS, 4' x 16"</t>
  </si>
  <si>
    <t>133</t>
  </si>
  <si>
    <t>MIU-8</t>
  </si>
  <si>
    <t>6", 7", 16"</t>
  </si>
  <si>
    <t>15.98 x 15.98</t>
  </si>
  <si>
    <t>Dist HxV</t>
  </si>
  <si>
    <t>Picker</t>
  </si>
  <si>
    <t>PROVIDENCE,  RI,  02907,  US</t>
  </si>
  <si>
    <t>BECKY SMITH</t>
  </si>
  <si>
    <t>300 NORTH VINE STREET</t>
  </si>
  <si>
    <t>Tool Maint. Price:</t>
  </si>
  <si>
    <t>Amort. Note:</t>
  </si>
  <si>
    <t>The tooling price is being amortized into the piece part price over a maximum period of 12 months and XXXX pieces.  If after 12 months the</t>
  </si>
  <si>
    <t>CLEARWATER,  FL,  33765,  US</t>
  </si>
  <si>
    <t>Carr. Constitucion A SLP, Km 9.6, Parq. Ind. Jurica</t>
  </si>
  <si>
    <t>Queretaro, Queretaro,  76120,  Mexico</t>
  </si>
  <si>
    <t>011-52-4238-9000</t>
  </si>
  <si>
    <t>ASMO NORTH CAROLINA, INC.</t>
  </si>
  <si>
    <t>DAN SCOTT</t>
  </si>
  <si>
    <t>470 CRAWFORD ROAD</t>
  </si>
  <si>
    <t>Eje CENTRAL 5AHOP No.245</t>
  </si>
  <si>
    <t>Sensor Cables Automotive de Mexico, SA de CV</t>
  </si>
  <si>
    <t>Mathias K. Konrad &amp; Ernesto Cervantes</t>
  </si>
  <si>
    <t>601B CAMPUS DR</t>
  </si>
  <si>
    <t>ARLINGTON HEIGHTS,  IL,  60004,  US</t>
  </si>
  <si>
    <t>617-246-4000</t>
  </si>
  <si>
    <t>UNITED TECHNOLOGIES</t>
  </si>
  <si>
    <t>INTERF</t>
  </si>
  <si>
    <t>5.9-?</t>
  </si>
  <si>
    <t>Charleston,  SC,  29418,  US</t>
  </si>
  <si>
    <t>Material 7 Cost:</t>
  </si>
  <si>
    <t>Material 7 Price:</t>
  </si>
  <si>
    <t>EDINA,  MN,  55345,  US</t>
  </si>
  <si>
    <t>612-926-9440</t>
  </si>
  <si>
    <t>612-926-9571</t>
  </si>
  <si>
    <t>CEI Co. Ltd.</t>
  </si>
  <si>
    <t>Dean Solon</t>
  </si>
  <si>
    <t>CARPENTERSVILLE,  IL,  60110,  US</t>
  </si>
  <si>
    <t>Telex Communications, Inc.</t>
  </si>
  <si>
    <t>Greg Wright</t>
  </si>
  <si>
    <t>9600 Aldrich Avenue South</t>
  </si>
  <si>
    <t>Troy,  Michigan,  48084-7155,  US</t>
  </si>
  <si>
    <t>248-655-0678</t>
  </si>
  <si>
    <t>248-655-8360</t>
  </si>
  <si>
    <t>Timothy M. Lee</t>
  </si>
  <si>
    <t>SWEPSONVILLE,  NC,  27359,  US</t>
  </si>
  <si>
    <t>Billy Rahaim</t>
  </si>
  <si>
    <t>937-229-8537</t>
  </si>
  <si>
    <t>901-641-9961</t>
  </si>
  <si>
    <t>Tooling maintenance is guaranteed for the life of this program.</t>
  </si>
  <si>
    <t>Fauglia (PI),  Italy,  56040</t>
  </si>
  <si>
    <t>52-333-915-2785</t>
  </si>
  <si>
    <t>52-333-684-7440</t>
  </si>
  <si>
    <t xml:space="preserve">daw@siemens.com </t>
  </si>
  <si>
    <t>SUITE 5800</t>
  </si>
  <si>
    <t>Final Price W/O Comm:</t>
  </si>
  <si>
    <t>This part price increase is due to increased raw material cost.</t>
  </si>
  <si>
    <t>P.O. BOX 1297</t>
  </si>
  <si>
    <t>707 NORTH STREET</t>
  </si>
  <si>
    <t>Coin Acceptors, Inc.</t>
  </si>
  <si>
    <t>Don Post</t>
  </si>
  <si>
    <t>South Bend,  IN,  46634,  US</t>
  </si>
  <si>
    <t>THERMOTECH DIRECT PAT CARON</t>
  </si>
  <si>
    <t>Jack Martin</t>
  </si>
  <si>
    <t>900 North State St.</t>
  </si>
  <si>
    <t>Elgin, IL,  60123-2193,  US</t>
  </si>
  <si>
    <t>RONALD C OWENS</t>
  </si>
  <si>
    <t>847-742-7840</t>
  </si>
  <si>
    <t>Elon,  NC,  27244</t>
  </si>
  <si>
    <t>D.Francis</t>
  </si>
  <si>
    <t>968 BRADLEY STREET</t>
  </si>
  <si>
    <t>700 Park Avenue East</t>
  </si>
  <si>
    <t>P.O. Box 2014</t>
  </si>
  <si>
    <t>Mike Hambor</t>
  </si>
  <si>
    <t>952-933-9471</t>
  </si>
  <si>
    <t>MIKE.HAMBOR@menasha.com</t>
  </si>
  <si>
    <t>Price Adjuster:</t>
  </si>
  <si>
    <t>Avenida La Griega #121</t>
  </si>
  <si>
    <t>Km. 28.5 Carr. Qro-S.L.P.</t>
  </si>
  <si>
    <t>Gary Staffanson</t>
  </si>
  <si>
    <t>952-933-9413</t>
  </si>
  <si>
    <t>GARY.STAFFANSON@menasha.com</t>
  </si>
  <si>
    <t>E1019</t>
  </si>
  <si>
    <t>Charley Carlson</t>
  </si>
  <si>
    <t>952-988-9529</t>
  </si>
  <si>
    <t>km 416 # 3900</t>
  </si>
  <si>
    <t>BALTIMORE,  MD,  21231,  US</t>
  </si>
  <si>
    <t>PO Box 100943</t>
  </si>
  <si>
    <t>Perlick Corporation</t>
  </si>
  <si>
    <t>8300 W. Good Hope Road</t>
  </si>
  <si>
    <t>Milwaukee,  WI,  53223,  US</t>
  </si>
  <si>
    <t>Multicraft Industries</t>
  </si>
  <si>
    <t>Parq. Ind. Nacional</t>
  </si>
  <si>
    <t>12506 Underhill Dr</t>
  </si>
  <si>
    <t>Cav Transducer</t>
  </si>
  <si>
    <t>Pins</t>
  </si>
  <si>
    <t>Sleeves</t>
  </si>
  <si>
    <t>Hot Runner:</t>
  </si>
  <si>
    <t>Outside Quoted Cost:</t>
  </si>
  <si>
    <t>Sub-Total Buyouts:</t>
  </si>
  <si>
    <t>Water Lines</t>
  </si>
  <si>
    <t>Electrodes Cavity</t>
  </si>
  <si>
    <t>EDM Cavity</t>
  </si>
  <si>
    <t>Venting Cavity</t>
  </si>
  <si>
    <t>Three Plate Gates</t>
  </si>
  <si>
    <t>Mechanical Slide</t>
  </si>
  <si>
    <t>Hydraulic Slide</t>
  </si>
  <si>
    <t>Angled Lifter</t>
  </si>
  <si>
    <t>Floating A Plate</t>
  </si>
  <si>
    <t>Floating B Plate</t>
  </si>
  <si>
    <t xml:space="preserve">Unscrewing </t>
  </si>
  <si>
    <t>Force</t>
  </si>
  <si>
    <t>Electrodes Force</t>
  </si>
  <si>
    <t>EDM Force</t>
  </si>
  <si>
    <t>Venting Force</t>
  </si>
  <si>
    <t>Spare Components</t>
  </si>
  <si>
    <t>JOHNSON ELECTRIC AUTOMOTIVE</t>
  </si>
  <si>
    <t>904 BILLY MITCHELL BLVD.</t>
  </si>
  <si>
    <t>ELECTRONIC ASSEMBLY CORP.</t>
  </si>
  <si>
    <t>P.O. BOX 529</t>
  </si>
  <si>
    <t>22.4x22.4</t>
  </si>
  <si>
    <t>S100-1848</t>
  </si>
  <si>
    <t>900 CLYMER AVENUE</t>
  </si>
  <si>
    <t>SELLERSVILLE,  PA,  18960,  US</t>
  </si>
  <si>
    <t>BELFORT INSTRUMENT CO.</t>
  </si>
  <si>
    <t>Total/M</t>
  </si>
  <si>
    <t>GFL Calc.</t>
  </si>
  <si>
    <t>Auto. Cost</t>
  </si>
  <si>
    <t>12112 ROJAS DR</t>
  </si>
  <si>
    <t>J. N. CHUCK POWELL, C.P.M.</t>
  </si>
  <si>
    <t>22.4x21.7</t>
  </si>
  <si>
    <t>QUICK</t>
  </si>
  <si>
    <t>MT</t>
  </si>
  <si>
    <t>none</t>
  </si>
  <si>
    <t>Center KO</t>
  </si>
  <si>
    <t>SMT</t>
  </si>
  <si>
    <t>ROBOSHOT</t>
  </si>
  <si>
    <t>Lago Products, Ltd</t>
  </si>
  <si>
    <t>Oscar Lozano</t>
  </si>
  <si>
    <t>42A Butterfield Trail</t>
  </si>
  <si>
    <t>915-881-1600</t>
  </si>
  <si>
    <t>915-881-1604</t>
  </si>
  <si>
    <t>Material 6 Cost:</t>
  </si>
  <si>
    <t>Material 6 Price:</t>
  </si>
  <si>
    <t>Bill Pessel</t>
  </si>
  <si>
    <t>011-52-8319-7735</t>
  </si>
  <si>
    <t>573-368-5901</t>
  </si>
  <si>
    <t>573-368-0911</t>
  </si>
  <si>
    <t>LUCENT TECHNOLOGIES</t>
  </si>
  <si>
    <t>12000 I STREET</t>
  </si>
  <si>
    <t>Pull</t>
  </si>
  <si>
    <t>(lbs)</t>
  </si>
  <si>
    <t>To supply gear related steel, WEDM cutter paths, inspection, production gages with gear master.</t>
  </si>
  <si>
    <t>Rochester Operations</t>
  </si>
  <si>
    <t>Thomas Regisrty</t>
  </si>
  <si>
    <t>915-783-1088</t>
  </si>
  <si>
    <t>Atlantic Tool &amp; Die Company</t>
  </si>
  <si>
    <t>Joe Pace</t>
  </si>
  <si>
    <t>Indigo Medical Products Inc.</t>
  </si>
  <si>
    <t>Michael A. Wilson</t>
  </si>
  <si>
    <t>Johnson &amp; Johnson Company</t>
  </si>
  <si>
    <t>Added "clear customer quote" sheet sub routine and changed term "cure time" to cooling time.</t>
  </si>
  <si>
    <t>Thermotech</t>
  </si>
  <si>
    <t>1202 South Fifth Street</t>
  </si>
  <si>
    <t>Hopkins,  MN,  55343,  USA</t>
  </si>
  <si>
    <t>952-933-9400</t>
  </si>
  <si>
    <t>Elizabeth P. Patton</t>
  </si>
  <si>
    <t>520-761-5640</t>
  </si>
  <si>
    <t>520-377-6640</t>
  </si>
  <si>
    <t>Bolt-On Plate</t>
  </si>
  <si>
    <t>Texture</t>
  </si>
  <si>
    <t>Does This Quote Make Sense</t>
  </si>
  <si>
    <t>ROBERT OFAVELA</t>
  </si>
  <si>
    <t>7801 TRADE CENTER AVENUE</t>
  </si>
  <si>
    <t>David DeVoe</t>
  </si>
  <si>
    <t>CAMPCO de Mexico</t>
  </si>
  <si>
    <t>West Nyack,  NY,  10994,  US</t>
  </si>
  <si>
    <t>914-358-6000</t>
  </si>
  <si>
    <t>914-358-6277</t>
  </si>
  <si>
    <t>ABB Power T&amp;D Company, Inc.</t>
  </si>
  <si>
    <t>Gary Murphy</t>
  </si>
  <si>
    <t>102 Miller Street</t>
  </si>
  <si>
    <t>Optoelectronics Center</t>
  </si>
  <si>
    <t>9999 Hamilton Blvd.</t>
  </si>
  <si>
    <t>Shell Rock,  IA,  50670</t>
  </si>
  <si>
    <t>319-885-6564</t>
  </si>
  <si>
    <t>319-885-6718</t>
  </si>
  <si>
    <t>Amir Abid and Wes Harmelink</t>
  </si>
  <si>
    <t>Tonjia L. Moore</t>
  </si>
  <si>
    <t>334-821-7999</t>
  </si>
  <si>
    <t>334-502-2242</t>
  </si>
  <si>
    <t>Balatron</t>
  </si>
  <si>
    <t>Sergio Chavolla</t>
  </si>
  <si>
    <t>Acceso A # 101</t>
  </si>
  <si>
    <t>Blvd. Bernardo Quintana 139</t>
  </si>
  <si>
    <t>Resin Scr. Two:</t>
  </si>
  <si>
    <t>GE Resin</t>
  </si>
  <si>
    <t>Dupont</t>
  </si>
  <si>
    <t>Ticona</t>
  </si>
  <si>
    <t>Durez</t>
  </si>
  <si>
    <t>Plenco</t>
  </si>
  <si>
    <t>Dayson</t>
  </si>
  <si>
    <t>Annual Sales Plus Tool:</t>
  </si>
  <si>
    <t>Annual Sales Dollars:</t>
  </si>
  <si>
    <t>US SURGICAL CORP</t>
  </si>
  <si>
    <t>150 GLOVER AVE</t>
  </si>
  <si>
    <t>NORWALK,  CT,  06856,  US</t>
  </si>
  <si>
    <t>Guadalajara. Jal. 44870,  ,  ,  MX</t>
  </si>
  <si>
    <t>52.3.668.3313</t>
  </si>
  <si>
    <t>TRACY HOLMAN</t>
  </si>
  <si>
    <t>Added new logo and added note to standard notes and insert notes regarding databases.  Altered customer quote form to fit new logo.</t>
  </si>
  <si>
    <t>each application may vary depending on part geometry and material type.</t>
  </si>
  <si>
    <t>Pcs/Hrs1</t>
  </si>
  <si>
    <t>Pcs/Hrs2</t>
  </si>
  <si>
    <t>Scr. 1</t>
  </si>
  <si>
    <t>Scr. 2</t>
  </si>
  <si>
    <t>Quote Contact:</t>
  </si>
  <si>
    <t>Metric:</t>
  </si>
  <si>
    <t>Dept. AJ3A</t>
  </si>
  <si>
    <t>Rochester,  MN,  55901,  US</t>
  </si>
  <si>
    <t>Minnesota Center</t>
  </si>
  <si>
    <t>7" HORIZONTAL, 4" x 16" BOTHWAYS</t>
  </si>
  <si>
    <t>486C</t>
  </si>
  <si>
    <t>2945 Three Leaves Dr.</t>
  </si>
  <si>
    <t>Roberto Salazar</t>
  </si>
  <si>
    <t>Teresa Dight</t>
  </si>
  <si>
    <t>1265 East Sanborn Street</t>
  </si>
  <si>
    <t>Cavities</t>
  </si>
  <si>
    <t>Shot size/m</t>
  </si>
  <si>
    <t>PRECISE</t>
  </si>
  <si>
    <t>CINCH CONNECTORS</t>
  </si>
  <si>
    <t>JOHN TETLAK</t>
  </si>
  <si>
    <t>219-479-4100</t>
  </si>
  <si>
    <t>219-478-1074</t>
  </si>
  <si>
    <t>Press 2</t>
  </si>
  <si>
    <t>Press 3</t>
  </si>
  <si>
    <t>SecOps 1</t>
  </si>
  <si>
    <t>SecOps 2</t>
  </si>
  <si>
    <t>Saturn Electronics &amp; Engineering, Inc</t>
  </si>
  <si>
    <t>Bradley Kippe</t>
  </si>
  <si>
    <t>585 Glaspie Street</t>
  </si>
  <si>
    <t>Oxford,  MI,  48371</t>
  </si>
  <si>
    <t>248-969-1214</t>
  </si>
  <si>
    <t>248-628-9598</t>
  </si>
  <si>
    <t>What types of parts can be precision foamed?</t>
  </si>
  <si>
    <t>Tool Maint. Cost Scr. 2</t>
  </si>
  <si>
    <t>We must put a high value on estimating times.</t>
  </si>
  <si>
    <t>Farmington Hills,  MI,  48331-3417,  US</t>
  </si>
  <si>
    <t>248-848-6465</t>
  </si>
  <si>
    <t>248-848-6470</t>
  </si>
  <si>
    <t>Jacob Carter</t>
  </si>
  <si>
    <t>T-Fal de Mexico, SA de CV</t>
  </si>
  <si>
    <t>Luis Mejia</t>
  </si>
  <si>
    <t>561-770-0624</t>
  </si>
  <si>
    <t>Added a spell check feature and altered how amortized tool dollars get added to final price.  Amortized tooling are not part of the mfg cost build up and are added directly to final price with out mark-up.  The amortized tool value needs to include the interest we want to charge the customer.</t>
  </si>
  <si>
    <t>BAXTER BIOTECH FENWAL DIVISION</t>
  </si>
  <si>
    <t>PARQUE INDUSTRIAL CAMINO REAL</t>
  </si>
  <si>
    <t>ROAD 122, KM 0.5</t>
  </si>
  <si>
    <t>SAN GERMAN,  00683,  PR</t>
  </si>
  <si>
    <t>CME</t>
  </si>
  <si>
    <t>Guy Stevenson</t>
  </si>
  <si>
    <t>Jane Schroeder</t>
  </si>
  <si>
    <t>1038 East 15th Street</t>
  </si>
  <si>
    <t>219-589-7192</t>
  </si>
  <si>
    <t>219-589-7410</t>
  </si>
  <si>
    <t>$$ W/O Comm:</t>
  </si>
  <si>
    <t>Tot MFG Cost:</t>
  </si>
  <si>
    <t>Press 4:</t>
  </si>
  <si>
    <t>Mount Pleasant,  MI,  48858,  US</t>
  </si>
  <si>
    <t>Laura Wilson</t>
  </si>
  <si>
    <t>1000 McARTHUR MEMORIAL HWY</t>
  </si>
  <si>
    <t>WATERTOWN, IL,  13601,  US</t>
  </si>
  <si>
    <t>RTP CO</t>
  </si>
  <si>
    <t>If the attached precision foam quote looks appealing, contact your Thermotech representative for further discussion.</t>
  </si>
  <si>
    <t>313-592-2911</t>
  </si>
  <si>
    <t>Industrial Coils</t>
  </si>
  <si>
    <t>HUDSON,  WI,  54016,  US</t>
  </si>
  <si>
    <t>Automatic Switch Company</t>
  </si>
  <si>
    <t>Doug Heel</t>
  </si>
  <si>
    <t>50-56 Hanover Road</t>
  </si>
  <si>
    <t>501-724-3227</t>
  </si>
  <si>
    <t>501-724-5915</t>
  </si>
  <si>
    <t>Operator</t>
  </si>
  <si>
    <t>Minimum</t>
  </si>
  <si>
    <t>Min Cost</t>
  </si>
  <si>
    <t>Per request of Jeff and Gary, Added a "Delphi" routine to add notes in internal note section to remind estimator of special quoting terms.  Added a "ToolMargin" routine to add notes in internal note section to remind estimator of 6% upcharge for no down payment.  Added two new calculation to the summary section:  "Value Added Per Hour" and "Annual Sales Plus Tool".</t>
  </si>
  <si>
    <t>THERMOTECH HOUSE - No. CA, NV</t>
  </si>
  <si>
    <t>Second Ops</t>
  </si>
  <si>
    <t>Cost Rating:</t>
  </si>
  <si>
    <t>Equipment cost less than $ 100,000 = 2</t>
  </si>
  <si>
    <t>BOM minimum is 1.5 Pounds</t>
  </si>
  <si>
    <t>Cherry Electrical Products</t>
  </si>
  <si>
    <t>Judy Gerretsen</t>
  </si>
  <si>
    <t>847-360-3431</t>
  </si>
  <si>
    <t>Pequot Lakes,  MN,  56472,  US</t>
  </si>
  <si>
    <t>218-562-5531</t>
  </si>
  <si>
    <t>316-941-0787</t>
  </si>
  <si>
    <t>Quote entry cell F3</t>
  </si>
  <si>
    <t>THERMOTECH HOUSE - UT, CO, WY</t>
  </si>
  <si>
    <t>3M Sourcing Operations</t>
  </si>
  <si>
    <t>John J. Dorney</t>
  </si>
  <si>
    <t xml:space="preserve">                                         PLASTIC COMMODITY</t>
  </si>
  <si>
    <t xml:space="preserve">   DATE :</t>
  </si>
  <si>
    <t>Tool Cost Worksheet</t>
  </si>
  <si>
    <t>PROGRAM</t>
  </si>
  <si>
    <t>Skokie,  IL,  60076,  US</t>
  </si>
  <si>
    <r>
      <t xml:space="preserve">Margin = profit after </t>
    </r>
    <r>
      <rPr>
        <u/>
        <sz val="10"/>
        <rFont val="Arial"/>
        <family val="2"/>
      </rPr>
      <t>all</t>
    </r>
    <r>
      <rPr>
        <sz val="10"/>
        <rFont val="Arial"/>
        <family val="2"/>
      </rPr>
      <t xml:space="preserve"> costs including commissions.</t>
    </r>
  </si>
  <si>
    <t>FEDERAL MOGUL CORP.</t>
  </si>
  <si>
    <t>Elkton,  MD,  21922,  US</t>
  </si>
  <si>
    <t>410-392-4440</t>
  </si>
  <si>
    <t>Poly Hi Solidur</t>
  </si>
  <si>
    <t>YUSHIN R11</t>
  </si>
  <si>
    <t>5.9 - 13.8</t>
  </si>
  <si>
    <t>Gerhard Woerz</t>
  </si>
  <si>
    <t>Km. 12, Carretera Guadalajara-El Salto</t>
  </si>
  <si>
    <t>gwoerz@kervo.com</t>
  </si>
  <si>
    <t>El Salto,  Jalisco,  45680,  Mexico</t>
  </si>
  <si>
    <t>011-52-33-3688-1763</t>
  </si>
  <si>
    <t>011-52-33-3688-1765</t>
  </si>
  <si>
    <t>P.O. BOX 1718</t>
  </si>
  <si>
    <t>LIVONIA,  MI,  48288,  US</t>
  </si>
  <si>
    <t>800-497-0432</t>
  </si>
  <si>
    <t>P.O. BOX 343</t>
  </si>
  <si>
    <t>WINDSOR LOCKS,  CT,  06096,  US</t>
  </si>
  <si>
    <t>ANCHOR ENGINEERING INC</t>
  </si>
  <si>
    <t>MANU-TRONICS INC.</t>
  </si>
  <si>
    <t>Jeff Strehlow</t>
  </si>
  <si>
    <t>8701 100th STREET</t>
  </si>
  <si>
    <t>PLEASANT PRAIRIE,  WI,  53181,  US</t>
  </si>
  <si>
    <t>Itron Inc.</t>
  </si>
  <si>
    <t>Rich Christiansen</t>
  </si>
  <si>
    <t>2401 North State Street</t>
  </si>
  <si>
    <t>P.O. Box 1735</t>
  </si>
  <si>
    <t>603-628-7049</t>
  </si>
  <si>
    <t>603-621-7274</t>
  </si>
  <si>
    <t xml:space="preserve">Item </t>
  </si>
  <si>
    <t>Diameter:</t>
  </si>
  <si>
    <t>Length:</t>
  </si>
  <si>
    <t>Weight:</t>
  </si>
  <si>
    <t>Specific Gravity:</t>
  </si>
  <si>
    <t>Actual Part Weight/M:</t>
  </si>
  <si>
    <t>Calculated Weight/M:</t>
  </si>
  <si>
    <t>Part Weight Used:</t>
  </si>
  <si>
    <t>Calculated Volume:</t>
  </si>
  <si>
    <t xml:space="preserve">Dryer </t>
  </si>
  <si>
    <t xml:space="preserve">Sprue </t>
  </si>
  <si>
    <t xml:space="preserve">Mfg'd </t>
  </si>
  <si>
    <t>Modelo</t>
  </si>
  <si>
    <t>hor.</t>
  </si>
  <si>
    <t>Vandalia,  OH,  45377,  US</t>
  </si>
  <si>
    <t>ASSEMBLY COMPONENTS CO</t>
  </si>
  <si>
    <t>937-918-2412</t>
  </si>
  <si>
    <t>937-898-8624</t>
  </si>
  <si>
    <t>MERCURY MARINE</t>
  </si>
  <si>
    <t>7.9-25.2</t>
  </si>
  <si>
    <t>TED KUHN</t>
  </si>
  <si>
    <t xml:space="preserve">Annual press hours 2000 hours/year </t>
  </si>
  <si>
    <t>Apodaca,  NL,  Mexico,  66600</t>
  </si>
  <si>
    <t>1435 Cincinnati Street</t>
  </si>
  <si>
    <t>Dayton,  OH,  45401-1245</t>
  </si>
  <si>
    <t>Assembly Comp (Dan Noreen)</t>
  </si>
  <si>
    <t>Denso Mexico, SA de CV</t>
  </si>
  <si>
    <t>Blvd. Parque Industrial</t>
  </si>
  <si>
    <t>100 PLUMLEY DRIVE</t>
  </si>
  <si>
    <t>Lowell,  MA,  01854,  US</t>
  </si>
  <si>
    <t>978-442-4541</t>
  </si>
  <si>
    <t>978-442-4220</t>
  </si>
  <si>
    <t>Yamaver SA de CV</t>
  </si>
  <si>
    <t>10123 Alliance Road</t>
  </si>
  <si>
    <t>440-962-2770</t>
  </si>
  <si>
    <t>St. Louis,  MO,  63135,  US</t>
  </si>
  <si>
    <t>314-524-9877</t>
  </si>
  <si>
    <t>LEAR</t>
  </si>
  <si>
    <t>EAST PENN MFG. CORP.</t>
  </si>
  <si>
    <t>Update font color to red and black for toggling Mu-Cell on or off.</t>
  </si>
  <si>
    <t>25300 Al Moen Drive</t>
  </si>
  <si>
    <t>Troy, MI  48098-2815</t>
  </si>
  <si>
    <t>M/C 480-405-120</t>
  </si>
  <si>
    <t>248-813-4577</t>
  </si>
  <si>
    <t>TIM.HARDWICK@menasha.com</t>
  </si>
  <si>
    <t>Karen Christian</t>
  </si>
  <si>
    <t>Tru-Circle Precision</t>
  </si>
  <si>
    <t>Sales/Tool Ratio</t>
  </si>
  <si>
    <t xml:space="preserve">Thomas </t>
  </si>
  <si>
    <t>Brose Mexico, SA de CV</t>
  </si>
  <si>
    <t>Jorge Espino</t>
  </si>
  <si>
    <t>OTTO ENGINEERING</t>
  </si>
  <si>
    <t>Inaici de Atela</t>
  </si>
  <si>
    <t>Prol. Francisco L. Madero 149-A, 61 San Andres Atoto</t>
  </si>
  <si>
    <t>Navcalpan,  Edo.,  de  Mexico,  53500, Mexico</t>
  </si>
  <si>
    <t>011-52-5576-7599</t>
  </si>
  <si>
    <t>011-52-5576-8229</t>
  </si>
  <si>
    <t>731-660-9381</t>
  </si>
  <si>
    <t>MARYVILLE,  MO,  66468,  US</t>
  </si>
  <si>
    <t>1953 MERCER ROAD</t>
  </si>
  <si>
    <t>Advance Transformer Company</t>
  </si>
  <si>
    <t>Mile Klimavicius</t>
  </si>
  <si>
    <t>10275 W. Higgins Road</t>
  </si>
  <si>
    <t>Rosemont,  IL,  60018</t>
  </si>
  <si>
    <t>847-390-5289</t>
  </si>
  <si>
    <t>847-390-5264</t>
  </si>
  <si>
    <t>PUNTA GORDA,  FL,  33982,  US</t>
  </si>
  <si>
    <t>Samtec</t>
  </si>
  <si>
    <t>Brian R. Vicich</t>
  </si>
  <si>
    <t>520 Park East Blvd.</t>
  </si>
  <si>
    <t>P.O. Box 1147</t>
  </si>
  <si>
    <t>New Albany,  IN,  47151-1147,  US</t>
  </si>
  <si>
    <t>DANA ENGINE CONTROLS</t>
  </si>
  <si>
    <t>1425 LAKE AVENUE</t>
  </si>
  <si>
    <t>WOODSTOCK,  IL,  60098,  US</t>
  </si>
  <si>
    <t>ADTRAN, INC.</t>
  </si>
  <si>
    <t>Osram Sylvania</t>
  </si>
  <si>
    <t>Greg Morgan</t>
  </si>
  <si>
    <t>800 North Church St.</t>
  </si>
  <si>
    <t>10.24 x 10.24</t>
  </si>
  <si>
    <t>Process Controlled Components, Inc.</t>
  </si>
  <si>
    <t>940-566-2000</t>
  </si>
  <si>
    <t>Germantown,  WI,  53022,  US</t>
  </si>
  <si>
    <t>General Motors Worldwide Purchasing</t>
  </si>
  <si>
    <t>Jane Connor</t>
  </si>
  <si>
    <t>One Corporate Center</t>
  </si>
  <si>
    <t>P.O. Box 9005</t>
  </si>
  <si>
    <t>Kokomo,  IN,  46904,  US</t>
  </si>
  <si>
    <t>765-451-0322</t>
  </si>
  <si>
    <t>SCHUNK ELECTRO CARBON S A DE C V</t>
  </si>
  <si>
    <t>Smartflex Systems</t>
  </si>
  <si>
    <t>600 Northridge Drive</t>
  </si>
  <si>
    <t>MIU-10X</t>
  </si>
  <si>
    <t>847-742-9527</t>
  </si>
  <si>
    <t>Jerry Dudley</t>
  </si>
  <si>
    <t>864-260-8172</t>
  </si>
  <si>
    <t>DABNE MAIDS</t>
  </si>
  <si>
    <t>CONTROLS DIVISION</t>
  </si>
  <si>
    <t>BRETT NELSON</t>
  </si>
  <si>
    <t>3472 88TH AVE N.E.</t>
  </si>
  <si>
    <t>ST. PAUL,  MN,  55014,  US</t>
  </si>
  <si>
    <t>BWD AUTOMOTIVE</t>
  </si>
  <si>
    <t>Material 5 Price:</t>
  </si>
  <si>
    <t>Pressures</t>
  </si>
  <si>
    <t>Linear</t>
  </si>
  <si>
    <t>Die</t>
  </si>
  <si>
    <t>2104-033</t>
  </si>
  <si>
    <t>Robot Amortization</t>
  </si>
  <si>
    <t>Plant2104 Address</t>
  </si>
  <si>
    <t>Plant2104 Phone/Fax</t>
  </si>
  <si>
    <t>2500 HIGHWAY 31 SOUTH</t>
  </si>
  <si>
    <t>BAY MINETTE,  AL,  36507,  US</t>
  </si>
  <si>
    <t>FRMI</t>
  </si>
  <si>
    <t>Bill McCarty</t>
  </si>
  <si>
    <t>Altered E-Quote macro to accommodate new customer quote sheet.  Reworded some of the data validation remarks.</t>
  </si>
  <si>
    <t>9115 Hague Road</t>
  </si>
  <si>
    <t>Diehl Controls Mexico, SA de CV</t>
  </si>
  <si>
    <t>Tobias Marchese</t>
  </si>
  <si>
    <t>Ave. El Tepeyac 1730, Parq. Ind. El Tepeyac</t>
  </si>
  <si>
    <t>El Marquez, Queretaro, MX,  76250</t>
  </si>
  <si>
    <t>011-52-442-216-6665</t>
  </si>
  <si>
    <t>011-52-442-215-2118</t>
  </si>
  <si>
    <t>Tool Price Fits Program Profile</t>
  </si>
  <si>
    <t>Proper Resin Price Plus Any Freight Charges</t>
  </si>
  <si>
    <t>Part Design Reviewed For Moldability</t>
  </si>
  <si>
    <t>Qty / Box</t>
  </si>
  <si>
    <t>Plating 4</t>
  </si>
  <si>
    <t>Cost/M</t>
  </si>
  <si>
    <t>Fax: 915-779-0388</t>
  </si>
  <si>
    <t>P.O. BOX 18054</t>
  </si>
  <si>
    <t>011-52-442-211-6900</t>
  </si>
  <si>
    <t>WYNN'S PRECISION</t>
  </si>
  <si>
    <t>TODD BLAIR</t>
  </si>
  <si>
    <t>TYCO ELECTRONICS</t>
  </si>
  <si>
    <t>EL PASO,  TX,  79936,  US</t>
  </si>
  <si>
    <t>978-249-8495</t>
  </si>
  <si>
    <t>Our Representative:</t>
  </si>
  <si>
    <t>38.75 X 37.25</t>
  </si>
  <si>
    <t>Ark-Les Corporation</t>
  </si>
  <si>
    <t>Mike Skibyak  C.P.M.</t>
  </si>
  <si>
    <t>31A  Butterfield Circle</t>
  </si>
  <si>
    <t>mskibyak@ark-les.com</t>
  </si>
  <si>
    <t>915-231-3531</t>
  </si>
  <si>
    <t>915-774-8725</t>
  </si>
  <si>
    <t>618-662-4402</t>
  </si>
  <si>
    <t>618-662-4720</t>
  </si>
  <si>
    <t>300</t>
  </si>
  <si>
    <t>8.0-20.0</t>
  </si>
  <si>
    <t>24.0 X 24.0</t>
  </si>
  <si>
    <t>Ray Soriano</t>
  </si>
  <si>
    <t>P.O. Box 3450</t>
  </si>
  <si>
    <t>Chula Vista,  CA,  91909,  US</t>
  </si>
  <si>
    <t>619-661-6161</t>
  </si>
  <si>
    <t>Resin cost must be =&gt; 35% of selling price</t>
  </si>
  <si>
    <t>011-52-656-629-8291</t>
  </si>
  <si>
    <t>Technical Center Rochester</t>
  </si>
  <si>
    <t>PO Box 20366</t>
  </si>
  <si>
    <t>616-656-1595</t>
  </si>
  <si>
    <t>THOMAS BOGAARD</t>
  </si>
  <si>
    <t>678-482-2440</t>
  </si>
  <si>
    <t>Matt Hardy</t>
  </si>
  <si>
    <t>West Pimbo</t>
  </si>
  <si>
    <t>24000 Honda Parkway</t>
  </si>
  <si>
    <t>Press Tonnage</t>
  </si>
  <si>
    <t>Design-mold build</t>
  </si>
  <si>
    <t>Hot/Cold Runner</t>
  </si>
  <si>
    <t>Design-surface</t>
  </si>
  <si>
    <t>Ejection System</t>
  </si>
  <si>
    <t>Adjusted formulas per Tom B./John B. regarding commission calculation.  Added sub routine to correct external note section on customer quote sheet if ctl cut has been used verse ctl copy.</t>
  </si>
  <si>
    <t>205-655-3279</t>
  </si>
  <si>
    <t>Ametek/Dixson</t>
  </si>
  <si>
    <t>Chadd Coates</t>
  </si>
  <si>
    <t>287 27 Road</t>
  </si>
  <si>
    <t>1128 Highway 412 South</t>
  </si>
  <si>
    <t>E11506</t>
  </si>
  <si>
    <t>Minneapolis,  MN,  55447</t>
  </si>
  <si>
    <t>763-559-2613</t>
  </si>
  <si>
    <t>704-480-0612</t>
  </si>
  <si>
    <t>Quotation is based on customer supplied part weight of XXX/M and cycle time XX seconds.</t>
  </si>
  <si>
    <t xml:space="preserve">Statesboro,  GA,  30458,  US </t>
  </si>
  <si>
    <t>Motorola</t>
  </si>
  <si>
    <t>NEW PIPER AIRCRAFT</t>
  </si>
  <si>
    <t>2926 PIPER DRIVE</t>
  </si>
  <si>
    <t>812-385-8064</t>
  </si>
  <si>
    <t>ELGIN,  IL,  60123,  US</t>
  </si>
  <si>
    <t>Marlene Langley</t>
  </si>
  <si>
    <t>865-982-7000</t>
  </si>
  <si>
    <t>Assembly Components Co.</t>
  </si>
  <si>
    <t>919-776-8451</t>
  </si>
  <si>
    <t>919-774-8916</t>
  </si>
  <si>
    <t>FISCHER &amp; PORTER CO.</t>
  </si>
  <si>
    <t>To quote tooling and all non-gear related geometry, sampling, inspection, PPAP and rework</t>
  </si>
  <si>
    <t>COMPAQ</t>
  </si>
  <si>
    <t>JAMES CLOER</t>
  </si>
  <si>
    <t>Jennifer Vaughn</t>
  </si>
  <si>
    <t>Tool repair costs and or adaptation charges will not be quoted until tooling is inspected.</t>
  </si>
  <si>
    <t>WHIRLPOOL CORPORATION</t>
  </si>
  <si>
    <t>Mike Murphy</t>
  </si>
  <si>
    <t>217-357-3941  X22282</t>
  </si>
  <si>
    <t>Tom Witt</t>
  </si>
  <si>
    <t>8 - 13.5</t>
  </si>
  <si>
    <t>W194N11685 McCormick Dr.</t>
  </si>
  <si>
    <t>Special Button Calculations</t>
  </si>
  <si>
    <t>Cost Adjuster:</t>
  </si>
  <si>
    <t>Qty 4:</t>
  </si>
  <si>
    <t>Qty 5:</t>
  </si>
  <si>
    <t>Larry Burton</t>
  </si>
  <si>
    <t>955 Warwick Road</t>
  </si>
  <si>
    <t>612-427-9242</t>
  </si>
  <si>
    <t>ENDICOTT,  NY,  13760,  US</t>
  </si>
  <si>
    <t>CROSS TECHNOLOGIES</t>
  </si>
  <si>
    <t>ROBERT STORELY</t>
  </si>
  <si>
    <t>5201 EDEN CIRCLE</t>
  </si>
  <si>
    <t>860-496-3643</t>
  </si>
  <si>
    <t>218-562-5545</t>
  </si>
  <si>
    <t>Removed automation maintenance price adder per M calculation per new pricing policies.  Still need to calculate a press add for automation at the press.  Added "Delete Blank Line" routine to help simplify removing blank lines / gaps between text lines in the external notes section.  Used cell names instead of absolute locations for the reset routines.</t>
  </si>
  <si>
    <t>Tucson,  AZ,  85706</t>
  </si>
  <si>
    <t>Paul Novotny &amp; Jim Denis</t>
  </si>
  <si>
    <t>Scenario Indicator</t>
  </si>
  <si>
    <t>011-52-442-223-2718</t>
  </si>
  <si>
    <t>M/C E520</t>
  </si>
  <si>
    <t>937-382-2282</t>
  </si>
  <si>
    <t>C&amp;K Components</t>
  </si>
  <si>
    <t>Martha Montero</t>
  </si>
  <si>
    <t># of UNITS</t>
  </si>
  <si>
    <t>TOTAL</t>
  </si>
  <si>
    <t>CARLOS MORALES</t>
  </si>
  <si>
    <t>Mabe</t>
  </si>
  <si>
    <t>Egil Larsson</t>
  </si>
  <si>
    <t>Acceso B # 406</t>
  </si>
  <si>
    <t>Paque Industrial Jurica</t>
  </si>
  <si>
    <t>Queretaro, Queretaro,  MX,  76120</t>
  </si>
  <si>
    <t>011-52-442-211-4837</t>
  </si>
  <si>
    <t>011-52-442-211-4890</t>
  </si>
  <si>
    <t>Press Three</t>
  </si>
  <si>
    <t>Press Minimums</t>
  </si>
  <si>
    <t>Labor Costs</t>
  </si>
  <si>
    <t>513-398-1143</t>
  </si>
  <si>
    <t>Calle 2 No. 7, Fracc. Ind.</t>
  </si>
  <si>
    <t>Benito Juarez</t>
  </si>
  <si>
    <t>Regrind%/m</t>
  </si>
  <si>
    <t>150 Technology Parkway</t>
  </si>
  <si>
    <t>Auburn,  AL,  36830,  US</t>
  </si>
  <si>
    <t>Tool Price 1</t>
  </si>
  <si>
    <t>Tool Price 2</t>
  </si>
  <si>
    <t>Mucell Flag</t>
  </si>
  <si>
    <t>GFL</t>
  </si>
  <si>
    <t>317-896-5914</t>
  </si>
  <si>
    <t>11955 East Nine Mile Road</t>
  </si>
  <si>
    <t>Warren,  MI,  48089,  US</t>
  </si>
  <si>
    <t>Ship DDP (Customer name) to Juarez adds $ x.xx per M.  Minimum shipments of XXXK per month with a maximum of 12 shipments yearly.</t>
  </si>
  <si>
    <t>Standard Notes</t>
  </si>
  <si>
    <t>502-429-8869</t>
  </si>
  <si>
    <t>Jabil Circuit</t>
  </si>
  <si>
    <t>Chris Bartholomew</t>
  </si>
  <si>
    <t>E-Mail address, delphi.com</t>
  </si>
  <si>
    <t>19333 Vallco Parkway</t>
  </si>
  <si>
    <t>Cupertino,  CA,  95014</t>
  </si>
  <si>
    <t>408-285-7954</t>
  </si>
  <si>
    <t>408-285-2775</t>
  </si>
  <si>
    <t>kshum@hp.com</t>
  </si>
  <si>
    <t>Material 8:</t>
  </si>
  <si>
    <t>Fax: 952-933-9412</t>
  </si>
  <si>
    <t>ROUTE 11, BOX 20</t>
  </si>
  <si>
    <t>Sprue and Runner Factor x Part wt/m</t>
  </si>
  <si>
    <t>ASMO Greenville of North Carolina, Inc.</t>
  </si>
  <si>
    <t>Mr. Dave Schlienz</t>
  </si>
  <si>
    <t>Minimum 20% if insert content is 25% or more of total cost.</t>
  </si>
  <si>
    <t>Corrected the trigger on the final price and the margin formula based on the price reduction field.</t>
  </si>
  <si>
    <t>399</t>
  </si>
  <si>
    <t>Insert Notes</t>
  </si>
  <si>
    <t>219-285-5076</t>
  </si>
  <si>
    <t>Consistent with A.I.A.G. practices, part prices include statistical documentation for critical dimension.</t>
  </si>
  <si>
    <t>EL PASO,  TX,  77906-5223,  US</t>
  </si>
  <si>
    <t>915-783-1033</t>
  </si>
  <si>
    <t>HONEYWELL MICRO SWITCH</t>
  </si>
  <si>
    <t>JAVIER ALCALDE</t>
  </si>
  <si>
    <t>859-281-3411</t>
  </si>
  <si>
    <t>859-281-3480</t>
  </si>
  <si>
    <t>Catalina Tool &amp; Mold</t>
  </si>
  <si>
    <t>Don Schwenning</t>
  </si>
  <si>
    <t>6230 S. Country Club Road</t>
  </si>
  <si>
    <t>NEENAH,  WI,  54957-0529,  US</t>
  </si>
  <si>
    <t>St. Louis,  MO,  63124-2013</t>
  </si>
  <si>
    <t>Reformatted the calculator sheet with tooling and automation separated into individual sheets for ease of reading and to expand the automation section as we develop with Steve Thorkelson's input.</t>
  </si>
  <si>
    <t>561 Hillgrove Avenue</t>
  </si>
  <si>
    <t>CC100</t>
  </si>
  <si>
    <t>300m</t>
  </si>
  <si>
    <t>CUMB-10X12</t>
  </si>
  <si>
    <t>3721 NC Hwy 119</t>
  </si>
  <si>
    <t>952-933-9462</t>
  </si>
  <si>
    <t>Y-HOPIII</t>
  </si>
  <si>
    <t>5.9-13.8</t>
  </si>
  <si>
    <t>12.6x12.6</t>
  </si>
  <si>
    <t>18.1X18.1</t>
  </si>
  <si>
    <t>yes</t>
  </si>
  <si>
    <t>7x7 bothways and center</t>
  </si>
  <si>
    <t>401</t>
  </si>
  <si>
    <t>28.9 X 28.9</t>
  </si>
  <si>
    <t>Tim Hardwick</t>
  </si>
  <si>
    <t>50200 TOLUCA, EDO. DE MEX.,  APARTEDO POSTAL 730,  MX</t>
  </si>
  <si>
    <t>6.27</t>
  </si>
  <si>
    <t>16</t>
  </si>
  <si>
    <t>17</t>
  </si>
  <si>
    <t>8750 Hague Road</t>
  </si>
  <si>
    <t>Indianapolis,  IN,  46250,  US</t>
  </si>
  <si>
    <t>317-579-3827</t>
  </si>
  <si>
    <t>317-579-4991</t>
  </si>
  <si>
    <t>Randy Nicholson</t>
  </si>
  <si>
    <t>810-257-5584</t>
  </si>
  <si>
    <t>7". 10", 16"</t>
  </si>
  <si>
    <t>150</t>
  </si>
  <si>
    <t>608-757-2000</t>
  </si>
  <si>
    <t>807 WOODS Road</t>
  </si>
  <si>
    <t>Min Price:</t>
  </si>
  <si>
    <t>Quote Gross Profit:</t>
  </si>
  <si>
    <t>410-342-6526</t>
  </si>
  <si>
    <t>Continental Teves, Inc.</t>
  </si>
  <si>
    <t>One Continental Drive</t>
  </si>
  <si>
    <t>GRAL. ROBERTO FIERRO 6408</t>
  </si>
  <si>
    <t>Vendors Exchange</t>
  </si>
  <si>
    <t>616-452-0029</t>
  </si>
  <si>
    <t>Christoph Zimmermann</t>
  </si>
  <si>
    <t>D-93009</t>
  </si>
  <si>
    <t>310-323-2029</t>
  </si>
  <si>
    <t>$/oz.</t>
  </si>
  <si>
    <t>Actual Dollars</t>
  </si>
  <si>
    <t>Final Assembly</t>
  </si>
  <si>
    <t>Tool Life</t>
  </si>
  <si>
    <t>CMM Certify</t>
  </si>
  <si>
    <t>Install Transfer</t>
  </si>
  <si>
    <t>Install Sensors</t>
  </si>
  <si>
    <t>TOTAL LABOR :</t>
  </si>
  <si>
    <t>TOOL TRYOUT(s)</t>
  </si>
  <si>
    <t>(2) if Textured</t>
  </si>
  <si>
    <t>1st T/O</t>
  </si>
  <si>
    <t>2nd T/O</t>
  </si>
  <si>
    <t>Freight</t>
  </si>
  <si>
    <t>P.O. Box 408</t>
  </si>
  <si>
    <t>Material Two</t>
  </si>
  <si>
    <t>Material Three</t>
  </si>
  <si>
    <t>Buyout One</t>
  </si>
  <si>
    <t>Buyout Two</t>
  </si>
  <si>
    <t>Second Ops One</t>
  </si>
  <si>
    <t>TI Automotive</t>
  </si>
  <si>
    <t>Delfino Juarez</t>
  </si>
  <si>
    <t>3900 Ursula Av.</t>
  </si>
  <si>
    <t>McAllen,  TX,  78503</t>
  </si>
  <si>
    <t>011-52-899-921-7127</t>
  </si>
  <si>
    <t>OSMONICS</t>
  </si>
  <si>
    <t>5951 CLEARWATER DRIVE</t>
  </si>
  <si>
    <t>011-52-55-5559-5398</t>
  </si>
  <si>
    <t>612-446-7336</t>
  </si>
  <si>
    <t>Invensys Sensor Systems</t>
  </si>
  <si>
    <t>1100 Airport Road</t>
  </si>
  <si>
    <t>IDD Process &amp; Packaging, Inc</t>
  </si>
  <si>
    <t>Sarasota,  FL,  34234,  US</t>
  </si>
  <si>
    <t>Press 4</t>
  </si>
  <si>
    <t>Yushin AT1205</t>
  </si>
  <si>
    <t>No tie bars</t>
  </si>
  <si>
    <t>22.5 x 28</t>
  </si>
  <si>
    <t>7" both ways</t>
  </si>
  <si>
    <t>CINCI</t>
  </si>
  <si>
    <t>ROXBORO,  NC,  27573,  US</t>
  </si>
  <si>
    <t>Adjusted page one of quote entry to show the minimum order release and minimum ship quantity and changed the notes back to editable notes verse concatenated notes.  Added min release and ship matrix to the customer quote form.</t>
  </si>
  <si>
    <t>6' X 18"</t>
  </si>
  <si>
    <t>100m</t>
  </si>
  <si>
    <t>LP-1016</t>
  </si>
  <si>
    <t>Quote entry sheet will print in three steps, 1)  will be the materials and press section, 2)  will be the summary section, 3) will be the note section.                                                                                                              Modified "E-Quote" routine to save workbook to seperate "Email Quote" directory and if you are not on Thermotech's G-drive it will push the E-Quote to the "C:\My Documents" directory.                                                                                Added "Total Resin Sales", "Total Buyout Sales" and "Total Press Sales" to the summary section for better evaluation of or projectes.</t>
  </si>
  <si>
    <t>El Marques, Queretaro, Mexico  76246</t>
  </si>
  <si>
    <t>011-52-442-211-0846</t>
  </si>
  <si>
    <t>Jaime Ramirez, Juditt Mejia</t>
  </si>
  <si>
    <t>Lote 25, Manzana 1, Parq. Ind. Queretaro</t>
  </si>
  <si>
    <t>Queretaro, Queretaro, Mexico,  76220</t>
  </si>
  <si>
    <t>011-52-442-211-3732</t>
  </si>
  <si>
    <t>011-52-442-211-3736</t>
  </si>
  <si>
    <t>Field6</t>
  </si>
  <si>
    <t>Field7</t>
  </si>
  <si>
    <t>NEWNAN,  GA,  30265,  US</t>
  </si>
  <si>
    <t>401 Bendix Drive</t>
  </si>
  <si>
    <t>Husco Automotive LLC</t>
  </si>
  <si>
    <t>W. 239  N. 218 Pewaukee Rd.</t>
  </si>
  <si>
    <t>Waukesha,  WI,  53188</t>
  </si>
  <si>
    <t>262-513-4514</t>
  </si>
  <si>
    <t>Thermoset Molding</t>
  </si>
  <si>
    <t>Insert Molding</t>
  </si>
  <si>
    <t>Two Shot Molding</t>
  </si>
  <si>
    <t>Micro Molding</t>
  </si>
  <si>
    <t>Precision Gearing</t>
  </si>
  <si>
    <t>Bobbin Coil Forms</t>
  </si>
  <si>
    <t>Hierarchy 2</t>
  </si>
  <si>
    <t>Pricing based on a maximum of (3) critical dimensions requiring capability studies.</t>
  </si>
  <si>
    <t>Barrel Capacity:</t>
  </si>
  <si>
    <t>Fracc. Ind. Toluca</t>
  </si>
  <si>
    <t>260-356-8300</t>
  </si>
  <si>
    <t>Press Cost Scr. 2</t>
  </si>
  <si>
    <t>Labor Cost Scr. 2</t>
  </si>
  <si>
    <t>CLEARWATER,  FL,  34622,  US</t>
  </si>
  <si>
    <t>THE LEE COMPANY</t>
  </si>
  <si>
    <t>STEVE HANSSEN</t>
  </si>
  <si>
    <t>Vicki Barlett</t>
  </si>
  <si>
    <t>7043 South 300 West</t>
  </si>
  <si>
    <t>TRW Sistemas de Direcciones, SA de CV</t>
  </si>
  <si>
    <t>Rosalinda Cervantes</t>
  </si>
  <si>
    <t>1740 Chicago Drive S.W.</t>
  </si>
  <si>
    <t>Wyoming,  MI,  49509-1207,  US</t>
  </si>
  <si>
    <t>616-452-7742</t>
  </si>
  <si>
    <t>1222 SEYMOUR DR</t>
  </si>
  <si>
    <t>Fax Number:</t>
  </si>
  <si>
    <t>Plymouth,  MN,  55441,  US</t>
  </si>
  <si>
    <t>952-797-1019</t>
  </si>
  <si>
    <t>952-797-5222</t>
  </si>
  <si>
    <t>513-483-8828</t>
  </si>
  <si>
    <t>513-483-3410</t>
  </si>
  <si>
    <t>Don Greer</t>
  </si>
  <si>
    <t>Hwy. 412 West</t>
  </si>
  <si>
    <t>Sales Contact:</t>
  </si>
  <si>
    <t>Scenario</t>
  </si>
  <si>
    <t>Watlow Polymer Technologies, Inc.</t>
  </si>
  <si>
    <t>Press 3 Ind Logical Test:</t>
  </si>
  <si>
    <t>Sonic Fixtures</t>
  </si>
  <si>
    <t>Andrea Hinrichs</t>
  </si>
  <si>
    <t>ANDREA.HINRICHS@menasha.com</t>
  </si>
  <si>
    <t>E11946</t>
  </si>
  <si>
    <t>17 X 17</t>
  </si>
  <si>
    <t>3020 LEE AVENUE EXTENSION</t>
  </si>
  <si>
    <t>C SENTRY</t>
  </si>
  <si>
    <t>CAM/VLC</t>
  </si>
  <si>
    <t>4.9-13.0</t>
  </si>
  <si>
    <t>11.81 X 14.17</t>
  </si>
  <si>
    <t>20.05 X 19.69</t>
  </si>
  <si>
    <t>Kimberly Jones</t>
  </si>
  <si>
    <t>Singulation</t>
  </si>
  <si>
    <t xml:space="preserve">End Ops </t>
  </si>
  <si>
    <t>Ops Desc.:</t>
  </si>
  <si>
    <t>Tumble Deburr</t>
  </si>
  <si>
    <t>QS 9000  /  ISO 9002 Certified</t>
  </si>
  <si>
    <t>Details</t>
  </si>
  <si>
    <t>Other</t>
  </si>
  <si>
    <t>Tool M/U</t>
  </si>
  <si>
    <t>Price</t>
  </si>
  <si>
    <t>Electrocfil Industries</t>
  </si>
  <si>
    <t>31 Butterfield Trail</t>
  </si>
  <si>
    <t>Center</t>
  </si>
  <si>
    <t>Mfg'd</t>
  </si>
  <si>
    <t>Model</t>
  </si>
  <si>
    <t>Size</t>
  </si>
  <si>
    <t>Pressure</t>
  </si>
  <si>
    <t>hort.</t>
  </si>
  <si>
    <t>Build Hours</t>
  </si>
  <si>
    <t>Design Hours</t>
  </si>
  <si>
    <t>Eaton Rapids,  MI,  48827,  US</t>
  </si>
  <si>
    <t>517-663-2161</t>
  </si>
  <si>
    <t>517-663-1315</t>
  </si>
  <si>
    <t>Fasco DC Motors</t>
  </si>
  <si>
    <t>Eaton Rapids,  MI,  48827  US</t>
  </si>
  <si>
    <t>Added percentages to the bottom of the summary section.  Can be toggled on or off.  Revised the price development concept to allow for entry of the % reduction by year.  Also will unhide a row that will show the values used in each year.</t>
  </si>
  <si>
    <t>1000 Hawkins Blvd.</t>
  </si>
  <si>
    <t>Camdec Corp</t>
  </si>
  <si>
    <t>Visteon Corporation</t>
  </si>
  <si>
    <t>Mike Dale</t>
  </si>
  <si>
    <t>128 Spring Street</t>
  </si>
  <si>
    <t>Ypsilanti,  MI,  48198</t>
  </si>
  <si>
    <t>734-484-8462</t>
  </si>
  <si>
    <t>SCI Systems  -  Plant II</t>
  </si>
  <si>
    <t>KENNESAW,  GA,  30144,  US</t>
  </si>
  <si>
    <t>DAIMLERCHRYSLER</t>
  </si>
  <si>
    <t>H.A. YORK</t>
  </si>
  <si>
    <t>Brose Puebla, SA de CV</t>
  </si>
  <si>
    <t>Miguel Sanchez</t>
  </si>
  <si>
    <t>Camino a San Lorenzo</t>
  </si>
  <si>
    <t>1214 Sanctorum Cuautlancingo</t>
  </si>
  <si>
    <t>Cholula,  Puebla,  Mexico,  72730</t>
  </si>
  <si>
    <t>14059/14973</t>
  </si>
  <si>
    <t>Antonio Vallejo/James Kozlowski</t>
  </si>
  <si>
    <t>011-52-222-229-1335</t>
  </si>
  <si>
    <t>011-52-222-210-5223</t>
  </si>
  <si>
    <t>P.O. Box 10373</t>
  </si>
  <si>
    <t>Marlo Verschure</t>
  </si>
  <si>
    <t>Press % Exceed:</t>
  </si>
  <si>
    <t>Current Press Shot Size:</t>
  </si>
  <si>
    <t>Reduction Factor</t>
  </si>
  <si>
    <t>1714 HEIL QUAKER BLVD.</t>
  </si>
  <si>
    <t>LAVERGNE DIVISION</t>
  </si>
  <si>
    <t>Quote entry cell F5</t>
  </si>
  <si>
    <t>29.5</t>
  </si>
  <si>
    <t>20.1 X 20.1</t>
  </si>
  <si>
    <t>219-665-3631</t>
  </si>
  <si>
    <t>125 EAST COUNTY LINE ROAD</t>
  </si>
  <si>
    <t>ABB POWER T&amp;D COMPANY INC.</t>
  </si>
  <si>
    <t>Automation Variable</t>
  </si>
  <si>
    <t xml:space="preserve"> </t>
  </si>
  <si>
    <t>NEBRASKA CITY,   NE,  68410,  US</t>
  </si>
  <si>
    <t>402-873-8231</t>
  </si>
  <si>
    <t>402-873-7616</t>
  </si>
  <si>
    <t>Buford,  GA.,  30518</t>
  </si>
  <si>
    <t>3130 Lexington Ave. So.</t>
  </si>
  <si>
    <t>Eagan,  MN,  55121,  US</t>
  </si>
  <si>
    <t>651-733-8597</t>
  </si>
  <si>
    <t>651-737-3237</t>
  </si>
  <si>
    <t>FRANK HOOT</t>
  </si>
  <si>
    <t>270-586-1086</t>
  </si>
  <si>
    <t>ClareREMtech</t>
  </si>
  <si>
    <t>Carlos Gamez</t>
  </si>
  <si>
    <t>Golden Valley,  MN,  55422,  US</t>
  </si>
  <si>
    <t>All prices quoted in US Dollars, parts will be produced in our Queretaro Mexico facility.</t>
  </si>
  <si>
    <t>Press adder includes cost associated to customer purchased automation</t>
  </si>
  <si>
    <t>DP-500I</t>
  </si>
  <si>
    <t>203-492-6495</t>
  </si>
  <si>
    <t>Technical Ordanance Inc.</t>
  </si>
  <si>
    <t>Velvac</t>
  </si>
  <si>
    <t>BARBARA MCKEE</t>
  </si>
  <si>
    <t>Woco de Mexico, SA de CV</t>
  </si>
  <si>
    <t>Alejandra Robles</t>
  </si>
  <si>
    <t>Av. De las Fuentes 19, Parq. Ind. Bernardo Quintana</t>
  </si>
  <si>
    <t>arobles@woco-mexico.com</t>
  </si>
  <si>
    <t>El Marques,  Queretaro,  Mexico  76246</t>
  </si>
  <si>
    <t>011-52-442-221-5211</t>
  </si>
  <si>
    <t>011-52-442-221-5213</t>
  </si>
  <si>
    <t>508-359-3776</t>
  </si>
  <si>
    <t>77, Allee Des Grandes Combes</t>
  </si>
  <si>
    <t>Z.I. Quest BEYNOST</t>
  </si>
  <si>
    <t>Jose Zavala</t>
  </si>
  <si>
    <t>Av Penuelas No. 7</t>
  </si>
  <si>
    <t>Briggs &amp; Stratton</t>
  </si>
  <si>
    <t>110 Main Street</t>
  </si>
  <si>
    <t>Murray,  KY,  42071,  US</t>
  </si>
  <si>
    <t>Hitichi Automotive</t>
  </si>
  <si>
    <t>Tony Denton</t>
  </si>
  <si>
    <t>606-734-9451</t>
  </si>
  <si>
    <t>606-734-6469</t>
  </si>
  <si>
    <t>F-01708,  Miribel Cedex,  France</t>
  </si>
  <si>
    <t>011-52-442-211-9569</t>
  </si>
  <si>
    <t>316-941-0422</t>
  </si>
  <si>
    <t>561-999-5000</t>
  </si>
  <si>
    <t>561-999-5050</t>
  </si>
  <si>
    <t>Plant2101 Address</t>
  </si>
  <si>
    <t>Plant2101 Phone</t>
  </si>
  <si>
    <t>Pack Cost:</t>
  </si>
  <si>
    <t>Press Costs</t>
  </si>
  <si>
    <t>Amort. Cost</t>
  </si>
  <si>
    <t>FTE Mexicana, SA de CV (Dana Group)</t>
  </si>
  <si>
    <t>Cecile Nocquet</t>
  </si>
  <si>
    <t>Km 14.5 Autopista Puebla-Orizaba</t>
  </si>
  <si>
    <t>Parq. Ind. Chachapa</t>
  </si>
  <si>
    <t>Automation Adder:</t>
  </si>
  <si>
    <t>Robot Amort:</t>
  </si>
  <si>
    <t>Press Cost %</t>
  </si>
  <si>
    <t>Tool Maint Cost %</t>
  </si>
  <si>
    <t>Labor Cost %</t>
  </si>
  <si>
    <t xml:space="preserve">Amortization can give us an advantage in the market and can be a financial advantage.  We want to pursue this in appropriate situations.  This is a reminder that each account must be approved for amortization by Harland.  Any amortization over $250K must be approved on an individual basis even if the account had been previously approved.  Recently we had accounting do a credit check for a new customer.  They had a good credit rating and we offered an amortization.  This is not acceptable.  Good credit is not the same as approved for amortization.  We need an e mail or written approval from Harland before we offer amortization.  We still want to aggressively pursue this option we just need to assess the risk for each customer. </t>
  </si>
  <si>
    <t>Gears</t>
  </si>
  <si>
    <t>011-52-5763-3144 x114</t>
  </si>
  <si>
    <t>011-52-5558-2875</t>
  </si>
  <si>
    <t>Condumex, Sa de CV</t>
  </si>
  <si>
    <t>Ops Description</t>
  </si>
  <si>
    <t>Tool Maint. Data Validation</t>
  </si>
  <si>
    <t>Degate</t>
  </si>
  <si>
    <t>Deflash</t>
  </si>
  <si>
    <t>Post Mold Bake</t>
  </si>
  <si>
    <t>Assembly</t>
  </si>
  <si>
    <t>FREDERICK,  MD,  21701-0500,  US</t>
  </si>
  <si>
    <t>301-698-0624</t>
  </si>
  <si>
    <t>SARGENT AND GREENLEAF</t>
  </si>
  <si>
    <t>RAY MILLER</t>
  </si>
  <si>
    <t>IMPACT DEVICES</t>
  </si>
  <si>
    <t>P.O. BOX 463</t>
  </si>
  <si>
    <t>6 - 14.9</t>
  </si>
  <si>
    <t>6", 7", 10" BOTHWAYS</t>
  </si>
  <si>
    <t>C ELEC</t>
  </si>
  <si>
    <t>ACT</t>
  </si>
  <si>
    <t>5.91 - 15.75</t>
  </si>
  <si>
    <t>Scenario One:</t>
  </si>
  <si>
    <t>Automation:</t>
  </si>
  <si>
    <t>830 E. Arapaho Rd.</t>
  </si>
  <si>
    <t>49-7154-133-225</t>
  </si>
  <si>
    <t>001-49-7154-133-239</t>
  </si>
  <si>
    <t>JOHN DEERE HORICON WORKS</t>
  </si>
  <si>
    <t>Queretaro,  768000,  Mexico</t>
  </si>
  <si>
    <t>Quote valve gate hot runners,  cold runner systems and Valve Gated hot sprue bushings.   See General MuCell Process Design Guidelines published by Tom McNamara for more information.  Both runner systems must be naturally balanced.</t>
  </si>
  <si>
    <t>Shot Size Comparison:</t>
  </si>
  <si>
    <t xml:space="preserve"> % Of Capacity:</t>
  </si>
  <si>
    <t>LARRY BURLESON</t>
  </si>
  <si>
    <t>EMERSON ELECTRIC CO.</t>
  </si>
  <si>
    <t>1199 CO. ROAD 9 P.O. BOX 1439</t>
  </si>
  <si>
    <t>SUMITOMO ELECTRIC WIRING SYSTEMS</t>
  </si>
  <si>
    <t>with this proposal.  Any inconsistent provisions shall have no effect unless we agree to them in writing.  If you have no official order, this proposal will be our contract.</t>
  </si>
  <si>
    <t>Roche Diagnostics</t>
  </si>
  <si>
    <t>Timothy Wilson</t>
  </si>
  <si>
    <t>Indianapolis,  IN,  46250-0457</t>
  </si>
  <si>
    <t>TS Kaminiski &amp; Co Inc</t>
  </si>
  <si>
    <t>317-521-3373</t>
  </si>
  <si>
    <t>317-521-3080</t>
  </si>
  <si>
    <t>N 93 W 14575 WHITTAKER WAY</t>
  </si>
  <si>
    <t>Dan Wilson</t>
  </si>
  <si>
    <t>3220 Bowling Green Rd.</t>
  </si>
  <si>
    <t>937-644-0455 Ext.1667</t>
  </si>
  <si>
    <t>937-645-7402/7401</t>
  </si>
  <si>
    <t>7" HORIZONTAL &amp; VERTICAL, CENTER</t>
  </si>
  <si>
    <t>CAM/VSX</t>
  </si>
  <si>
    <t>5.9-15.7</t>
  </si>
  <si>
    <t>15.95 X 14.17</t>
  </si>
  <si>
    <t>MOPAC 32</t>
  </si>
  <si>
    <t>Franklin,  WI,  53132,  US</t>
  </si>
  <si>
    <t>Richardson,  TX,  75081,  US</t>
  </si>
  <si>
    <t>THERMOTECH HOUSE - MN ACCOUNTS</t>
  </si>
  <si>
    <t>P O Box 702</t>
  </si>
  <si>
    <t>MILWAUKEE,  WI,  53201-0702,  US</t>
  </si>
  <si>
    <t>Science Incorporated</t>
  </si>
  <si>
    <t>550 HIGHLAND STREET</t>
  </si>
  <si>
    <t>PO BOX 500</t>
  </si>
  <si>
    <t>Engineering meeting to review of tolerances required prior to acceptance of a purchase order.</t>
  </si>
  <si>
    <t>Part Design</t>
  </si>
  <si>
    <t>DERREL COBLE</t>
  </si>
  <si>
    <t>316-331-1422</t>
  </si>
  <si>
    <t>CENTURY MANUFACTURING</t>
  </si>
  <si>
    <t>Rolla,  MO,  65401,  US</t>
  </si>
  <si>
    <t>Playwerks Incorporated</t>
  </si>
  <si>
    <t>Federal Mogul Corporation</t>
  </si>
  <si>
    <t>Keli Ismailji</t>
  </si>
  <si>
    <t>Lucas Control Systems Products</t>
  </si>
  <si>
    <t>El Paso,  TX,  79936,  US</t>
  </si>
  <si>
    <t>PCS/Hour</t>
  </si>
  <si>
    <t xml:space="preserve">Scr. 2 Minumum/M </t>
  </si>
  <si>
    <t>Grams:</t>
  </si>
  <si>
    <t>Reminder that Delphi must have the following:  givebacks, GFL, quote fixtures and gages and add 6% to tooling cost for no down payment.</t>
  </si>
  <si>
    <t>TOMMY PATTERSON</t>
  </si>
  <si>
    <t>PLUMLEY HOSE DIVISION</t>
  </si>
  <si>
    <t>VALLEY FORGE BUSINESS CENTER</t>
  </si>
  <si>
    <t>Anderson,  SC  29622</t>
  </si>
  <si>
    <t>864-260-8925</t>
  </si>
  <si>
    <t>864-260-8036</t>
  </si>
  <si>
    <t>Press 7 Hrs:</t>
  </si>
  <si>
    <t>7'H, 7' &amp;  4'x16' V</t>
  </si>
  <si>
    <t>ATT</t>
  </si>
  <si>
    <t>40mm</t>
  </si>
  <si>
    <t>YUSHIN R10</t>
  </si>
  <si>
    <t>7H, 7,4X16V</t>
  </si>
  <si>
    <t>PUR</t>
  </si>
  <si>
    <t>45mm</t>
  </si>
  <si>
    <t>17.9x16.7</t>
  </si>
  <si>
    <t>HiComp</t>
  </si>
  <si>
    <t>6,7,10H / 6,7,4X16V</t>
  </si>
  <si>
    <t>Eveready Battery Company, Inc.</t>
  </si>
  <si>
    <t>DELTA INTERNATIONAL</t>
  </si>
  <si>
    <t>LYNN MILLER</t>
  </si>
  <si>
    <t>P.O. BOX 1508</t>
  </si>
  <si>
    <t>TUPELO,  MS,  38802,  US</t>
  </si>
  <si>
    <t>APPLIED INDUSTRIAL TECHNOLOGY</t>
  </si>
  <si>
    <t>WILL BROWN</t>
  </si>
  <si>
    <t>Antonio.Vallejo@menasha.com</t>
  </si>
  <si>
    <t>El Salto,  Jalisco,  Mexico,  45680</t>
  </si>
  <si>
    <t>011-52-3668-4317</t>
  </si>
  <si>
    <t>D &amp; R Technology</t>
  </si>
  <si>
    <t>Bob Gray</t>
  </si>
  <si>
    <t>3940 Industrial Ave</t>
  </si>
  <si>
    <t>Eureka</t>
  </si>
  <si>
    <t>Linda Butler</t>
  </si>
  <si>
    <t>9600 Pan American</t>
  </si>
  <si>
    <t>Description:</t>
  </si>
  <si>
    <t>BASE COST(per ib.)    X Usage</t>
  </si>
  <si>
    <t>Unit Cost</t>
  </si>
  <si>
    <t>2E MAIN STREET</t>
  </si>
  <si>
    <t>Most injection-molded parts are candidates with a few exceptions.  Clear parts cannot be precision foamed</t>
  </si>
  <si>
    <t>Russell Ansai</t>
  </si>
  <si>
    <t>PO Box 9127</t>
  </si>
  <si>
    <t>Bolton,  CT  06043</t>
  </si>
  <si>
    <t>860-646-5686</t>
  </si>
  <si>
    <t>860-646-5678</t>
  </si>
  <si>
    <t>PO BOX 424</t>
  </si>
  <si>
    <t>WESTBROOK,  CT,  06498,  US</t>
  </si>
  <si>
    <t>4555 WATER AVENUE</t>
  </si>
  <si>
    <t>330-425-7121</t>
  </si>
  <si>
    <t>Eric Sutter</t>
  </si>
  <si>
    <t>1701 Desoto Road</t>
  </si>
  <si>
    <t>CORPORATE NEW VENTURES</t>
  </si>
  <si>
    <t>Delphine Pascal</t>
  </si>
  <si>
    <t>410-381-0400</t>
  </si>
  <si>
    <t>ABB Automation Inc INC.</t>
  </si>
  <si>
    <t>805 INDUSTRIAL PARK DR.</t>
  </si>
  <si>
    <t>TRENTON,  TN,  38382,  US</t>
  </si>
  <si>
    <t>941-758-7726</t>
  </si>
  <si>
    <t>941-751-7182</t>
  </si>
  <si>
    <t>CAPSONIC AUTOMOTIVE</t>
  </si>
  <si>
    <t>919-557-8566</t>
  </si>
  <si>
    <t>Bald Knob,  AR,  72010,  US</t>
  </si>
  <si>
    <t>Final Min Release:</t>
  </si>
  <si>
    <t>Min Shipment 4X:</t>
  </si>
  <si>
    <t>Min Release12X:</t>
  </si>
  <si>
    <t>RECT</t>
  </si>
  <si>
    <t>Feature Rect:</t>
  </si>
  <si>
    <t>Feature Cyl:</t>
  </si>
  <si>
    <t>CYL</t>
  </si>
  <si>
    <t>Feature Tube:</t>
  </si>
  <si>
    <t>TUBE</t>
  </si>
  <si>
    <t>Feature Sphere:</t>
  </si>
  <si>
    <t>SPHERE</t>
  </si>
  <si>
    <t>CONE</t>
  </si>
  <si>
    <t>Feature Cone:</t>
  </si>
  <si>
    <t>DELSTAR / HOME IMPRESSIONS</t>
  </si>
  <si>
    <t>DAN TRUETTE</t>
  </si>
  <si>
    <t>420 THIRD AVENUE NW</t>
  </si>
  <si>
    <t>HICKORY,  NC,  28601,  US</t>
  </si>
  <si>
    <t>847-888-7212</t>
  </si>
  <si>
    <t>847-888-8124</t>
  </si>
  <si>
    <t xml:space="preserve">by the seller or its representatives concerning any use or application of products furnished under this quote is believed to be reliable.  The seller makes no warranty  </t>
  </si>
  <si>
    <t>YELLOW FREIGHT SYSTEMS INC</t>
  </si>
  <si>
    <t>3521 N. Chapel Hill Road</t>
  </si>
  <si>
    <t>McHenry,  IL,  60050,  US</t>
  </si>
  <si>
    <t>RALEIGH,  NC,  27604</t>
  </si>
  <si>
    <t>919-250-5382</t>
  </si>
  <si>
    <t>919-250-5309</t>
  </si>
  <si>
    <t>Airport Road</t>
  </si>
  <si>
    <t>Schrader Bridgeport Int'l Inc</t>
  </si>
  <si>
    <t>205 Frazier Road</t>
  </si>
  <si>
    <t>Altavista,  VA,  24517,  US</t>
  </si>
  <si>
    <t>Franklin Electric</t>
  </si>
  <si>
    <t>Ken Rouviere</t>
  </si>
  <si>
    <t>Oshkosh Truck Corporation</t>
  </si>
  <si>
    <t>Press 5</t>
  </si>
  <si>
    <t>Grand Haven,  MI,  49417</t>
  </si>
  <si>
    <t>Jim Kozlowski</t>
  </si>
  <si>
    <t>Part wt/m x cavities + runner wt/m</t>
  </si>
  <si>
    <t>5300 AUTO CLUB DRIVE</t>
  </si>
  <si>
    <t>Relocations</t>
  </si>
  <si>
    <t>Meetings</t>
  </si>
  <si>
    <t>CLAYTON,  NC,  27520,  US</t>
  </si>
  <si>
    <t>MARWAL SYSTEMS</t>
  </si>
  <si>
    <t>Roseville,  MN,  55113-2710,  US</t>
  </si>
  <si>
    <t>612-604-2400</t>
  </si>
  <si>
    <t>612-604-2410</t>
  </si>
  <si>
    <t>LAGUNA IND INC</t>
  </si>
  <si>
    <t>1 MESITA IND PKY</t>
  </si>
  <si>
    <t>LAGUNA,  NM,  87026,  US</t>
  </si>
  <si>
    <t>Moen Inc.</t>
  </si>
  <si>
    <t>John Sustersic</t>
  </si>
  <si>
    <t>MatWeb</t>
  </si>
  <si>
    <t>CAM VLC</t>
  </si>
  <si>
    <t>16.1 x 14.2</t>
  </si>
  <si>
    <t>Helwig Carbon</t>
  </si>
  <si>
    <t>John Breest</t>
  </si>
  <si>
    <t>4115 Polymer Place</t>
  </si>
  <si>
    <t>Press Scr. 2</t>
  </si>
  <si>
    <t>Princeton,  IN,  47671-1001,  US</t>
  </si>
  <si>
    <t>Charlottesville,  VA,  22911,  US</t>
  </si>
  <si>
    <t>Chicago Rawhide</t>
  </si>
  <si>
    <t>If plant quoted is 2104 (Mexico) program adds $ 3,500 to the calculated mold qualification value.</t>
  </si>
  <si>
    <t>Max Regrind Allowed/m</t>
  </si>
  <si>
    <t>Excess Runner Unused/m</t>
  </si>
  <si>
    <t>Scrap Per Part/m</t>
  </si>
  <si>
    <t>BOM Qty/m</t>
  </si>
  <si>
    <t>812-634-4434</t>
  </si>
  <si>
    <t>812-634-4600</t>
  </si>
  <si>
    <t>810-257-5573</t>
  </si>
  <si>
    <t>Delphi Automotive Systems - Saginaw</t>
  </si>
  <si>
    <t>Luis A. Gonzalez</t>
  </si>
  <si>
    <t>Sta. Rosa de Viterbo 12, Parq. Ind. Finsa</t>
  </si>
  <si>
    <t>El Marques, Qro, Mexico,  76246</t>
  </si>
  <si>
    <t>Final Price:</t>
  </si>
  <si>
    <t>952-933-9407</t>
  </si>
  <si>
    <t>Press 2 Ind Logical Test:</t>
  </si>
  <si>
    <t>Logical Test Matl.:</t>
  </si>
  <si>
    <t>Resin Cost %</t>
  </si>
  <si>
    <t>410-342-0313</t>
  </si>
  <si>
    <t>42-251637</t>
  </si>
  <si>
    <t>Grayhill Inc.</t>
  </si>
  <si>
    <t>HEIDELBERG DIGITAL</t>
  </si>
  <si>
    <t>Jeff Gadomski</t>
  </si>
  <si>
    <t>SARASOTA,  FL,  34243-9703,  US</t>
  </si>
  <si>
    <t>CHARLES CENTER</t>
  </si>
  <si>
    <t>5600 APOLLO DR</t>
  </si>
  <si>
    <t>TRW Automotive</t>
  </si>
  <si>
    <t>Sanford,  NC,  27331-0548,  US</t>
  </si>
  <si>
    <t>SHERRIE MARRISON</t>
  </si>
  <si>
    <t>ZONA INDUSTRIAL OCOYOACAC</t>
  </si>
  <si>
    <t>248-354-4252</t>
  </si>
  <si>
    <t>PURCHASING</t>
  </si>
  <si>
    <t>KELLEY DEVINE</t>
  </si>
  <si>
    <t>Plexus</t>
  </si>
  <si>
    <t xml:space="preserve">known that some reductions will occur in some properties and little effect will be seen on others.  </t>
  </si>
  <si>
    <t>Prepared For:</t>
  </si>
  <si>
    <t>Quote Number:</t>
  </si>
  <si>
    <t>18,156 psi</t>
  </si>
  <si>
    <t>12</t>
  </si>
  <si>
    <t>18</t>
  </si>
  <si>
    <t>7.5</t>
  </si>
  <si>
    <t>22</t>
  </si>
  <si>
    <t>660-582-5829</t>
  </si>
  <si>
    <t>660-582-5826</t>
  </si>
  <si>
    <t>Other Sheets</t>
  </si>
  <si>
    <t>Cost Breakdown 2</t>
  </si>
  <si>
    <t>Electronic Data</t>
  </si>
  <si>
    <t>Quoting Quideline</t>
  </si>
  <si>
    <t>Rate Calculator</t>
  </si>
  <si>
    <t>914-725-0606</t>
  </si>
  <si>
    <t>4825 Highway 45 North</t>
  </si>
  <si>
    <t>6100 Broken Sound Parkway N.W.</t>
  </si>
  <si>
    <t>Minneapolis,  MN,  55426,  USA</t>
  </si>
  <si>
    <t>952-927-6303</t>
  </si>
  <si>
    <t>THOMAS.BOGAARD@menasha.com</t>
  </si>
  <si>
    <t>Pat Caron</t>
  </si>
  <si>
    <t>727-344-7020</t>
  </si>
  <si>
    <t>PATRICK.CARON@menasha.com</t>
  </si>
  <si>
    <t>Bar</t>
  </si>
  <si>
    <t>Two Stage</t>
  </si>
  <si>
    <t>Early Ret.</t>
  </si>
  <si>
    <t>PL Locks</t>
  </si>
  <si>
    <t>Gear Worksheet</t>
  </si>
  <si>
    <t>QTY</t>
  </si>
  <si>
    <t>Unit Price</t>
  </si>
  <si>
    <t>Length</t>
  </si>
  <si>
    <t>Height</t>
  </si>
  <si>
    <t>Newbury</t>
  </si>
  <si>
    <t>1"</t>
  </si>
  <si>
    <t>ITW Delpro</t>
  </si>
  <si>
    <t>8440A W. 183rd Place</t>
  </si>
  <si>
    <t>Tinley Park,  IL,  60477</t>
  </si>
  <si>
    <t>Ronald C. Owens &amp; Assoc.</t>
  </si>
  <si>
    <t>Total Cost:</t>
  </si>
  <si>
    <t>Vicki Lauhoff</t>
  </si>
  <si>
    <t>OFS Optical</t>
  </si>
  <si>
    <t>Mike Maurer</t>
  </si>
  <si>
    <t>To discuss Precision Foam in your application, please contact your Thermotech Sales Representative.</t>
  </si>
  <si>
    <t>Omron Automotive</t>
  </si>
  <si>
    <t>22.68 X 22.68</t>
  </si>
  <si>
    <t>7" &amp; 10" BOTHWAYS</t>
  </si>
  <si>
    <t>142</t>
  </si>
  <si>
    <t>5.9 - 16.53</t>
  </si>
  <si>
    <t>16.14 X 16.14</t>
  </si>
  <si>
    <t>Mail Station MN 10-1438</t>
  </si>
  <si>
    <t>Electronica Clarion, SA de CV</t>
  </si>
  <si>
    <t>1125 Willow Lake Blvd</t>
  </si>
  <si>
    <t>956-504-2224</t>
  </si>
  <si>
    <t>Calle Camichin 855, Col. Jardines de la Victoria</t>
  </si>
  <si>
    <t>INDUSTRIAL SALES TECH INC.</t>
  </si>
  <si>
    <t>Baraboo,  WI,  53913,  US</t>
  </si>
  <si>
    <t>Wgt Metric Volume/M</t>
  </si>
  <si>
    <t>Conv. From Metric</t>
  </si>
  <si>
    <t>MICROTRON INCORPORATED</t>
  </si>
  <si>
    <t>Commissions:</t>
  </si>
  <si>
    <t>Resins:</t>
  </si>
  <si>
    <t>Robots:</t>
  </si>
  <si>
    <t>Gross Profits:</t>
  </si>
  <si>
    <t>Add 6% tooling upcharge for this customers terms of no down payment on tooling.</t>
  </si>
  <si>
    <t>STATESVILLE,  NC,  28625-8504,  US</t>
  </si>
  <si>
    <t>704-878-6663</t>
  </si>
  <si>
    <t>704-872-9786</t>
  </si>
  <si>
    <t>770-486-4800</t>
  </si>
  <si>
    <t>770-486-4784</t>
  </si>
  <si>
    <t>VDO</t>
  </si>
  <si>
    <t>Ralph Hitchcock</t>
  </si>
  <si>
    <t>203-271-6032</t>
  </si>
  <si>
    <t>507-253-5557</t>
  </si>
  <si>
    <t>Kimball Electronics Group</t>
  </si>
  <si>
    <t>DENTAL EZ GROUP</t>
  </si>
  <si>
    <t>P.O. Box 15046</t>
  </si>
  <si>
    <t xml:space="preserve">Pine Brook,  NJ,  07058,  US </t>
  </si>
  <si>
    <t>INDUSTRIAL COMPONENT ASSOCIATE</t>
  </si>
  <si>
    <t>Hutchinson Technology Inc.</t>
  </si>
  <si>
    <t>Jacob Bjorstrom</t>
  </si>
  <si>
    <t>40 West Highland Park</t>
  </si>
  <si>
    <t>jacob.d.bjorstrom@hti.htch.com</t>
  </si>
  <si>
    <t>Hutchinson,  MN  55350-9784</t>
  </si>
  <si>
    <t>320-587-3797  Ext. 5086</t>
  </si>
  <si>
    <t>320-587-1810</t>
  </si>
  <si>
    <t>Per request of Tim Hardwick, we changed the date field (cell G5) on the "Customer Quote Each" page to = NOW().  This will always print the current date anytime a customer proposal is sent out.</t>
  </si>
  <si>
    <t>DENSO MANUFACTURING TENNESSEE, INC.</t>
  </si>
  <si>
    <t>Cory Goodnow</t>
  </si>
  <si>
    <t>Press 1 Ind Logical Test:</t>
  </si>
  <si>
    <t>IBM</t>
  </si>
  <si>
    <t>Pre-Price W/Out Commission:</t>
  </si>
  <si>
    <t>New London,  CT,  06320,  US</t>
  </si>
  <si>
    <t>P.O. BOX 5309</t>
  </si>
  <si>
    <t>952-988-9517</t>
  </si>
  <si>
    <t>011-523-818-2000</t>
  </si>
  <si>
    <t>011-823-684-7440</t>
  </si>
  <si>
    <t>Bosch</t>
  </si>
  <si>
    <t>Ayax Ochoa</t>
  </si>
  <si>
    <t>Scenario One: Final</t>
  </si>
  <si>
    <t>MIKE NEWKIRK</t>
  </si>
  <si>
    <t>HiPer Technology, Inc.</t>
  </si>
  <si>
    <t>Tom Darnell</t>
  </si>
  <si>
    <t>Suite # 10</t>
  </si>
  <si>
    <t>Robot</t>
  </si>
  <si>
    <t>Engel</t>
  </si>
  <si>
    <t>THERMOTECH HOUSE - NM ACCOUNTS</t>
  </si>
  <si>
    <t>505-552-9593</t>
  </si>
  <si>
    <t>Queretaro,  Queretaro, MX,  76148</t>
  </si>
  <si>
    <t>Dan Dearey</t>
  </si>
  <si>
    <t>414-259-5465</t>
  </si>
  <si>
    <t>414-479-1216</t>
  </si>
  <si>
    <t>SUSAN SUMMERROW</t>
  </si>
  <si>
    <t>Vesta, Inc</t>
  </si>
  <si>
    <t>Misc.</t>
  </si>
  <si>
    <t>310</t>
  </si>
  <si>
    <t>25.2 - 24.6</t>
  </si>
  <si>
    <t>13135 West Lisbon Road</t>
  </si>
  <si>
    <t>Brookfield,  WI,  53005-2550,  USA</t>
  </si>
  <si>
    <t>952-927-7740</t>
  </si>
  <si>
    <t>MONTROSE MOLDERS</t>
  </si>
  <si>
    <t>J. KELLY WILSON</t>
  </si>
  <si>
    <t>230 ST. NICHOLAS AVE.</t>
  </si>
  <si>
    <t>Improved the print security feature by using named locations verse absolute cell locations.  Updated the "Clear Quote Entry" routine and named other cells.</t>
  </si>
  <si>
    <t>011-523-134-2785</t>
  </si>
  <si>
    <t>011-523-684-7440</t>
  </si>
  <si>
    <t>ODE Enterprises, Inc.</t>
  </si>
  <si>
    <t>24.8 X 22.83</t>
  </si>
  <si>
    <t>850 Ladd Road</t>
  </si>
  <si>
    <t>Building A</t>
  </si>
  <si>
    <t>PO Box 5133</t>
  </si>
  <si>
    <t>Southfield,  MI,  48086-5133,  US</t>
  </si>
  <si>
    <t>Mold Height</t>
  </si>
  <si>
    <t>quoted volume has not been purchased, we will invoice the outstanding balance of the tool price.</t>
  </si>
  <si>
    <t>Anthony Kim</t>
  </si>
  <si>
    <t>408 Dana Street</t>
  </si>
  <si>
    <t>18881 U.S. 31 North</t>
  </si>
  <si>
    <t>FAIRVIEW,  NC,  28730,  US</t>
  </si>
  <si>
    <t>704-628-1711</t>
  </si>
  <si>
    <t>704-628-4711</t>
  </si>
  <si>
    <t>ALCOM</t>
  </si>
  <si>
    <t>PAUL RUESEN</t>
  </si>
  <si>
    <t>58 PROSPERITY AVENUE</t>
  </si>
  <si>
    <t>ROMOLAND,   CA,  92585,  US</t>
  </si>
  <si>
    <t>Lafayette,  IN,  47902-0600,  US</t>
  </si>
  <si>
    <t>256-772-0665</t>
  </si>
  <si>
    <t>3M CO</t>
  </si>
  <si>
    <t>3M CENTER</t>
  </si>
  <si>
    <t>BLDG 235-1F-51</t>
  </si>
  <si>
    <t>125 E. County Line Road</t>
  </si>
  <si>
    <t>Florham Park,  NJ,  07932,  US</t>
  </si>
  <si>
    <t>973-966-2584</t>
  </si>
  <si>
    <t>973-966-2300</t>
  </si>
  <si>
    <t>Craig Dulworth</t>
  </si>
  <si>
    <t>GRAHAM TRANSMISSIONS INC</t>
  </si>
  <si>
    <t>Insert Quote</t>
  </si>
  <si>
    <t>Tooling Breakdown</t>
  </si>
  <si>
    <t>Hopkins Press</t>
  </si>
  <si>
    <t>El Paso Press</t>
  </si>
  <si>
    <t>Mexico Press</t>
  </si>
  <si>
    <t xml:space="preserve">Cost Breakdown </t>
  </si>
  <si>
    <t xml:space="preserve">express or implied with respect to such information or the results expected to be obtained.  Thermotech may experience price increases over which it has no </t>
  </si>
  <si>
    <t>330-995-1156</t>
  </si>
  <si>
    <t>ACK CONTROLS INC.</t>
  </si>
  <si>
    <t>Tool Maint.</t>
  </si>
  <si>
    <t>Terri Kulinski</t>
  </si>
  <si>
    <t>2405 South Calhoun Road</t>
  </si>
  <si>
    <t>New Berlin,  WI,  53151-2709</t>
  </si>
  <si>
    <t>262-786-0700</t>
  </si>
  <si>
    <t>262-786-7323</t>
  </si>
  <si>
    <t>Efficient Material Handling Techniques</t>
  </si>
  <si>
    <t>Plant2103 Phone</t>
  </si>
  <si>
    <t>Jalisco, Mexico 45680</t>
  </si>
  <si>
    <t>Wells Manufacturing Corp.</t>
  </si>
  <si>
    <t>Tony Schank</t>
  </si>
  <si>
    <t>26 S. Brooke St.</t>
  </si>
  <si>
    <t>Fond Du Lac, WI  54935</t>
  </si>
  <si>
    <t>920-926-6615</t>
  </si>
  <si>
    <t>920-922-3585</t>
  </si>
  <si>
    <t>FEIN HULISELAN,  THE NETHERLANDS, 00000,  NL</t>
  </si>
  <si>
    <t>Precision Speed Equipment, Inc.</t>
  </si>
  <si>
    <t>Pedro Ortiz</t>
  </si>
  <si>
    <t>Qty 10:</t>
  </si>
  <si>
    <t>1400 W. Lafayette St.</t>
  </si>
  <si>
    <t>Sturgis,  MI,  49091,  US</t>
  </si>
  <si>
    <t>BEI Duncan Electronics</t>
  </si>
  <si>
    <t>612-785-9229</t>
  </si>
  <si>
    <t>612-785-9669</t>
  </si>
  <si>
    <t>Plating Racks</t>
  </si>
  <si>
    <t>Buried Pack:</t>
  </si>
  <si>
    <t>Auxillary Equipment Calculator</t>
  </si>
  <si>
    <t>P.O. Box 431</t>
  </si>
  <si>
    <t>Press 10 Pack Amt/M:</t>
  </si>
  <si>
    <t>Press 8 Hrs:</t>
  </si>
  <si>
    <t>Press 9 Hrs:</t>
  </si>
  <si>
    <t>Press 10 Hrs:</t>
  </si>
  <si>
    <t>011-52-899-929-1978</t>
  </si>
  <si>
    <t>Warsaw Coil Co.</t>
  </si>
  <si>
    <t>P. O. Box 1057</t>
  </si>
  <si>
    <t>330-527-5220</t>
  </si>
  <si>
    <t>GUNTERSVILLE,  AL,  35976,  US</t>
  </si>
  <si>
    <t>K&amp;S WIRING SYSTEMS, INC.</t>
  </si>
  <si>
    <t>01149-2333-791-4731</t>
  </si>
  <si>
    <t>ORLANDO,  FL,  32814-0394,  US</t>
  </si>
  <si>
    <t>320 Bussen road</t>
  </si>
  <si>
    <t>Emigsville,  PA,  17318,  US</t>
  </si>
  <si>
    <t>Honeywell  Micro Switch</t>
  </si>
  <si>
    <t>Honeywell Inc.</t>
  </si>
  <si>
    <t>11 W. Spring Street</t>
  </si>
  <si>
    <t>DEYOUNG MFG. INC.</t>
  </si>
  <si>
    <t>RICHARD EVANS</t>
  </si>
  <si>
    <t>Asset</t>
  </si>
  <si>
    <t>Sam Lee</t>
  </si>
  <si>
    <t>Ingrid Liddane</t>
  </si>
  <si>
    <t>813-882-5034</t>
  </si>
  <si>
    <t>13000 South Memorial Parkway</t>
  </si>
  <si>
    <t>SCOPE MOLDING</t>
  </si>
  <si>
    <t>NORM MATZEK</t>
  </si>
  <si>
    <t>423-787-8604</t>
  </si>
  <si>
    <t>423-787-8527</t>
  </si>
  <si>
    <t>505-343-0093</t>
  </si>
  <si>
    <t>Number Of Years:</t>
  </si>
  <si>
    <t>716-359-6186</t>
  </si>
  <si>
    <t>217-932-2943</t>
  </si>
  <si>
    <t>4119 WEST GRAND AVE</t>
  </si>
  <si>
    <t>AMITYVILLE,  NY,  11701-0455,  US</t>
  </si>
  <si>
    <t>970-245-0510</t>
  </si>
  <si>
    <t>Porta Systems</t>
  </si>
  <si>
    <t>Bill Ugenti</t>
  </si>
  <si>
    <t>23240 Industrial Park Drive</t>
  </si>
  <si>
    <t>JUDY FLYNN</t>
  </si>
  <si>
    <t>Lucent Technologies</t>
  </si>
  <si>
    <t>PO Box 105145</t>
  </si>
  <si>
    <t>Atlanta,  GA,  30348,  US</t>
  </si>
  <si>
    <t>THERMOTECH HOUSE - FL ACCOUNTS</t>
  </si>
  <si>
    <t>1-800-446-1881</t>
  </si>
  <si>
    <t>Bosch Braking Inc.</t>
  </si>
  <si>
    <t>757-890-1671</t>
  </si>
  <si>
    <t>Bosch Braking Systems Corporation</t>
  </si>
  <si>
    <t>Chris Hicks</t>
  </si>
  <si>
    <t>CINN</t>
  </si>
  <si>
    <t>RJG</t>
  </si>
  <si>
    <t>H. Ostermannv. Roth</t>
  </si>
  <si>
    <t>612-378-1800</t>
  </si>
  <si>
    <t>731-968-4346</t>
  </si>
  <si>
    <t>Valeo Sylvania Ilum. S de RL de CV</t>
  </si>
  <si>
    <t>Dave Schlenke</t>
  </si>
  <si>
    <t>716-277-3527</t>
  </si>
  <si>
    <t>Guadalajara,  JAL,  45070,  MX</t>
  </si>
  <si>
    <t>5.9 - 13.89</t>
  </si>
  <si>
    <t>12x12</t>
  </si>
  <si>
    <t>TOUCH</t>
  </si>
  <si>
    <t>SAN DIMAS,  CA,  91773,  US</t>
  </si>
  <si>
    <t>MEXHON,S.A. DE C.V.</t>
  </si>
  <si>
    <t>Polish</t>
  </si>
  <si>
    <t>(in/sec)</t>
  </si>
  <si>
    <t>Sonic Welder</t>
  </si>
  <si>
    <t>RALEIGH,  NC,  27611-7446,  US</t>
  </si>
  <si>
    <t>TransERA Electronics Inc.</t>
  </si>
  <si>
    <t>Press/Ops</t>
  </si>
  <si>
    <t>Material 4 Cost:</t>
  </si>
  <si>
    <t>Material 4 Price:</t>
  </si>
  <si>
    <t>Packaging:</t>
  </si>
  <si>
    <t>Turnkey Design Services</t>
  </si>
  <si>
    <t>Mike Girard</t>
  </si>
  <si>
    <t>58 Sadler St.</t>
  </si>
  <si>
    <t>mikeg@tdsdesign.com</t>
  </si>
  <si>
    <t>Windsor Locks,  CT  06096</t>
  </si>
  <si>
    <t>Added "New Form" button that will check that the customer number exists, looks for duplicate part numbers, automatically generates a quote number and then saves the template file with the quote number as the workbook file name.</t>
  </si>
  <si>
    <t>434-369-8810</t>
  </si>
  <si>
    <t xml:space="preserve"> Press Shot Size:</t>
  </si>
  <si>
    <t>400 Oakwood Drive</t>
  </si>
  <si>
    <t>Morrison,  IL,  61270</t>
  </si>
  <si>
    <t>MARYVILLE,  TN,  37801-3797,  US</t>
  </si>
  <si>
    <t>Scr. 2 Price/M</t>
  </si>
  <si>
    <t>Rate Scr. 1</t>
  </si>
  <si>
    <t>423-585-2955</t>
  </si>
  <si>
    <t>Larry LaJoie</t>
  </si>
  <si>
    <t>BOB RUTZ</t>
  </si>
  <si>
    <t>561-567-4361</t>
  </si>
  <si>
    <t>561-778-5236</t>
  </si>
  <si>
    <t>631-244-8893</t>
  </si>
  <si>
    <t xml:space="preserve">applications with an average of 15%.  The attached quote provides a comparison of a solid part </t>
  </si>
  <si>
    <t>Cienega dE Flores,  N.L.,  65550,  Mexico</t>
  </si>
  <si>
    <t>001-52-8319-7733</t>
  </si>
  <si>
    <t>27,729 psi</t>
  </si>
  <si>
    <t>4.87</t>
  </si>
  <si>
    <t>106</t>
  </si>
  <si>
    <t>Electra</t>
  </si>
  <si>
    <t>1994</t>
  </si>
  <si>
    <t>35</t>
  </si>
  <si>
    <t>21,054 psi</t>
  </si>
  <si>
    <t>25</t>
  </si>
  <si>
    <t>17.1 X 17.1</t>
  </si>
  <si>
    <t>18.7</t>
  </si>
  <si>
    <t>486</t>
  </si>
  <si>
    <t xml:space="preserve">8.9 </t>
  </si>
  <si>
    <t xml:space="preserve">15.4 </t>
  </si>
  <si>
    <t>201</t>
  </si>
  <si>
    <t>275</t>
  </si>
  <si>
    <t>48</t>
  </si>
  <si>
    <t>10.59</t>
  </si>
  <si>
    <t>18,486 psi</t>
  </si>
  <si>
    <t>37.4</t>
  </si>
  <si>
    <t>24.8 X 24.8</t>
  </si>
  <si>
    <t>V. Lee Garrity</t>
  </si>
  <si>
    <t>Quoted resin price is based on receiving all parts in this package using quoted resin.</t>
  </si>
  <si>
    <t>Cheryl A. Polowy</t>
  </si>
  <si>
    <t>CTS Corporation  Resistor Products</t>
  </si>
  <si>
    <t>Denny Baumgartner</t>
  </si>
  <si>
    <t>1809 WARD DRIVE</t>
  </si>
  <si>
    <t>MURFREESBORO,  TN,  37129,  US</t>
  </si>
  <si>
    <t>615-893-1788</t>
  </si>
  <si>
    <t>Keith Cozart</t>
  </si>
  <si>
    <t>2564 Durham Road</t>
  </si>
  <si>
    <t>P.O. Box 241</t>
  </si>
  <si>
    <t>Roxboro,  NC,  27573</t>
  </si>
  <si>
    <t>336-599-1141</t>
  </si>
  <si>
    <t>COLONIAL WAY</t>
  </si>
  <si>
    <t>WEDM</t>
  </si>
  <si>
    <t>Office Imaging Div.</t>
  </si>
  <si>
    <t>901 Elmgrove Rd</t>
  </si>
  <si>
    <t>203-796-4000</t>
  </si>
  <si>
    <t>203-207-7165</t>
  </si>
  <si>
    <t>IMFSA C/O CASA INT BROKERAGE</t>
  </si>
  <si>
    <t>OTAY MESA</t>
  </si>
  <si>
    <t>10030 MARCONI DRIVE</t>
  </si>
  <si>
    <t>NORBERTO MEJIA/DANIEL</t>
  </si>
  <si>
    <t>SAN DIEGO,  CA,  92154-7202,  US</t>
  </si>
  <si>
    <t>HUBBELL ELECTRICAL PRODUCTS</t>
  </si>
  <si>
    <t>Machine</t>
  </si>
  <si>
    <t>Press Rate</t>
  </si>
  <si>
    <t>Press Min</t>
  </si>
  <si>
    <t>Max Shot</t>
  </si>
  <si>
    <t>Diameter</t>
  </si>
  <si>
    <t>Value</t>
  </si>
  <si>
    <t>Total MFG Cost</t>
  </si>
  <si>
    <t>336-242-6096</t>
  </si>
  <si>
    <t>336-249-8020 or 8794</t>
  </si>
  <si>
    <t>HONDA POWER EQUIPMENT</t>
  </si>
  <si>
    <t>P. O. BOX 7</t>
  </si>
  <si>
    <t>Ellen Saveland</t>
  </si>
  <si>
    <t>973-882-3884</t>
  </si>
  <si>
    <t>Honeywell Microswitch</t>
  </si>
  <si>
    <t>Rep Cost</t>
  </si>
  <si>
    <t>6355 DESOTO AVENUE</t>
  </si>
  <si>
    <t>Milwaukee Electric</t>
  </si>
  <si>
    <t>R and D</t>
  </si>
  <si>
    <t>Fixed Overhead Sub-Total</t>
  </si>
  <si>
    <t>Added operator field check to insure that we do not leave as blank.</t>
  </si>
  <si>
    <t>Thermotech Quoting Guidelines</t>
  </si>
  <si>
    <t>Guideline</t>
  </si>
  <si>
    <t>SALEM,  NJ,  08079,  US</t>
  </si>
  <si>
    <t>ENERGETIC MATERIALS ASSOC.</t>
  </si>
  <si>
    <t>501 Royalston Av</t>
  </si>
  <si>
    <t>THERMOPLASTIC</t>
  </si>
  <si>
    <t>Dave Berg</t>
  </si>
  <si>
    <t>Sturdy Corporation</t>
  </si>
  <si>
    <t>Tony Whitley</t>
  </si>
  <si>
    <t>1822 Carolina Beach Road</t>
  </si>
  <si>
    <t>Jeff Seidel MS 161-61</t>
  </si>
  <si>
    <t>P.O. Box 3608</t>
  </si>
  <si>
    <t>Harrisburg, PA,  17105</t>
  </si>
  <si>
    <t>717-810-2032</t>
  </si>
  <si>
    <t>1720 ROBERT C. JACKSON DRIVE</t>
  </si>
  <si>
    <t>Diamond Electric Mfg.</t>
  </si>
  <si>
    <t>Jerry Maxwell</t>
  </si>
  <si>
    <t>20 x 20</t>
  </si>
  <si>
    <t>29.5 X 29.5</t>
  </si>
  <si>
    <t>Cycle Calculator</t>
  </si>
  <si>
    <t>Pack/Hold</t>
  </si>
  <si>
    <t>Press 1:</t>
  </si>
  <si>
    <t>Press 2:</t>
  </si>
  <si>
    <t>South Bend,  IN,  46628-4001,  US</t>
  </si>
  <si>
    <t>DOVER TWP,  PA,  17315-0250,  US</t>
  </si>
  <si>
    <t>VD</t>
  </si>
  <si>
    <t>NONE</t>
  </si>
  <si>
    <t>DATA</t>
  </si>
  <si>
    <t>GP</t>
  </si>
  <si>
    <t>16 x 13.5</t>
  </si>
  <si>
    <t>2560 GENERAL ARMISTEAD AVE.</t>
  </si>
  <si>
    <t>NORRISTOWN,  PA,  19403,  US</t>
  </si>
  <si>
    <t>SHOALS TECHNOLOGIES GROUP, INC.</t>
  </si>
  <si>
    <t>DEAN SOLON</t>
  </si>
  <si>
    <t>AIRPAX THERMAL SENSING PRODUCTS, INC.</t>
  </si>
  <si>
    <t>DURACELL</t>
  </si>
  <si>
    <t>VICKIEY OKELEY</t>
  </si>
  <si>
    <t>305 EAST US HWY 64</t>
  </si>
  <si>
    <t>LEXINGTON,  NC,  27292,  US</t>
  </si>
  <si>
    <t>Charles Farley</t>
  </si>
  <si>
    <t>1953 Mercer Road</t>
  </si>
  <si>
    <t>Lexington,  KY,  40511-1021</t>
  </si>
  <si>
    <t>Meals and Entertainment</t>
  </si>
  <si>
    <t>Rent</t>
  </si>
  <si>
    <t>Utilities</t>
  </si>
  <si>
    <t>Depreciation</t>
  </si>
  <si>
    <t>Moved "CNC Prog" from design to build hours.  Added "Quoted Cost", "Venting" and "Gate Insert" to tooling section and updated "Clear Calculator" routine.</t>
  </si>
  <si>
    <t>Monroe Plant</t>
  </si>
  <si>
    <t>2740 SOUTH 20TH STREET</t>
  </si>
  <si>
    <t>MILWAUKEE,  WI,  53234,  US</t>
  </si>
  <si>
    <t>414-671-6800</t>
  </si>
  <si>
    <t>T. Kaminski</t>
  </si>
  <si>
    <t>248-364-2245</t>
  </si>
  <si>
    <t>Siemens VDO Automotive Powertrain Group</t>
  </si>
  <si>
    <t>314-725-1806</t>
  </si>
  <si>
    <t>Porter Cable - Delta</t>
  </si>
  <si>
    <t>Greg Griffin</t>
  </si>
  <si>
    <t>Lake Zurich,  IL,  60047,  US</t>
  </si>
  <si>
    <t>Dowty Silcofab</t>
  </si>
  <si>
    <t>Rayovac Corporation</t>
  </si>
  <si>
    <t>601 Rayovac Drive</t>
  </si>
  <si>
    <t>Madison,  WI,  53711-2497</t>
  </si>
  <si>
    <t>608-275-4508</t>
  </si>
  <si>
    <t>608-288-4508</t>
  </si>
  <si>
    <t>WAUKESHA,  WI,  53187-1640</t>
  </si>
  <si>
    <t>Orbis (Menasha)</t>
  </si>
  <si>
    <t>Don Helper</t>
  </si>
  <si>
    <t>Added status indicator, changed position of customer number and quote number fields, revised the "MFG Concepts" sheet with better payback analysis.</t>
  </si>
  <si>
    <t>Sumter Industrial Park</t>
  </si>
  <si>
    <t>P.O. Box 2488</t>
  </si>
  <si>
    <t>Sumter,  SC,  29151-2488,  US</t>
  </si>
  <si>
    <t>803-481-6915</t>
  </si>
  <si>
    <t xml:space="preserve">Pricing is based on customer furnished tooling and assumes the mold, has good cooling, venting and part ejection. </t>
  </si>
  <si>
    <t>Pricing is budgetary pending receipt of specifications and a fully dimensioned and toleranced print.</t>
  </si>
  <si>
    <t>Jon Mikkelson</t>
  </si>
  <si>
    <t>952-988-6156</t>
  </si>
  <si>
    <t>952-988-6109</t>
  </si>
  <si>
    <t>jmikkelson@osmonics.com</t>
  </si>
  <si>
    <t>Sergio Moran</t>
  </si>
  <si>
    <t>915-779-0388</t>
  </si>
  <si>
    <t>Kendall/Kelsar</t>
  </si>
  <si>
    <t>49.941.790.5990</t>
  </si>
  <si>
    <t>DAVID LOCH</t>
  </si>
  <si>
    <t>Tokyo,  ,  ,  JP</t>
  </si>
  <si>
    <t>2300 HIGHWAY 79 SOUTH</t>
  </si>
  <si>
    <t>Rochester,  NY,  14602-0366,  USA</t>
  </si>
  <si>
    <t>TS Kaminski &amp; Co.</t>
  </si>
  <si>
    <t>716-359-6014</t>
  </si>
  <si>
    <t>011-52-33-3684-7440</t>
  </si>
  <si>
    <t>011.5231.451.200</t>
  </si>
  <si>
    <t>110 Main St.</t>
  </si>
  <si>
    <t>JORGE ESPINO</t>
  </si>
  <si>
    <t>12170 ROJAS DRIVE</t>
  </si>
  <si>
    <t>Autoliv</t>
  </si>
  <si>
    <t>Salem,  IN,  47167,  US</t>
  </si>
  <si>
    <t>TIM CLARK</t>
  </si>
  <si>
    <t>DISTRIBUTION PRODUCTS DIVISION</t>
  </si>
  <si>
    <t>5400 TRIANGLE PARKWAY</t>
  </si>
  <si>
    <t>Volkswagen de Mexico</t>
  </si>
  <si>
    <t>TOM HENDRICKS</t>
  </si>
  <si>
    <t>4800 EAST RIVER ROAD</t>
  </si>
  <si>
    <t>MINNEAPOLIS,   MN,  55421,  US</t>
  </si>
  <si>
    <t>SOUTH BEND CONTROLS</t>
  </si>
  <si>
    <t>DAN RICHARDSON</t>
  </si>
  <si>
    <t>ELKHART,  IN,  46514-2292,  US</t>
  </si>
  <si>
    <t>219-295-3575</t>
  </si>
  <si>
    <t>Precision Foam</t>
  </si>
  <si>
    <t>CF Tooling</t>
  </si>
  <si>
    <t>Corregidora,  QRO,  CP,  76900,  MX</t>
  </si>
  <si>
    <t>42-251444</t>
  </si>
  <si>
    <t>502-678-6200</t>
  </si>
  <si>
    <t>Qualification</t>
  </si>
  <si>
    <t xml:space="preserve">Extra Inserts </t>
  </si>
  <si>
    <t>Customer Price:</t>
  </si>
  <si>
    <t>Revised the E-Quote button to automatically save the new workbook named and pre-fixed with an "E" and created a routine to strip out the Autoliv cost sheets if quote was done for Autoliv and it will strip both forms out if both scenario's are active.</t>
  </si>
  <si>
    <t>SALEM,  VA,  24153,  US</t>
  </si>
  <si>
    <t>Valeo</t>
  </si>
  <si>
    <t>CINTHIA MOLINA</t>
  </si>
  <si>
    <t>7A Zane Grey</t>
  </si>
  <si>
    <t>Total Press Hours:</t>
  </si>
  <si>
    <t>SecOps 3</t>
  </si>
  <si>
    <t>860-405-2931</t>
  </si>
  <si>
    <t>860-405-2990</t>
  </si>
  <si>
    <t>Mexico,  ,  ,  MX</t>
  </si>
  <si>
    <t>523-688-0547</t>
  </si>
  <si>
    <t>Per Tom Bogaard added 33 ton press rates for Mexico and checked rates with Scott Mueller.  Updated press validation lists.</t>
  </si>
  <si>
    <t>901 ELMGROVE ROAD</t>
  </si>
  <si>
    <t>Summary Data Scenario 1:</t>
  </si>
  <si>
    <t>Summary Data Scenario 2:</t>
  </si>
  <si>
    <t>Rogers</t>
  </si>
  <si>
    <t>Moldcool</t>
  </si>
  <si>
    <t>Warren E. Schuessler,Jr.</t>
  </si>
  <si>
    <t>615-382-3444</t>
  </si>
  <si>
    <t>615-384-6230</t>
  </si>
  <si>
    <t>Micheal Larose</t>
  </si>
  <si>
    <t>12112 Rojas Drive Suite B</t>
  </si>
  <si>
    <t>Thomas Balmer</t>
  </si>
  <si>
    <t>Sandusky,  OH,  44870</t>
  </si>
  <si>
    <t>JESSICA SMITH</t>
  </si>
  <si>
    <t>727 SOUTH WOLFE STREET</t>
  </si>
  <si>
    <t>Continuity Test</t>
  </si>
  <si>
    <t>Leak Test</t>
  </si>
  <si>
    <t>Cameras</t>
  </si>
  <si>
    <t>EOAT</t>
  </si>
  <si>
    <t>Singulation Die</t>
  </si>
  <si>
    <t>Buss-Out Die</t>
  </si>
  <si>
    <t>Reeling Equip</t>
  </si>
  <si>
    <t>MU</t>
  </si>
  <si>
    <t>Programming</t>
  </si>
  <si>
    <t>Stamping Die 1</t>
  </si>
  <si>
    <t>BW Technologies</t>
  </si>
  <si>
    <t>Randy Kubik</t>
  </si>
  <si>
    <t>2840-2nd Avenue S.E.</t>
  </si>
  <si>
    <t>Fernando Pulido</t>
  </si>
  <si>
    <t>Calle 4, No 10560</t>
  </si>
  <si>
    <t>Thermotech Hopkins Operation</t>
  </si>
  <si>
    <t>Thermotech El Paso Operation</t>
  </si>
  <si>
    <t>Thermotech Mexico Operation</t>
  </si>
  <si>
    <t>Av. De las Fuentes 29, Parq. Ind. Bernardo Quintana</t>
  </si>
  <si>
    <t>Arturo Devora</t>
  </si>
  <si>
    <t>611 JAMISON ROAD</t>
  </si>
  <si>
    <t>FRED STRASBYRG</t>
  </si>
  <si>
    <t>SEMINOLE,  FL,  33776,  US</t>
  </si>
  <si>
    <t>727-595-7870</t>
  </si>
  <si>
    <t>727-596-9615</t>
  </si>
  <si>
    <t>St. Louis,  MS,  63136,  US</t>
  </si>
  <si>
    <t>765-778-6525</t>
  </si>
  <si>
    <t>By</t>
  </si>
  <si>
    <t>WATFORD,  ,  ,  GB</t>
  </si>
  <si>
    <t>5A ZANE GREY</t>
  </si>
  <si>
    <t>Nancy Reulas (Ph.Ext.3760)</t>
  </si>
  <si>
    <t>4100 E. Milham Avenue</t>
  </si>
  <si>
    <t>Resin Scr. One:</t>
  </si>
  <si>
    <t>Hi-Lex Mexicana, SA de CV</t>
  </si>
  <si>
    <t>Rafael Delgado</t>
  </si>
  <si>
    <t>Av. Penuelas 9, Fracc. Ind. San Pedrito</t>
  </si>
  <si>
    <t>DT MAGNETICS</t>
  </si>
  <si>
    <t>ANN THOMAS</t>
  </si>
  <si>
    <t>1001 STEEPLE SQUARE COURT</t>
  </si>
  <si>
    <t>Franklin,  KY,  42134,  US</t>
  </si>
  <si>
    <t>Electrolux Corp.</t>
  </si>
  <si>
    <t>Les Barrett</t>
  </si>
  <si>
    <t>MARYKAY LIETZAU</t>
  </si>
  <si>
    <t>203-271-6306</t>
  </si>
  <si>
    <t>Hot Plate Fixtures</t>
  </si>
  <si>
    <t>Escapements</t>
  </si>
  <si>
    <t>Tooling Fixtures</t>
  </si>
  <si>
    <t>Mexico D.F., 09810,  Mexico</t>
  </si>
  <si>
    <t>011-52-55-81-64-68</t>
  </si>
  <si>
    <t>011-52-55-81-28-56</t>
  </si>
  <si>
    <t>Two Plate Mold</t>
  </si>
  <si>
    <t>419-627-7126</t>
  </si>
  <si>
    <t>MULTICRAFT INTERNATIONAL</t>
  </si>
  <si>
    <t>148 MICHEL STREET</t>
  </si>
  <si>
    <t>BRANDON,  MS,  39042,  US</t>
  </si>
  <si>
    <t>Lance Jones</t>
  </si>
  <si>
    <t>Updated the Mexico Message sub routine with the freight charges per pound from the different resin suppliers.</t>
  </si>
  <si>
    <t>Pre-Price with Target Margin:</t>
  </si>
  <si>
    <t>3425 North 44th Street</t>
  </si>
  <si>
    <t>Lincoln,  NE,  68504,  US</t>
  </si>
  <si>
    <t>402-325-3265</t>
  </si>
  <si>
    <t>402-465-1496</t>
  </si>
  <si>
    <t>Alpha Industries</t>
  </si>
  <si>
    <t>Brent Magers</t>
  </si>
  <si>
    <t>MORRISTOWN,  TN,  37814-1051,  US</t>
  </si>
  <si>
    <t>C ROBO</t>
  </si>
  <si>
    <t>FANUC</t>
  </si>
  <si>
    <t>CY900F</t>
  </si>
  <si>
    <t>Kevin Schwarz</t>
  </si>
  <si>
    <t>5500 Midway Park Place NE</t>
  </si>
  <si>
    <t>Albuquerque,  NM,  87109</t>
  </si>
  <si>
    <t>A.Vallejo</t>
  </si>
  <si>
    <t>THERMOTECH HOUSE - MISC ACCOUNTS</t>
  </si>
  <si>
    <t>IER Industries, Inc</t>
  </si>
  <si>
    <t>Honeywell</t>
  </si>
  <si>
    <t>915-872-3558</t>
  </si>
  <si>
    <t>TDK</t>
  </si>
  <si>
    <t>Total Customer Price:</t>
  </si>
  <si>
    <t>Mold Cost w/ Mark-Up:</t>
  </si>
  <si>
    <t>Added market codes and hierarchy.</t>
  </si>
  <si>
    <t>370 West Waukau Avenue</t>
  </si>
  <si>
    <t>P.O. Box 2566</t>
  </si>
  <si>
    <t>Oshkosh,  WI,  54903-2566,  US</t>
  </si>
  <si>
    <t>Edward Furrow</t>
  </si>
  <si>
    <t>540-949-1446</t>
  </si>
  <si>
    <t>540-949-1989</t>
  </si>
  <si>
    <t>P.O. BOX 3</t>
  </si>
  <si>
    <t>(inches)</t>
  </si>
  <si>
    <t>Cap</t>
  </si>
  <si>
    <t>(H" X V")</t>
  </si>
  <si>
    <t xml:space="preserve"> Mattec</t>
  </si>
  <si>
    <t>Interface</t>
  </si>
  <si>
    <t>Tool Dollars Scr. 1:</t>
  </si>
  <si>
    <t>Tool Dollars Scr. 2:</t>
  </si>
  <si>
    <t>1907 CALUMET STREET</t>
  </si>
  <si>
    <t>262-783-8595</t>
  </si>
  <si>
    <t xml:space="preserve">TS KAMINSKI &amp; CO INC </t>
  </si>
  <si>
    <t>2519 DANA DRIVE</t>
  </si>
  <si>
    <t>LAURINBURG,  NC,  28352,  US</t>
  </si>
  <si>
    <t>DANA CORPORATION/VICTOR REINZ DIV</t>
  </si>
  <si>
    <t>MUD Set</t>
  </si>
  <si>
    <t>Steel</t>
  </si>
  <si>
    <t>Basework</t>
  </si>
  <si>
    <t>Collap. Core</t>
  </si>
  <si>
    <t>12.25 x 12</t>
  </si>
  <si>
    <t>Resin pricing per Mark Fletcher @ $ x.xx/# and (if applicable) $ 00.08/# freight FOB QRO, Mexico.</t>
  </si>
  <si>
    <t>Training</t>
  </si>
  <si>
    <t>Ron Owens &amp; Assoc.</t>
  </si>
  <si>
    <t>7290 26TH COURT EAST</t>
  </si>
  <si>
    <t>HC</t>
  </si>
  <si>
    <t>134</t>
  </si>
  <si>
    <t>40.9 X 40.9</t>
  </si>
  <si>
    <t>810-497-4387</t>
  </si>
  <si>
    <t>Delphi</t>
  </si>
  <si>
    <t>Scr.2</t>
  </si>
  <si>
    <t xml:space="preserve"> Scr. 1</t>
  </si>
  <si>
    <t>Qty Req :</t>
  </si>
  <si>
    <t>Rep Contact:</t>
  </si>
  <si>
    <t>GFL:</t>
  </si>
  <si>
    <t>Commission:</t>
  </si>
  <si>
    <t>Qty Req.</t>
  </si>
  <si>
    <t>Mfg Rate</t>
  </si>
  <si>
    <t>UNITED DEFENSE</t>
  </si>
  <si>
    <t>317-328-4037</t>
  </si>
  <si>
    <t>Daniel Stahlmann</t>
  </si>
  <si>
    <t>757-890-6718</t>
  </si>
  <si>
    <t>RODOLFO ORTIZ</t>
  </si>
  <si>
    <t>NO. 3900 ZONA INDUSTRIAL</t>
  </si>
  <si>
    <t>CARR MEXICO-P. NEGRAS KM. 416,</t>
  </si>
  <si>
    <t>TALLAHASSEE,  FL,  32303,  US</t>
  </si>
  <si>
    <t>850-575-8181</t>
  </si>
  <si>
    <t>716-272-3110</t>
  </si>
  <si>
    <t>Springdale,  AR,  72764,  US</t>
  </si>
  <si>
    <t>AIRCOM</t>
  </si>
  <si>
    <t>ANGIE BARNES</t>
  </si>
  <si>
    <t>JEWELL INSTRUMENTS</t>
  </si>
  <si>
    <t>EUCLID,  OH,  44117,  US</t>
  </si>
  <si>
    <t>216-481-0808</t>
  </si>
  <si>
    <t>Quotation reflects SPI/SPE # XX Precision for tolerances.</t>
  </si>
  <si>
    <t>843-569-1208</t>
  </si>
  <si>
    <t>Susan Oaks</t>
  </si>
  <si>
    <t>WAKO ELECTRONICS</t>
  </si>
  <si>
    <t>Updated set up amounts in press table per E-mail from Jeff Cornell dated 10-15-02.  Per Gary and Jeff we changed the highlighting to reflect required entries.</t>
  </si>
  <si>
    <t>Farmington Hils,  MI,  48335,  US</t>
  </si>
  <si>
    <t>7"X7", 4"X16" BOTHWAYS</t>
  </si>
  <si>
    <t>1203 HAWKINS DRIVE</t>
  </si>
  <si>
    <t>Disposable Reels</t>
  </si>
  <si>
    <t>52</t>
  </si>
  <si>
    <t>14.69</t>
  </si>
  <si>
    <t>28,440 psi</t>
  </si>
  <si>
    <t>PIPER AIRCRAFT</t>
  </si>
  <si>
    <t>SENSOR AND GUIDANCE PRODUCTS</t>
  </si>
  <si>
    <t>2600 RIDGEWAY PARKWAY</t>
  </si>
  <si>
    <t>MINNEAPOLIS,  MN,  55413,  US</t>
  </si>
  <si>
    <t>Pattern</t>
  </si>
  <si>
    <t>Picker/</t>
  </si>
  <si>
    <t>Grinder</t>
  </si>
  <si>
    <t>Piso, Col. Del Valle</t>
  </si>
  <si>
    <t>P.O. BOX 2098</t>
  </si>
  <si>
    <t>Ronald C. Owens</t>
  </si>
  <si>
    <t>Wilburton,  OK,  74578,  US</t>
  </si>
  <si>
    <t>Colder Products Company</t>
  </si>
  <si>
    <t>1001 Westgate Drive</t>
  </si>
  <si>
    <t>Pemstar</t>
  </si>
  <si>
    <t>Jeff Copler</t>
  </si>
  <si>
    <t>3535 Technology Drive</t>
  </si>
  <si>
    <t>Cycle Concept :</t>
  </si>
  <si>
    <t>507-864-2187</t>
  </si>
  <si>
    <t>Apdo. 105-6150</t>
  </si>
  <si>
    <t>MORRIS CAVER</t>
  </si>
  <si>
    <t>1601 Hill Ave, East Wing</t>
  </si>
  <si>
    <t xml:space="preserve">colors. A lighter color material may be used or the surface may be textured or painted to reduce this effect. </t>
  </si>
  <si>
    <t>5520 North Highway 169</t>
  </si>
  <si>
    <t>612-531-3582</t>
  </si>
  <si>
    <t>612-533-0082</t>
  </si>
  <si>
    <t>Customer Part Number:</t>
  </si>
  <si>
    <t>Revision Level:</t>
  </si>
  <si>
    <t>Part Description:</t>
  </si>
  <si>
    <t>Customer Inquiry No.</t>
  </si>
  <si>
    <t>Notes:</t>
  </si>
  <si>
    <t>Ton.</t>
  </si>
  <si>
    <t>517-773-1105</t>
  </si>
  <si>
    <t>1626 MANUFACTURERS DRIVE</t>
  </si>
  <si>
    <t>FENTON,  MO,  63026,  US</t>
  </si>
  <si>
    <t>1320 Pacific Drive</t>
  </si>
  <si>
    <t>Sandia National Laboratories</t>
  </si>
  <si>
    <t>Barry L. Spletzer</t>
  </si>
  <si>
    <t>MS-1003</t>
  </si>
  <si>
    <t>1515 Eubank SE</t>
  </si>
  <si>
    <t>Albuquerque,  NM,  87123</t>
  </si>
  <si>
    <t>Vacuum Channels</t>
  </si>
  <si>
    <t>Outside Services</t>
  </si>
  <si>
    <t>Customer Number</t>
  </si>
  <si>
    <t>Customer Name</t>
  </si>
  <si>
    <t>Part Number</t>
  </si>
  <si>
    <t>Revision</t>
  </si>
  <si>
    <t>Part Name</t>
  </si>
  <si>
    <t>Date Received</t>
  </si>
  <si>
    <t>Date Due</t>
  </si>
  <si>
    <t>Rep Contact</t>
  </si>
  <si>
    <t>2101-033</t>
  </si>
  <si>
    <t>2101-074</t>
  </si>
  <si>
    <t>2101-099</t>
  </si>
  <si>
    <t>2103-074</t>
  </si>
  <si>
    <t>2103-099</t>
  </si>
  <si>
    <t>2104-099</t>
  </si>
  <si>
    <t>074</t>
  </si>
  <si>
    <t>099</t>
  </si>
  <si>
    <t>033</t>
  </si>
  <si>
    <t>Shot Size To Small:</t>
  </si>
  <si>
    <t>40/30</t>
  </si>
  <si>
    <t>Updated GFL on and Note2104 routine to note repeat the note that is automatically pasted in when these routines are triggered.  Added the quote entry update to the print quote entry routine to eliminate the possibility of not selecting the update button under Press/Ops.  Added expanded data validation lists for ease of press entry. Updated packaging rate validation and header.</t>
  </si>
  <si>
    <t>847-288-8464</t>
  </si>
  <si>
    <t>Metal Welding</t>
  </si>
  <si>
    <t>OCOYOACAC ESTADO DE MEXICO,  52740,  MX</t>
  </si>
  <si>
    <t>011.5272.8766.11</t>
  </si>
  <si>
    <t>011.5272.8766.15</t>
  </si>
  <si>
    <t>SANMINA CORPORATION</t>
  </si>
  <si>
    <t>727-442-0414</t>
  </si>
  <si>
    <t>727-441-8066</t>
  </si>
  <si>
    <t>Calgary,  AB,  T2A,  7X9,  Canada</t>
  </si>
  <si>
    <t>403-248-9226  Ext. 225</t>
  </si>
  <si>
    <t>403-273-3708</t>
  </si>
  <si>
    <t>81800 Couffoulex  01</t>
  </si>
  <si>
    <t>AMERICAN METER COMPANY</t>
  </si>
  <si>
    <t>FERN WELNIAK</t>
  </si>
  <si>
    <t>INDUSTRIAL ROAD</t>
  </si>
  <si>
    <t>Sara Fuller</t>
  </si>
  <si>
    <t>937-455-9130</t>
  </si>
  <si>
    <t>Ohi America</t>
  </si>
  <si>
    <t>Claude Wagner</t>
  </si>
  <si>
    <t>1030 Hoover Blvd</t>
  </si>
  <si>
    <t>Frankfort,  KY,  40601-8202</t>
  </si>
  <si>
    <t>Laurent Satge</t>
  </si>
  <si>
    <t>Montevideo,  MN,  56265,  US</t>
  </si>
  <si>
    <t>Set File default location as "G:\Departmt\67ESTIMA\Excel Quotes" and altered the "New Form" routine to save to "G:\Departmt\67ESTIMA\Excel Quotes"&amp;QuotenumAAA.  Using named cells on the "Customer Quote Each" sheet.                                                       Setting up other named cells to facilitate a floating work sheet that we can add multiple material and press operation lines.</t>
  </si>
  <si>
    <t>Added "NameCells" sub routine to insure named cell location exist that help locate and trigger other sub routines.</t>
  </si>
  <si>
    <t>Modify the SaveAddChange Customer Master routine to always save as the current file name and to estimating G drive sub directory.</t>
  </si>
  <si>
    <t>Press 10 Tonnage:</t>
  </si>
  <si>
    <t>219-267-6041</t>
  </si>
  <si>
    <t>Quotation assumes radius where sharp corners are shown on part print.</t>
  </si>
  <si>
    <t>24777 Denso Drive</t>
  </si>
  <si>
    <t>JULIE GRIFFIN</t>
  </si>
  <si>
    <t>1800 FREEWAY BLVD.</t>
  </si>
  <si>
    <t>Bosch Braking Systems Corp</t>
  </si>
  <si>
    <t>Acounts Payable</t>
  </si>
  <si>
    <t>DIANA WALTERS, P.M.</t>
  </si>
  <si>
    <t>901 PAGE AVENUE</t>
  </si>
  <si>
    <t>FREMONT,  CA,  94538,  US</t>
  </si>
  <si>
    <t>VICKERS</t>
  </si>
  <si>
    <t>CINCINNATI,  OH,  45209,  US</t>
  </si>
  <si>
    <t>Kristin Gusmano</t>
  </si>
  <si>
    <t>701 N. Greenwood Ave.</t>
  </si>
  <si>
    <t>*Note:  If additional gage/fixture's are required please detail in</t>
  </si>
  <si>
    <t>Electrodes</t>
  </si>
  <si>
    <t>519-436-3879</t>
  </si>
  <si>
    <t>612-378-5503</t>
  </si>
  <si>
    <t>952-988-9519</t>
  </si>
  <si>
    <t>716-667-6426</t>
  </si>
  <si>
    <t>716-662-0366</t>
  </si>
  <si>
    <t>Square D Company</t>
  </si>
  <si>
    <t>CIUDAD JUAREZ,  CHI,  ,  MX</t>
  </si>
  <si>
    <t>011.5216.3301.13</t>
  </si>
  <si>
    <t>011.5216.3303.12</t>
  </si>
  <si>
    <t>KRUPP FABCO</t>
  </si>
  <si>
    <t>DENNIS BUNNING</t>
  </si>
  <si>
    <t>Flex-N-Gate Mexico, S de RL de CV</t>
  </si>
  <si>
    <t>Carlos Hidalgo</t>
  </si>
  <si>
    <t>E1001</t>
  </si>
  <si>
    <t>Eleanor,  WV,  25070</t>
  </si>
  <si>
    <t>Midlantic Sales Co., Inc.</t>
  </si>
  <si>
    <t>Extended the " delete blank lines " routine to include the internal note section.  This was done for Gary Staffanson.</t>
  </si>
  <si>
    <t>Interstate Schlafer Supply</t>
  </si>
  <si>
    <t>Ultradent Products, Inc.</t>
  </si>
  <si>
    <t>Donald I. Heater</t>
  </si>
  <si>
    <t>R&amp;D Engineering</t>
  </si>
  <si>
    <t>231 W. Cottage Ave.</t>
  </si>
  <si>
    <t>Sandy,  UT,  84070</t>
  </si>
  <si>
    <t>801-566-2737</t>
  </si>
  <si>
    <t>Delphi WorldWide Purchasing</t>
  </si>
  <si>
    <t>P.O. Box 20366</t>
  </si>
  <si>
    <t>120mm, 3.5", 160mm see print</t>
  </si>
  <si>
    <t>5.9 X 20.08</t>
  </si>
  <si>
    <t>Tool Maint 2101</t>
  </si>
  <si>
    <t>Tool Maint 2103</t>
  </si>
  <si>
    <t>Sprue and Runner Factor</t>
  </si>
  <si>
    <t>33-04-72-01-34-34</t>
  </si>
  <si>
    <t>33-04-72-01-34-50</t>
  </si>
  <si>
    <t>Huf North America</t>
  </si>
  <si>
    <t>Aurra Industries, Inc.</t>
  </si>
  <si>
    <t>Raymond Kem</t>
  </si>
  <si>
    <t>403 SW 33rd Street</t>
  </si>
  <si>
    <t>941-355-9761</t>
  </si>
  <si>
    <t>Orlando,  FL,  32825,  US</t>
  </si>
  <si>
    <t>J-Mark</t>
  </si>
  <si>
    <t>Joan Drexler</t>
  </si>
  <si>
    <t>2790 Ranchview Lane</t>
  </si>
  <si>
    <t>GALESVILLE,  WI,  54630,  US</t>
  </si>
  <si>
    <t>3M Center Bldg. 216-2N-07</t>
  </si>
  <si>
    <t>651-733-2524</t>
  </si>
  <si>
    <t>651-736-2739</t>
  </si>
  <si>
    <t>4800 Saginaw St.</t>
  </si>
  <si>
    <t>Fort Wayne,  IN  46809  USA</t>
  </si>
  <si>
    <t>219-479-4700</t>
  </si>
  <si>
    <t>AREA LIGHTING RESEARCH, INC.</t>
  </si>
  <si>
    <t>Ennepetal,  Germany,  58256</t>
  </si>
  <si>
    <t>Auburn Hills,  MI,  48326,  USA</t>
  </si>
  <si>
    <t>248-393-5331</t>
  </si>
  <si>
    <t>248-393-5339</t>
  </si>
  <si>
    <t>716-439-3818</t>
  </si>
  <si>
    <t>Sumida Electronica de Mexico</t>
  </si>
  <si>
    <t>All Plants</t>
  </si>
  <si>
    <t>After Sample Approval:</t>
  </si>
  <si>
    <t>4 to 6</t>
  </si>
  <si>
    <t>Flash Callouts</t>
  </si>
  <si>
    <t>Johnson Controls</t>
  </si>
  <si>
    <t>Margarita Espindola</t>
  </si>
  <si>
    <t>Montes Urales 530, Lomas de Chapultepec</t>
  </si>
  <si>
    <t>margarita.espindola@jci.com</t>
  </si>
  <si>
    <t>because the gas inclusions create an opaque part.  Also a slight frosted surface finish will be noticed particularly on dark</t>
  </si>
  <si>
    <t>What is a precision foamed part?</t>
  </si>
  <si>
    <t>Fuquay-Varina,  N.C.,  27526-9349</t>
  </si>
  <si>
    <t>Dave Noreen</t>
  </si>
  <si>
    <t>918-465-2348X617</t>
  </si>
  <si>
    <t>918-465-3540</t>
  </si>
  <si>
    <t>Robert Bosch Corporation</t>
  </si>
  <si>
    <t>8101 Dorechester Road</t>
  </si>
  <si>
    <t>El Paso,  TX,  79912,  US</t>
  </si>
  <si>
    <t>Resin Price:</t>
  </si>
  <si>
    <t>Rochester,  NY,  14650,  US</t>
  </si>
  <si>
    <t>Tool Maint. Cost Scr. 1</t>
  </si>
  <si>
    <t>SAIA - Burgess Electronics</t>
  </si>
  <si>
    <t>Ledex &amp; Dormeyer Products</t>
  </si>
  <si>
    <t>DANA CORPORATION</t>
  </si>
  <si>
    <t>Proposal Number:</t>
  </si>
  <si>
    <t>POPLAR BLUFF,  MO,  63901,  US</t>
  </si>
  <si>
    <t>573-686-3004</t>
  </si>
  <si>
    <t>573-686-2140</t>
  </si>
  <si>
    <t>Mentor Urology</t>
  </si>
  <si>
    <t>Edgar Monreal</t>
  </si>
  <si>
    <t>Ar de la Montana 102 Parq Ind Querertaro</t>
  </si>
  <si>
    <t>011-52-442-211-5205</t>
  </si>
  <si>
    <t>Steve Stachelski</t>
  </si>
  <si>
    <t>330-373-5304</t>
  </si>
  <si>
    <t>814-234-7044</t>
  </si>
  <si>
    <t>773-265-2010</t>
  </si>
  <si>
    <t>773-235-2996</t>
  </si>
  <si>
    <t>2101-SecOps</t>
  </si>
  <si>
    <t xml:space="preserve">  Runner Data: Scr. One</t>
  </si>
  <si>
    <t>R. A. Valos</t>
  </si>
  <si>
    <t>2919 COMMONWEALTH BLVD.</t>
  </si>
  <si>
    <t>Pemstar de Mexico, SA de CV</t>
  </si>
  <si>
    <t>Strattec</t>
  </si>
  <si>
    <t>517-369-7217</t>
  </si>
  <si>
    <t>Antonio Vallejo/Jim Kozlowski</t>
  </si>
  <si>
    <t>Jackie Anderson</t>
  </si>
  <si>
    <t>RICK.CARON@menasha.com</t>
  </si>
  <si>
    <t>Dave Gamache, CPIM</t>
  </si>
  <si>
    <t>1259 Willow Lake Boulevard</t>
  </si>
  <si>
    <t>Delphi Saginaw Steering Systems</t>
  </si>
  <si>
    <t>Theresa Fowler</t>
  </si>
  <si>
    <t>989-757-4426</t>
  </si>
  <si>
    <t>989-757-4527</t>
  </si>
  <si>
    <t>3400 South Kelly Drive</t>
  </si>
  <si>
    <t>Siebe Automotive</t>
  </si>
  <si>
    <t>Chris Haines</t>
  </si>
  <si>
    <t>3955 Pinnacle Court</t>
  </si>
  <si>
    <t>SEC</t>
  </si>
  <si>
    <t>Marysville, OH</t>
  </si>
  <si>
    <t>K.Christian</t>
  </si>
  <si>
    <t>Round Lake, IL  60073</t>
  </si>
  <si>
    <t>Ron Owens &amp; Associates</t>
  </si>
  <si>
    <t>847-270-4119</t>
  </si>
  <si>
    <t>Christopher C. Morgensen</t>
  </si>
  <si>
    <t>Hyw. 43 North</t>
  </si>
  <si>
    <t>9231 PENN AVENUE SOUTH</t>
  </si>
  <si>
    <t>STANDEX ELECTRONICS</t>
  </si>
  <si>
    <t>GUS MENDOZA</t>
  </si>
  <si>
    <t>2270 Bristol Circle</t>
  </si>
  <si>
    <t>Oakville,  ON,  L6H 5S3,  CA</t>
  </si>
  <si>
    <t>Olin</t>
  </si>
  <si>
    <t>Southeast Sales Office</t>
  </si>
  <si>
    <t>EMB CORPORATION</t>
  </si>
  <si>
    <t>BONNIE COX</t>
  </si>
  <si>
    <t>GLASKOW,  KY,  42142,  US</t>
  </si>
  <si>
    <t>Added pull down menu on packaging field with data validation feature.</t>
  </si>
  <si>
    <t>Siemens VDO Automotive Electric Ltd</t>
  </si>
  <si>
    <t>Siemens VDO Automotive SA Toulouse</t>
  </si>
  <si>
    <t>Siemens VDO Automotive EC</t>
  </si>
  <si>
    <t>Siemens VDO Automotive Canada Limited</t>
  </si>
  <si>
    <t>Siemens VDO Automotive</t>
  </si>
  <si>
    <t>Siemens VDO Automotive S.A. de C.V.</t>
  </si>
  <si>
    <t xml:space="preserve">Siemens VDO Automotive </t>
  </si>
  <si>
    <t>SERVICE TRENDS</t>
  </si>
  <si>
    <t>Siemens VDO Automotive Energy &amp; Automation, INC.</t>
  </si>
  <si>
    <t>Siemens VDO Automotive SA de CV</t>
  </si>
  <si>
    <t>Logical Test Overhead</t>
  </si>
  <si>
    <t>Automated Assembly</t>
  </si>
  <si>
    <t>Manual Assembly</t>
  </si>
  <si>
    <t>No Assembly</t>
  </si>
  <si>
    <t>Pricing assumes customer furnished tooling is capable of producing acceptable parts in a reasonable cycle time.</t>
  </si>
  <si>
    <t>Guadalajara, Jalisco,  ,  44940,  MX</t>
  </si>
  <si>
    <t>011-523-145-1200</t>
  </si>
  <si>
    <t>5100 W WATERS AVE.</t>
  </si>
  <si>
    <t>TAMPA,  FL,  33634,  US</t>
  </si>
  <si>
    <t>and obsolete inventories are created when forced to purchase suppliers</t>
  </si>
  <si>
    <t>minimum quantity.</t>
  </si>
  <si>
    <t>414-671-0521</t>
  </si>
  <si>
    <t>55</t>
  </si>
  <si>
    <t>PPH</t>
  </si>
  <si>
    <t>$/HR</t>
  </si>
  <si>
    <t>Inches:</t>
  </si>
  <si>
    <t>Estimated Cost Each</t>
  </si>
  <si>
    <t>Ventrax - 5P2600</t>
  </si>
  <si>
    <t>24x24</t>
  </si>
  <si>
    <t>Relays</t>
  </si>
  <si>
    <t>27.9x27.9</t>
  </si>
  <si>
    <t>D-platten</t>
  </si>
  <si>
    <t>Hargraves Technology Corporation</t>
  </si>
  <si>
    <t>Nathan Davis</t>
  </si>
  <si>
    <t>127 Speedway Drive</t>
  </si>
  <si>
    <t>Mooresville,  NC,  28117</t>
  </si>
  <si>
    <t>704-662-3500  Ext. 230</t>
  </si>
  <si>
    <t>added additional insert checks to "Print Quote Entry" routine.  It looks at material indicator and looks for the word "Buyout" and then checks the related material field to see if it is &gt;"".</t>
  </si>
  <si>
    <t>248-813-4358</t>
  </si>
  <si>
    <t>George E. Albrecht</t>
  </si>
  <si>
    <t>El Paso,  TX,  79906,  US</t>
  </si>
  <si>
    <t>Dana Engine Management</t>
  </si>
  <si>
    <t>JOHNSON ELECTRIC AUTOMOTIVE INC.</t>
  </si>
  <si>
    <t>401 S McCRARY ROAD</t>
  </si>
  <si>
    <t>Glen Allen,  VA,  23060</t>
  </si>
  <si>
    <t>Vinod Miranda</t>
  </si>
  <si>
    <t>915-779-0411/Ext. 39</t>
  </si>
  <si>
    <t>Inplax, Sa de CV</t>
  </si>
  <si>
    <t>Rene A. Carrillo</t>
  </si>
  <si>
    <t>Quote is based on the part being measured in a restrained position.</t>
  </si>
  <si>
    <t>THERMOTECH HOUSE- MN ACCOUNTS</t>
  </si>
  <si>
    <t>321-268-5500</t>
  </si>
  <si>
    <t>321-268-0505</t>
  </si>
  <si>
    <t>Press 7:</t>
  </si>
  <si>
    <t>Press 7</t>
  </si>
  <si>
    <t>248-922-2243</t>
  </si>
  <si>
    <t>Krups</t>
  </si>
  <si>
    <t>Peter Micciulla</t>
  </si>
  <si>
    <t>36 Cromer St.</t>
  </si>
  <si>
    <t>ENGEL</t>
  </si>
  <si>
    <t>A01</t>
  </si>
  <si>
    <t>6 - 14.96</t>
  </si>
  <si>
    <t>16 x 13.625</t>
  </si>
  <si>
    <t>22.44 X 21.73</t>
  </si>
  <si>
    <t>7", 16", 28" BOTHWAYS</t>
  </si>
  <si>
    <t>952-933-9412</t>
  </si>
  <si>
    <t>1301 Industrial Rd.</t>
  </si>
  <si>
    <t>Hudson,  WI,  55016,  US</t>
  </si>
  <si>
    <t>920-733-9074</t>
  </si>
  <si>
    <t xml:space="preserve">Code </t>
  </si>
  <si>
    <t>MIKE BOYER</t>
  </si>
  <si>
    <t>DEKA ROAD</t>
  </si>
  <si>
    <t>LYON STATION,  PA,  19536,  US</t>
  </si>
  <si>
    <t>Mark Ups per guideline</t>
  </si>
  <si>
    <t>2601 W Battlefield</t>
  </si>
  <si>
    <t>P.O. Box 7257</t>
  </si>
  <si>
    <t>TECH DEVELOPMENT INC.</t>
  </si>
  <si>
    <t>TOM HOHLEN</t>
  </si>
  <si>
    <t>616-656-1504</t>
  </si>
  <si>
    <t>Sensor Cables Automotive de Mexico, Sa de CV</t>
  </si>
  <si>
    <t>El Marques,  Queretaro,  MX,  76246</t>
  </si>
  <si>
    <t>Added new rep "Cascade Marketing" and updated the logic for calculating the min release amount.  The formula now looks at the "min cost" field on the quote entry form instead of the Vlook up table on the formula sheet.</t>
  </si>
  <si>
    <t>Fracc. Industrial San Perito</t>
  </si>
  <si>
    <t>El Paso,  TX,  79906</t>
  </si>
  <si>
    <t>V. Miranda</t>
  </si>
  <si>
    <t>915-783-4200 Ext. 2063</t>
  </si>
  <si>
    <t>915-595-6071</t>
  </si>
  <si>
    <t>Mike Davis</t>
  </si>
  <si>
    <t>6436 Country Rd. 11</t>
  </si>
  <si>
    <t>Pequot Lakes,, MN,  56472</t>
  </si>
  <si>
    <t>Cd. Juarez, Chih,  MX</t>
  </si>
  <si>
    <t>011-5216-106147</t>
  </si>
  <si>
    <t>7" BOTHWAYS, CENTER</t>
  </si>
  <si>
    <t>5.9 - 15.75</t>
  </si>
  <si>
    <t>14.17 X 14.17</t>
  </si>
  <si>
    <t>135</t>
  </si>
  <si>
    <t>DURHAM,  NC,  27701,  US</t>
  </si>
  <si>
    <t>MISSISSUAGA,  ON,  L5M-3T4,  CA</t>
  </si>
  <si>
    <t>216-266-6540</t>
  </si>
  <si>
    <t>Quotation assumes CF inserts and that any nests and fixtures will be sent with the tooling.</t>
  </si>
  <si>
    <t>HotRunner Off</t>
  </si>
  <si>
    <t>Crossroads Industrial Park</t>
  </si>
  <si>
    <t>One:</t>
  </si>
  <si>
    <t>Two:</t>
  </si>
  <si>
    <t>Fred Witmer</t>
  </si>
  <si>
    <t>2650 Opdyke Rd.</t>
  </si>
  <si>
    <t>Auburn Hills,  MI,  48321-7009</t>
  </si>
  <si>
    <t>14973/11505</t>
  </si>
  <si>
    <t>Jim Kozlowski/Matt Hardy</t>
  </si>
  <si>
    <t>Waseca,  MN,  56093,  US</t>
  </si>
  <si>
    <t>215 INDUSTRIAL DRIVE</t>
  </si>
  <si>
    <t>MUSCLE SHOALS,  AL,  35661,  US</t>
  </si>
  <si>
    <t>Percentage</t>
  </si>
  <si>
    <t>Breakdown</t>
  </si>
  <si>
    <t>Milwaukee,  WI,  53209,  US</t>
  </si>
  <si>
    <t>Sales Contact</t>
  </si>
  <si>
    <t>Estimator</t>
  </si>
  <si>
    <t>Status</t>
  </si>
  <si>
    <t>Hot Runner Flag</t>
  </si>
  <si>
    <t>Automation Flag</t>
  </si>
  <si>
    <t>TELEPHONE SERVICES OF FLORIDA</t>
  </si>
  <si>
    <t>CHUCK DANIELS</t>
  </si>
  <si>
    <t>P.O. BOX 14557</t>
  </si>
  <si>
    <t>DAYTON,  OH,  45414,  US</t>
  </si>
  <si>
    <t>RAYCOM ELECTRONICS INC</t>
  </si>
  <si>
    <t>Per request of Antonio and OK by Tom Bogaard, added a routine to evaluate for scenario two and adjust the customer quote form based on the scenario's available.</t>
  </si>
  <si>
    <t>KANSAS CITY,  MO,  64141,  US</t>
  </si>
  <si>
    <t>EAU CLAIRE,  WI,  54703,  US</t>
  </si>
  <si>
    <t>715-839-2224</t>
  </si>
  <si>
    <t>715-839-2148</t>
  </si>
  <si>
    <t>EATON CORPORATION</t>
  </si>
  <si>
    <t>2564 DURHAM ROAD</t>
  </si>
  <si>
    <t>P.O. BOX 241</t>
  </si>
  <si>
    <t>CAM/VEL</t>
  </si>
  <si>
    <t>5.9 - 17.5</t>
  </si>
  <si>
    <t>138</t>
  </si>
  <si>
    <t>XQ800F</t>
  </si>
  <si>
    <t>140</t>
  </si>
  <si>
    <t>14312 Franklin Avenue</t>
  </si>
  <si>
    <t>770-326-2283</t>
  </si>
  <si>
    <t>317-844-9726</t>
  </si>
  <si>
    <t>201 SOUTH ROGERS LANE</t>
  </si>
  <si>
    <t>RALEIGH,  NC,  27610,  US</t>
  </si>
  <si>
    <t>HR Automotive Mexico S de R.L. de C.V.</t>
  </si>
  <si>
    <t>Francisco Alanis Jurado</t>
  </si>
  <si>
    <t>Eje 128, #190 Nave 4 Zona Industrial 2da Secc.</t>
  </si>
  <si>
    <t>Carretera Mexico - Piedras Negras y CFE</t>
  </si>
  <si>
    <t>San Luis Potosi, S.L.P. C.P., Mexico,  78395</t>
  </si>
  <si>
    <t>14501 Los Angeles Ave.</t>
  </si>
  <si>
    <t>Moorpark, CA,  93021-9738</t>
  </si>
  <si>
    <t>Kris Mauldin, Cascade Marketing, Inc.</t>
  </si>
  <si>
    <t>805-523-8475</t>
  </si>
  <si>
    <t>734-484-9283</t>
  </si>
  <si>
    <t>ETTERS,  PA,  17319-9769,  US</t>
  </si>
  <si>
    <t>EXPERT SERVICES GROUP</t>
  </si>
  <si>
    <t>WINCHESTER,  VA,  22603,  US</t>
  </si>
  <si>
    <t>DBF SALES INC.</t>
  </si>
  <si>
    <t>21-07 BORDEN AVENUE</t>
  </si>
  <si>
    <t>LONG ISLAND,  NY,  11101,  US</t>
  </si>
  <si>
    <t>165 EILEEN WAY</t>
  </si>
  <si>
    <t>NORCROSS,  GA,  30092,  US</t>
  </si>
  <si>
    <t>651-733-8293</t>
  </si>
  <si>
    <t>Jack Galco</t>
  </si>
  <si>
    <t>Gloria Salazar</t>
  </si>
  <si>
    <t>011-52-442-238-0475</t>
  </si>
  <si>
    <t>Asmo North Carolina</t>
  </si>
  <si>
    <t>Mr. Dan Scott</t>
  </si>
  <si>
    <t>470 Crawford Road</t>
  </si>
  <si>
    <t>Statesville, NC,  28625-8504</t>
  </si>
  <si>
    <t>Added "Sort/Filter button for the customer master sheet.</t>
  </si>
  <si>
    <t>28.3x25.2</t>
  </si>
  <si>
    <t>16x16</t>
  </si>
  <si>
    <t>Rochester,  NY,  14602-0366</t>
  </si>
  <si>
    <t>812-268-0417</t>
  </si>
  <si>
    <t>WALTHAM,  MA,  02254-9109,  US</t>
  </si>
  <si>
    <t>Cincinnatti,  OH,  45246,  US</t>
  </si>
  <si>
    <t>Shot Size Factor</t>
  </si>
  <si>
    <t>processing and that gas dissipates shortly after molding.</t>
  </si>
  <si>
    <t>Quotes a 15%  Wgt. reduction to the BOM.</t>
  </si>
  <si>
    <t>615-563-5120</t>
  </si>
  <si>
    <t>P.O. BOX 140000</t>
  </si>
  <si>
    <t>HUNTSVILLE,  AL,  25814-4000,  US</t>
  </si>
  <si>
    <t>Ben Tomblinson</t>
  </si>
  <si>
    <t>812-385-3000</t>
  </si>
  <si>
    <t>John Alderman</t>
  </si>
  <si>
    <t>Added the Autoliv Tooling Cost Breakdown per Jim's request.  Sheet is under construction and not ready for release.</t>
  </si>
  <si>
    <t>952-352-9720</t>
  </si>
  <si>
    <t>Order Release %:</t>
  </si>
  <si>
    <t>Why should I consider a precision foam part?</t>
  </si>
  <si>
    <t>Jeff Stege</t>
  </si>
  <si>
    <t>1601 N. Averill Avenue</t>
  </si>
  <si>
    <t>Flint,  MI.,  48556,  USA</t>
  </si>
  <si>
    <t>810-257-2971</t>
  </si>
  <si>
    <t>Strongsville Industrial Park,  OH,  44136,  US</t>
  </si>
  <si>
    <t>Toluca, Edo. De Mexico,   Mexico</t>
  </si>
  <si>
    <t>011-52-722-272-0166</t>
  </si>
  <si>
    <t>8820 route 148</t>
  </si>
  <si>
    <t>DECATUR,  AL,  35601,  US</t>
  </si>
  <si>
    <t>G1012-M1</t>
  </si>
  <si>
    <t>Van Dorn</t>
  </si>
  <si>
    <t>13.6x16</t>
  </si>
  <si>
    <t>Siemens EL</t>
  </si>
  <si>
    <t>VL-3</t>
  </si>
  <si>
    <t>Cincinnati</t>
  </si>
  <si>
    <t>Transact Technologies</t>
  </si>
  <si>
    <t>Mark Lapoint</t>
  </si>
  <si>
    <t>7 Laser Lane</t>
  </si>
  <si>
    <t>Wallingford,  CT,  06492</t>
  </si>
  <si>
    <t>203-949-9933</t>
  </si>
  <si>
    <t>203-949-9048</t>
  </si>
  <si>
    <t>S. P Wittmann</t>
  </si>
  <si>
    <t>Nelmor</t>
  </si>
  <si>
    <t>CTCM</t>
  </si>
  <si>
    <t>Nucon</t>
  </si>
  <si>
    <t>7", 4" x 16"</t>
  </si>
  <si>
    <t>311</t>
  </si>
  <si>
    <t>25.21 X 24.6</t>
  </si>
  <si>
    <t>25.2 X 24.6</t>
  </si>
  <si>
    <t>150m</t>
  </si>
  <si>
    <t>VL3</t>
  </si>
  <si>
    <t>21 x 18.12</t>
  </si>
  <si>
    <t>Reprd.  2000</t>
  </si>
  <si>
    <t>2900 Scatterfield Road</t>
  </si>
  <si>
    <t>SCOTT.JUKICH@menasha.com</t>
  </si>
  <si>
    <t>1101 Vincennes Ave</t>
  </si>
  <si>
    <t>Flora, IL  62839</t>
  </si>
  <si>
    <t>T.S. Kaminski &amp; Co. Ben Tomblinson</t>
  </si>
  <si>
    <t>Patrick Breen</t>
  </si>
  <si>
    <t>8271 Bavaria Road</t>
  </si>
  <si>
    <t>Sincerely,</t>
  </si>
  <si>
    <t>COLUMBUS,  MS,  39704-2228,  US</t>
  </si>
  <si>
    <t>662-245-4449</t>
  </si>
  <si>
    <t>662-245-4491</t>
  </si>
  <si>
    <t>Monica Green</t>
  </si>
  <si>
    <t>Danou Technical Center</t>
  </si>
  <si>
    <t>16630 Southfield Road, Suite 3100</t>
  </si>
  <si>
    <t>8900 West Tower Avenue</t>
  </si>
  <si>
    <t>011-5216-106833</t>
  </si>
  <si>
    <t>Battelle Pulmonary Therapeutics Inc</t>
  </si>
  <si>
    <t>523-619-1720X113</t>
  </si>
  <si>
    <t>523-619-1730</t>
  </si>
  <si>
    <t>Perm Magnetics</t>
  </si>
  <si>
    <t>29.1 X 29.1</t>
  </si>
  <si>
    <t>Customer Number:</t>
  </si>
  <si>
    <t>Air Fuel Modules Division</t>
  </si>
  <si>
    <t>Program will determine project development lead-time for any plant by using the value of the tooling maintenance category being quoted.</t>
  </si>
  <si>
    <t>P.O. BOX 523</t>
  </si>
  <si>
    <t>STANADYNE AUTOMOTIVE</t>
  </si>
  <si>
    <t>PAT KAYE</t>
  </si>
  <si>
    <t>AEROSPACE CONTROL DIVISION</t>
  </si>
  <si>
    <t>2250 WHITFIELD AVE E</t>
  </si>
  <si>
    <t>General Electric Fanuc Automation</t>
  </si>
  <si>
    <t>Route 29 North &amp; Route 606</t>
  </si>
  <si>
    <t>Stan Nowak</t>
  </si>
  <si>
    <t>Per Hour Cost</t>
  </si>
  <si>
    <t>Sales</t>
  </si>
  <si>
    <t>Sales Per Machine Hour</t>
  </si>
  <si>
    <t>Keytronic EMS</t>
  </si>
  <si>
    <t>Gonzalo Varillas Molding Operations Manager</t>
  </si>
  <si>
    <t>14B Butterfield Trail</t>
  </si>
  <si>
    <t>El Paso,  Tx,  79906,  USA</t>
  </si>
  <si>
    <t>915-774-7908</t>
  </si>
  <si>
    <t>Phil Elhai</t>
  </si>
  <si>
    <t>10655 7th St</t>
  </si>
  <si>
    <t>Rancho Cucamonga,  CA,  91730,  US</t>
  </si>
  <si>
    <t>909-483-4673</t>
  </si>
  <si>
    <t>909-483-8432</t>
  </si>
  <si>
    <t>Sheldahl, Inc.</t>
  </si>
  <si>
    <t>141</t>
  </si>
  <si>
    <t>910-892-9600</t>
  </si>
  <si>
    <t>TENN-VAL, INC.</t>
  </si>
  <si>
    <t>JOHN WARD</t>
  </si>
  <si>
    <t>McENTIRE LANE</t>
  </si>
  <si>
    <t>614-424-4593</t>
  </si>
  <si>
    <t>614-424-3622</t>
  </si>
  <si>
    <t>BOMAG USA, LLC</t>
  </si>
  <si>
    <t>Daniel J. Roberts</t>
  </si>
  <si>
    <t>Plymouth Industrial Park</t>
  </si>
  <si>
    <t>Requal Mex Kleiss</t>
  </si>
  <si>
    <t>Gear Summary</t>
  </si>
  <si>
    <t>Phone: 952-933-9400</t>
  </si>
  <si>
    <t>650-354-0632</t>
  </si>
  <si>
    <t>650-493-8105</t>
  </si>
  <si>
    <t>Hutchinson Autopartes Mexico, SA de CV</t>
  </si>
  <si>
    <t>David Letipichia</t>
  </si>
  <si>
    <t>Carr. Panamericana Km 288.5</t>
  </si>
  <si>
    <t>Cortazar,  Gto,  Mexico,  38300</t>
  </si>
  <si>
    <t>011-52-461-611-0801  X119</t>
  </si>
  <si>
    <t>011-52-461-611-0900</t>
  </si>
  <si>
    <t>a firm price will be established.  The following information addresses some common precision foam questions:</t>
  </si>
  <si>
    <t>Number Of Set-Ups:</t>
  </si>
  <si>
    <t>Per request of Jeff Cornell, we have modified spreadsheet to allow variable set-up amounts.</t>
  </si>
  <si>
    <t>Plant Numbers</t>
  </si>
  <si>
    <t>651-638-1258</t>
  </si>
  <si>
    <t>by</t>
  </si>
  <si>
    <t xml:space="preserve">Year </t>
  </si>
  <si>
    <t>956-986-6716</t>
  </si>
  <si>
    <t>517-637-7727</t>
  </si>
  <si>
    <t>011-5216-295983</t>
  </si>
  <si>
    <t>Michel Castro</t>
  </si>
  <si>
    <t>248-354-8624 or 2587</t>
  </si>
  <si>
    <t>Rafael Palma</t>
  </si>
  <si>
    <t>CLEVELAND,  OH,  44143,  US</t>
  </si>
  <si>
    <t>Victor Limon</t>
  </si>
  <si>
    <t>865-981-5256</t>
  </si>
  <si>
    <t>Minneapolis,  MN,  55411,  US</t>
  </si>
  <si>
    <t>612-287-4163</t>
  </si>
  <si>
    <t>WABASH INC</t>
  </si>
  <si>
    <t>Auburn Hills,  MI,  48326-1569,  US</t>
  </si>
  <si>
    <t>248-475-9830</t>
  </si>
  <si>
    <t>700 Westpark Dr</t>
  </si>
  <si>
    <t>Fort Wayne,  IN,  46899-9086,  US</t>
  </si>
  <si>
    <t>7.8 - 19.3</t>
  </si>
  <si>
    <t>Alamo,  TN,  38001-3813</t>
  </si>
  <si>
    <t>901-696-5260</t>
  </si>
  <si>
    <t>Kate Williams</t>
  </si>
  <si>
    <t>NOVA MAGNETICS, INC.</t>
  </si>
  <si>
    <t>717-292-3641</t>
  </si>
  <si>
    <t>ELECTRO SYSTEMS INCORPORATED</t>
  </si>
  <si>
    <t>LINDA IVES</t>
  </si>
  <si>
    <t>P.O. BOX 6028</t>
  </si>
  <si>
    <t>1720 Robert C. Jackson Dr.</t>
  </si>
  <si>
    <t>Maryville,  TN,  37801-3748</t>
  </si>
  <si>
    <t>Per request of Jeff Cornell:  Added buttom to go to tooling section.  Added section in mold cost for texture, relabled "Quoted Cost" as Outside Quoted Cost.  Added tooling totals for scenario two and allow for individual mark up of each scenario.  Lastly, changed the print quote entry routine so it will automatically print the calculator sheets.</t>
  </si>
  <si>
    <t>3737 Red Arrow Highway</t>
  </si>
  <si>
    <t>AEROSPACE AVIONICS INC</t>
  </si>
  <si>
    <t>336-503-6429</t>
  </si>
  <si>
    <t>Packaging M/U</t>
  </si>
  <si>
    <t>Flags Set:</t>
  </si>
  <si>
    <t>Estimator:</t>
  </si>
  <si>
    <t>Rotary</t>
  </si>
  <si>
    <t>Stripper</t>
  </si>
  <si>
    <t>27101 AIRPORT ROAD</t>
  </si>
  <si>
    <t>Gas City,  IN,  46933,  US</t>
  </si>
  <si>
    <t>219-824-2900</t>
  </si>
  <si>
    <t>NASCORP</t>
  </si>
  <si>
    <t>Mr. Phil Bucher</t>
  </si>
  <si>
    <t>205-665-7602</t>
  </si>
  <si>
    <t>AMETEK - US GAUGE DIVISION</t>
  </si>
  <si>
    <t>JOE STAUFFER</t>
  </si>
  <si>
    <t>Boite Postale N 39</t>
  </si>
  <si>
    <t>49180 St Barthelemy D'Anjou,  49,  49180,  FR</t>
  </si>
  <si>
    <t>33.2.41.41.44.72</t>
  </si>
  <si>
    <t>02.41.41.44.78</t>
  </si>
  <si>
    <t>DEB DOWNS</t>
  </si>
  <si>
    <t>VERNON,  AL,  35592,  US</t>
  </si>
  <si>
    <t>TUR-BO JET PRODUCTS CO. INC.</t>
  </si>
  <si>
    <t>A. O. Smith Electrical Products Co.</t>
  </si>
  <si>
    <t>Gerardo Aguirre</t>
  </si>
  <si>
    <t>9615 Plaza Circle Rd.</t>
  </si>
  <si>
    <t>Inbound Freight / Handling:</t>
  </si>
  <si>
    <t>Scrap</t>
  </si>
  <si>
    <t>Tot Operations</t>
  </si>
  <si>
    <t>Tot Labor</t>
  </si>
  <si>
    <t>Tot BOM</t>
  </si>
  <si>
    <t>Tot Resin</t>
  </si>
  <si>
    <t>Tot Buyout</t>
  </si>
  <si>
    <t>Redgroup</t>
  </si>
  <si>
    <t>Dan Titcomb</t>
  </si>
  <si>
    <t>1681 East Hennepin Ave</t>
  </si>
  <si>
    <t>Suite 180</t>
  </si>
  <si>
    <t>317-347-4123</t>
  </si>
  <si>
    <t>TULON</t>
  </si>
  <si>
    <t>ALEJANDRO TERMINEL</t>
  </si>
  <si>
    <t>ROLLING MEADOWS,  IL,  60008,  US</t>
  </si>
  <si>
    <t>St. Paul,  MN,  55133,  US</t>
  </si>
  <si>
    <t>920-907-6603</t>
  </si>
  <si>
    <t>Boca Raton,  FL,  33487,  US</t>
  </si>
  <si>
    <t>Press 6 Hrs:</t>
  </si>
  <si>
    <t>Press 6 Pack Amt/M:</t>
  </si>
  <si>
    <t>Press 6 Ind Logical Test:</t>
  </si>
  <si>
    <t>Minimum Amount:</t>
  </si>
  <si>
    <t>Minimum Release Qty:</t>
  </si>
  <si>
    <t>Eaton Corporation</t>
  </si>
  <si>
    <t>Material 1 Cost:</t>
  </si>
  <si>
    <t>Material 1 Price:</t>
  </si>
  <si>
    <t>Material 2 Cost:</t>
  </si>
  <si>
    <t>P.O. Box 490</t>
  </si>
  <si>
    <t>Mary McLaughlin</t>
  </si>
  <si>
    <t>Clearwater,  FL,  33755-4210,  US</t>
  </si>
  <si>
    <t>4545 CREEK ROAD</t>
  </si>
  <si>
    <t>Appleton,  WI,  54912-0999</t>
  </si>
  <si>
    <t>Kathy Anderson</t>
  </si>
  <si>
    <t>Daniel M. DiCarlo</t>
  </si>
  <si>
    <t>7", 7", &amp; CENTER</t>
  </si>
  <si>
    <t>Added to "Status Indicator"  Open-Estimating, Open-Sales.</t>
  </si>
  <si>
    <t>Nippon Lever KK</t>
  </si>
  <si>
    <t>011-52-7-282-7619</t>
  </si>
  <si>
    <t>520-746-0105</t>
  </si>
  <si>
    <t>520-746-0107</t>
  </si>
  <si>
    <t>Additional Comments:</t>
  </si>
  <si>
    <t>Quotation pending customer approval of quoted resin.</t>
  </si>
  <si>
    <t>011-52-442-218-7228</t>
  </si>
  <si>
    <t>Mt. Pleasant Industrial Park</t>
  </si>
  <si>
    <t>Greenville,  TN,  37743,  USA</t>
  </si>
  <si>
    <t>2002 Black Oak Avenue</t>
  </si>
  <si>
    <t>FREUDENBERG-NOK</t>
  </si>
  <si>
    <t>Resin Quantity Required</t>
  </si>
  <si>
    <t>Resin Qty Scr 1</t>
  </si>
  <si>
    <t>Resin Qty Scr 2</t>
  </si>
  <si>
    <t>Intec Group, Inc, The</t>
  </si>
  <si>
    <t>MINNETONKA,  MN,  55343,  US</t>
  </si>
  <si>
    <t>Hugh Harris</t>
  </si>
  <si>
    <t>100 Schaffer Drive</t>
  </si>
  <si>
    <t>FRANKLIN LANES,  NJ,  07417,  US</t>
  </si>
  <si>
    <t>TECSTAR INC.</t>
  </si>
  <si>
    <t>DALE LOVE</t>
  </si>
  <si>
    <t>ELECTRO SYSTEMS DIVISION</t>
  </si>
  <si>
    <t>MST 210</t>
  </si>
  <si>
    <t>MINNEAPOLIS,  MN,  55432,  US</t>
  </si>
  <si>
    <t>NELSON IRRIGATION</t>
  </si>
  <si>
    <t>Alma Lucia Velazquez</t>
  </si>
  <si>
    <t>Av. La Canada 47, Parq. Ind. Bernardo Quintana</t>
  </si>
  <si>
    <t>El Marques, Queretaro,  MX,  76246</t>
  </si>
  <si>
    <t>1901 Industrial Drive</t>
  </si>
  <si>
    <t>Dan Francis</t>
  </si>
  <si>
    <t>9</t>
  </si>
  <si>
    <t>Quote entry cell F4</t>
  </si>
  <si>
    <t>COOPER INDUSTRIES</t>
  </si>
  <si>
    <t>Mexico,  DF,  Mexico,  11000</t>
  </si>
  <si>
    <t>011-52-55-5284-7157</t>
  </si>
  <si>
    <t>011-52-55-5284-7210</t>
  </si>
  <si>
    <t>2710 American Way</t>
  </si>
  <si>
    <t>BRIAN WALLINGFORD</t>
  </si>
  <si>
    <t>Tool Maintenance Category</t>
  </si>
  <si>
    <t>Tool Maint. Category Scr. 1</t>
  </si>
  <si>
    <t>Tool Maint. Category Scr. 2</t>
  </si>
  <si>
    <t>Lt In Weeks Calculation</t>
  </si>
  <si>
    <t>Average Score</t>
  </si>
  <si>
    <t>Per E-Mail from Tom Bogaard, we have modified our tooling PPAP lead-time note.</t>
  </si>
  <si>
    <t>507-837-4315</t>
  </si>
  <si>
    <t>507-837-4400</t>
  </si>
  <si>
    <t>S.G. &amp; A.:</t>
  </si>
  <si>
    <t>Percent of Mfg. Cost:</t>
  </si>
  <si>
    <t>Profit.:</t>
  </si>
  <si>
    <t>Purchased Parts / Services:</t>
  </si>
  <si>
    <t>Carol Serra</t>
  </si>
  <si>
    <t>Williams Control Inc</t>
  </si>
  <si>
    <t>Tracey Duncan</t>
  </si>
  <si>
    <t>EAC ELECTRONICS</t>
  </si>
  <si>
    <t>14090 LAURELWOOD</t>
  </si>
  <si>
    <t>Baxter Health Care Company</t>
  </si>
  <si>
    <t>Dale Ellis</t>
  </si>
  <si>
    <t>Route 120 Wilson Road</t>
  </si>
  <si>
    <t>PO Box 4001</t>
  </si>
  <si>
    <t>JERSEY CITY,  NJ,  07302,  US</t>
  </si>
  <si>
    <t>W.L. Gore</t>
  </si>
  <si>
    <t>Dave DeGuiseppi</t>
  </si>
  <si>
    <t>Del. Mold Cost:</t>
  </si>
  <si>
    <t>Mold Qual.:</t>
  </si>
  <si>
    <t>Tlaquepaque,  Jalisco,  Mexico,  45080</t>
  </si>
  <si>
    <t>011-52-33-3134-4310</t>
  </si>
  <si>
    <t>Supplies</t>
  </si>
  <si>
    <t>Eje 122, No. 200, Zona Ind. San Luis Potosi</t>
  </si>
  <si>
    <t>San Luis Potosi, SLP, 78090,  Mexico</t>
  </si>
  <si>
    <t>011-52-4826-6748</t>
  </si>
  <si>
    <t>Flint, MI,  48501</t>
  </si>
  <si>
    <t>St. Paul,  MN,  55110-5102,  US</t>
  </si>
  <si>
    <t>651-486-3356</t>
  </si>
  <si>
    <t>651-484-0812</t>
  </si>
  <si>
    <t>336-503-6425</t>
  </si>
  <si>
    <t>Hitachi Metals America, LTD</t>
  </si>
  <si>
    <t xml:space="preserve">7"  BOTHWAYS, 4" x 16" </t>
  </si>
  <si>
    <t>18 X 18</t>
  </si>
  <si>
    <t>GRENIER INDUSTRIAL AIRPARK</t>
  </si>
  <si>
    <t>940-381-1225</t>
  </si>
  <si>
    <t>Run Qty 2:</t>
  </si>
  <si>
    <t>Qty 6:</t>
  </si>
  <si>
    <t>Qty 7:</t>
  </si>
  <si>
    <t>Qty 8:</t>
  </si>
  <si>
    <t>Qty 9:</t>
  </si>
  <si>
    <t>Ametek</t>
  </si>
  <si>
    <t>Robin Harris</t>
  </si>
  <si>
    <t>627 Lake St.</t>
  </si>
  <si>
    <t>Kent,  OH,  44240-2660</t>
  </si>
  <si>
    <t>330-677-3312</t>
  </si>
  <si>
    <t>215-323-9632</t>
  </si>
  <si>
    <t>Per request of Jeff Cornell:  Added to the tooling summary matrix the "Est Mold Cost" so we can trigger the GFL formula on the tool price only.  Expanded the tooling matrix section to include automation price.</t>
  </si>
  <si>
    <t>Municipio de Amozoc, Puebla,  MX, 72990</t>
  </si>
  <si>
    <t>011-52-222-286-6099</t>
  </si>
  <si>
    <t>011-52-222-286-6098</t>
  </si>
  <si>
    <t>THERMOTECH HOUSE - WA,OR,ID,MT,ND</t>
  </si>
  <si>
    <t>860-623-1700</t>
  </si>
  <si>
    <t>Total Manufacturing Cost:</t>
  </si>
  <si>
    <t>16.1x16.1</t>
  </si>
  <si>
    <t>NO</t>
  </si>
  <si>
    <t>Fanuc</t>
  </si>
  <si>
    <t>SR-1013</t>
  </si>
  <si>
    <t>DDS-ROBOT</t>
  </si>
  <si>
    <t>BARD ACCESS SYSTEM</t>
  </si>
  <si>
    <t>2151 East Lincoln Road</t>
  </si>
  <si>
    <t>Corporate Technology Center M/S CTLLM</t>
  </si>
  <si>
    <t>915-772-4006</t>
  </si>
  <si>
    <t>Parts will be layer packed in customer furnished returnable packaging.</t>
  </si>
  <si>
    <t>Dan O'Hearn</t>
  </si>
  <si>
    <t>248-276-7861</t>
  </si>
  <si>
    <t>Cooper Standard</t>
  </si>
  <si>
    <t>The mold will be constructed with pre-hard steel for ease of change and will produce a limited number of parts.</t>
  </si>
  <si>
    <t>915-852-4478</t>
  </si>
  <si>
    <t>HARVEY BELL</t>
  </si>
  <si>
    <t>630 COLUMBIA STREET</t>
  </si>
  <si>
    <t>Minneapolis,  MN,  55447,  US</t>
  </si>
  <si>
    <t>Labor Rate</t>
  </si>
  <si>
    <t>Markup:</t>
  </si>
  <si>
    <t>Packaging</t>
  </si>
  <si>
    <t>Ronald C. Owens &amp; Associates</t>
  </si>
  <si>
    <t>Cantereros Esq. Manantiales Lote 54</t>
  </si>
  <si>
    <t>Mrs. Deni Ormond</t>
  </si>
  <si>
    <t>801-625-8236</t>
  </si>
  <si>
    <t>Mailstop X13511</t>
  </si>
  <si>
    <t>Climco Coils Company</t>
  </si>
  <si>
    <t>Ted Volckmann</t>
  </si>
  <si>
    <t>Named cell B29 on Mfg Concept sheet "MfgConceptPrintFlag" to be used in the sub routine "printmfgconceptsheet" to trip printing of this sheet if "MfgConceptPrintFlag" is greater than zero.</t>
  </si>
  <si>
    <t xml:space="preserve">A precision foamed part has a skin-core-skin structure with a solid skin and a core that has very evenly disbursed </t>
  </si>
  <si>
    <t>Dan Sizemore</t>
  </si>
  <si>
    <t>STANDARD-THOMPSON CORPORATION</t>
  </si>
  <si>
    <t>152 GROVE STREET</t>
  </si>
  <si>
    <t>Sunnyvale,  CA,  94088</t>
  </si>
  <si>
    <t>408-541-2089</t>
  </si>
  <si>
    <t>408-541-6116</t>
  </si>
  <si>
    <t>Alicia Briones</t>
  </si>
  <si>
    <t>ALICIA.BRIONES@menasha.com</t>
  </si>
  <si>
    <t>Mold Base:</t>
  </si>
  <si>
    <t>Components:</t>
  </si>
  <si>
    <t>315-782-2352</t>
  </si>
  <si>
    <t>315-788-1180</t>
  </si>
  <si>
    <t>1117 HAZELCREST DRIVE</t>
  </si>
  <si>
    <t xml:space="preserve">Robot </t>
  </si>
  <si>
    <t>Ventrax - SP2</t>
  </si>
  <si>
    <t>Camac Vel.</t>
  </si>
  <si>
    <t>Yushin Hop 111-450</t>
  </si>
  <si>
    <t>21.3x19.3</t>
  </si>
  <si>
    <t>Yushin Hop 111-750</t>
  </si>
  <si>
    <t>Mac</t>
  </si>
  <si>
    <t>ROTARY OR SHUTTLE</t>
  </si>
  <si>
    <t>CC-100</t>
  </si>
  <si>
    <t>FCAM</t>
  </si>
  <si>
    <t>RELAY</t>
  </si>
  <si>
    <t>THERMOSET</t>
  </si>
  <si>
    <t>15.98x15.98</t>
  </si>
  <si>
    <t>CC-90</t>
  </si>
  <si>
    <t>25.04x25.04</t>
  </si>
  <si>
    <t>BMC</t>
  </si>
  <si>
    <t>22x22</t>
  </si>
  <si>
    <t>MACD-8000</t>
  </si>
  <si>
    <t>Staffer</t>
  </si>
  <si>
    <t>Steve Gettinger</t>
  </si>
  <si>
    <t>Centurion International, Inc.</t>
  </si>
  <si>
    <t>708-771-0444</t>
  </si>
  <si>
    <t>Bloomington,  MN,  55434-5803,  US</t>
  </si>
  <si>
    <t>612-835-1333</t>
  </si>
  <si>
    <t>612-835-1716</t>
  </si>
  <si>
    <t>PO BOX 32533</t>
  </si>
  <si>
    <t>Midvale,  UT,  84047,  US</t>
  </si>
  <si>
    <t>801-569-4144</t>
  </si>
  <si>
    <t>VALEO SYLVANIA</t>
  </si>
  <si>
    <t>AUTOMOTIVE LIGHTING SYSTEMS</t>
  </si>
  <si>
    <t xml:space="preserve">Tolerance </t>
  </si>
  <si>
    <t>Total</t>
  </si>
  <si>
    <t>THERMOTECH HOUSE - CENTRAL MEXICO</t>
  </si>
  <si>
    <t>770-514-1797</t>
  </si>
  <si>
    <t>770-514-0232</t>
  </si>
  <si>
    <t>Sandy Elmore</t>
  </si>
  <si>
    <t>PHOENIX INTERNATIONAL</t>
  </si>
  <si>
    <t>NANCY STOWER</t>
  </si>
  <si>
    <t>Change</t>
  </si>
  <si>
    <t>LAUREL,  MS,  39441,  US</t>
  </si>
  <si>
    <t>601-422-1550</t>
  </si>
  <si>
    <t>601-649-9563</t>
  </si>
  <si>
    <t>Qty 5 Cost</t>
  </si>
  <si>
    <t>North Haven,  CT,  06473,  US</t>
  </si>
  <si>
    <t>203-492-6855</t>
  </si>
  <si>
    <t>LOMBARD,  IL,  60148,  US</t>
  </si>
  <si>
    <t>1070 SEMINOLE TRAIL</t>
  </si>
  <si>
    <t>CHARLOTTESVILLE,  VA,  22901,  US</t>
  </si>
  <si>
    <t>804-974-2310</t>
  </si>
  <si>
    <t>Acbel Polytech, Inc.</t>
  </si>
  <si>
    <t>Christine Miyauchi</t>
  </si>
  <si>
    <t>246 Caspian Drive</t>
  </si>
  <si>
    <t>523-688-0836</t>
  </si>
  <si>
    <t>PLANTA TOLUCA MANZANA 4 LOTE 1</t>
  </si>
  <si>
    <t>PARQUE INDUSTRIAL EXPORTEC II</t>
  </si>
  <si>
    <t>773-685-6800</t>
  </si>
  <si>
    <t>773-685-7002</t>
  </si>
  <si>
    <t>A/P 12K KYLE</t>
  </si>
  <si>
    <t>P.O. BOX 1640</t>
  </si>
  <si>
    <t>317-896-9531</t>
  </si>
  <si>
    <t>Polyplastics</t>
  </si>
  <si>
    <t>Suite C</t>
  </si>
  <si>
    <t>Krauss Maffei</t>
  </si>
  <si>
    <t>KRISTINE BELTRAN</t>
  </si>
  <si>
    <t>THERMOTECH - QUERETARO PRESSES</t>
  </si>
  <si>
    <t>(grs.)</t>
  </si>
  <si>
    <t xml:space="preserve">3.76 </t>
  </si>
  <si>
    <t>004</t>
  </si>
  <si>
    <t>2002</t>
  </si>
  <si>
    <t>20</t>
  </si>
  <si>
    <t>.78</t>
  </si>
  <si>
    <t>Delphi Energy &amp; Engine</t>
  </si>
  <si>
    <t>20,420 psi.</t>
  </si>
  <si>
    <t>31.89</t>
  </si>
  <si>
    <t>17.72</t>
  </si>
  <si>
    <t>15.75</t>
  </si>
  <si>
    <t>31.5</t>
  </si>
  <si>
    <t>Auburn Hills,  MI,  48326,  US</t>
  </si>
  <si>
    <t>ELECTRODYNAMICS, INC.</t>
  </si>
  <si>
    <t>1200 HICKS ROAD</t>
  </si>
  <si>
    <t>Briggs &amp; Stratton Corporation</t>
  </si>
  <si>
    <t>Plastics Team</t>
  </si>
  <si>
    <t>P.O. Box 702</t>
  </si>
  <si>
    <t>414-259-8950</t>
  </si>
  <si>
    <t>414-259-5285</t>
  </si>
  <si>
    <t>Frederic Camerani</t>
  </si>
  <si>
    <t>Hilite International</t>
  </si>
  <si>
    <t>Angelique Montgomery</t>
  </si>
  <si>
    <t>2001 Peach Street</t>
  </si>
  <si>
    <t>Whitehall,  MI,  49461</t>
  </si>
  <si>
    <t>231-894-3208</t>
  </si>
  <si>
    <t>231-894-3223</t>
  </si>
  <si>
    <t>5025 NORTH EARLE AVENUE</t>
  </si>
  <si>
    <t>P.O. BOX 677</t>
  </si>
  <si>
    <t>Salvador de la Torre</t>
  </si>
  <si>
    <t>Removed dim statement on duplicate part number check sub routine.  I dimmed as a string and it would not match a staight numerical number because of "".</t>
  </si>
  <si>
    <t>1 Carlson Parkway, Suite 124</t>
  </si>
  <si>
    <t>TWINSBURG,  OH,  44087,  US</t>
  </si>
  <si>
    <t>ALLIED BENDIX AEROSPACE</t>
  </si>
  <si>
    <t>2405-A INDUSTRIAL DRIVE</t>
  </si>
  <si>
    <t>Carretera de Caldes A Granollers</t>
  </si>
  <si>
    <t>Guadalajara-Morelia</t>
  </si>
  <si>
    <t>Scrap Per Part</t>
  </si>
  <si>
    <t>7" BOTHWAYS, 4" x 16"</t>
  </si>
  <si>
    <t>Quote is based on holding tolerances of :  +/- XXX  to +/- XXX .</t>
  </si>
  <si>
    <t>4. Material Cost</t>
  </si>
  <si>
    <t>Plating</t>
  </si>
  <si>
    <t>5. Design Hours</t>
  </si>
  <si>
    <t>Treating/Stress Relief</t>
  </si>
  <si>
    <t>6. Paint Racks</t>
  </si>
  <si>
    <t>Texturing</t>
  </si>
  <si>
    <t>Manifolds-hot drops</t>
  </si>
  <si>
    <t>Great Notions Corporation</t>
  </si>
  <si>
    <t>David Stravitz</t>
  </si>
  <si>
    <t>71 Broadway, #3</t>
  </si>
  <si>
    <t>New York,  NY,  10006</t>
  </si>
  <si>
    <t>212-269-0991</t>
  </si>
  <si>
    <t>212-269-0134</t>
  </si>
  <si>
    <t>1121 Highway 74 South</t>
  </si>
  <si>
    <t>850-576-9630</t>
  </si>
  <si>
    <t>2902 Enterprise Drive</t>
  </si>
  <si>
    <t>18.1x18.1</t>
  </si>
  <si>
    <t>AL-1</t>
  </si>
  <si>
    <t>SF-07-18</t>
  </si>
  <si>
    <t>7444 West Wilson Avenue</t>
  </si>
  <si>
    <t>2104-150 Rotary</t>
  </si>
  <si>
    <t>2103-150 Rotary</t>
  </si>
  <si>
    <t>2101-100 Shuttle</t>
  </si>
  <si>
    <t>2101-125 Rotary</t>
  </si>
  <si>
    <t>125</t>
  </si>
  <si>
    <t>550</t>
  </si>
  <si>
    <t>2104-074</t>
  </si>
  <si>
    <t>3 seconds per insert</t>
  </si>
  <si>
    <t xml:space="preserve">Siemens </t>
  </si>
  <si>
    <t>Eaton</t>
  </si>
  <si>
    <t>TI Numbers</t>
  </si>
  <si>
    <t>Tina Winberg</t>
  </si>
  <si>
    <t>3000 University Drive</t>
  </si>
  <si>
    <t>Auburn Hills,  MI,  48326-2356,  US</t>
  </si>
  <si>
    <t>248-371-1148</t>
  </si>
  <si>
    <t>JAMES AYALA</t>
  </si>
  <si>
    <t>Chris De Carton</t>
  </si>
  <si>
    <t>1840 Country Street - Venus Way</t>
  </si>
  <si>
    <t>Carleton Technologies</t>
  </si>
  <si>
    <t>Mary Duke</t>
  </si>
  <si>
    <t>Airpax Corp LLC</t>
  </si>
  <si>
    <t>10 - 26 W/ 5.75" SPACER</t>
  </si>
  <si>
    <t>San Sebastian 110, Col-Los Lermas</t>
  </si>
  <si>
    <t>Power Transmission Division</t>
  </si>
  <si>
    <t>Ernesto Cervantes</t>
  </si>
  <si>
    <t>701-277-6199</t>
  </si>
  <si>
    <t>701-282-9365</t>
  </si>
  <si>
    <t>P.O. BOX 2228</t>
  </si>
  <si>
    <t>011-52-442-221-5445</t>
  </si>
  <si>
    <t>11 W. SPRING STREET</t>
  </si>
  <si>
    <t>Min Cost:</t>
  </si>
  <si>
    <t>20175 WEST MILL ROAD</t>
  </si>
  <si>
    <t xml:space="preserve">Runner quoted at XX pounds per thousand shots and pricing is subject to revision upon receipt </t>
  </si>
  <si>
    <t>200</t>
  </si>
  <si>
    <t>Total Min Shipment:</t>
  </si>
  <si>
    <t>GFL Price</t>
  </si>
  <si>
    <t>GFL Cost:</t>
  </si>
  <si>
    <t>GFL Price:</t>
  </si>
  <si>
    <t>Robot Cost %</t>
  </si>
  <si>
    <t>GFL Cost %</t>
  </si>
  <si>
    <t>T.S. Kaminski &amp; Co Inc Ben Tomblinson</t>
  </si>
  <si>
    <t>502-695-4000 EXT 241</t>
  </si>
  <si>
    <t>502-695-7777</t>
  </si>
  <si>
    <t>cwagner@ohiamerica.com</t>
  </si>
  <si>
    <t>803-481-6050</t>
  </si>
  <si>
    <t>Wayne Brookes</t>
  </si>
  <si>
    <t>519-436-3671</t>
  </si>
  <si>
    <t>CAMBRIDGE,  MD,  21613,  US</t>
  </si>
  <si>
    <t>MIDLANTIC PLASTIC SALES CO</t>
  </si>
  <si>
    <t>410-221-9562</t>
  </si>
  <si>
    <t>Echo Incorporated</t>
  </si>
  <si>
    <t>Fred Macarthy</t>
  </si>
  <si>
    <t>400 Oakwood Road</t>
  </si>
  <si>
    <t>3900 Holland Road</t>
  </si>
  <si>
    <t>Saginaw,  MI,  48601-9494,  US</t>
  </si>
  <si>
    <t>218-562-4878</t>
  </si>
  <si>
    <t>Autotech</t>
  </si>
  <si>
    <t>Lori Gonser</t>
  </si>
  <si>
    <t>Km117, Autopista Mexico-Puebla</t>
  </si>
  <si>
    <t>Parq. Ind. Finsa-Puebla</t>
  </si>
  <si>
    <t>Puebla,  Puebla,  MX,  72710</t>
  </si>
  <si>
    <t>011-52-222-225-9244</t>
  </si>
  <si>
    <t>011-52-222-225-9243</t>
  </si>
  <si>
    <t>MATSUSHITA BATTERY INDUSTRIAL CORP.</t>
  </si>
  <si>
    <t>K. HAGIHARA</t>
  </si>
  <si>
    <t>7625 PANASONIC WAY</t>
  </si>
  <si>
    <t>619-671-2611</t>
  </si>
  <si>
    <t>LEXINGTON,  KY,  40511,  US</t>
  </si>
  <si>
    <t>606-254-8031</t>
  </si>
  <si>
    <t>606-281-3480</t>
  </si>
  <si>
    <t>VERO BEACH,  FL,  32960,  US</t>
  </si>
  <si>
    <t>ITT AEROSPACE-COMMUNICATION</t>
  </si>
  <si>
    <t>JULIE OVERHOLTZER</t>
  </si>
  <si>
    <t>TRW AUTOMOTIVE ELECTRONICS</t>
  </si>
  <si>
    <t>TERRY M. JOHNSON</t>
  </si>
  <si>
    <t>DAVOL</t>
  </si>
  <si>
    <t>Comm % Divisor</t>
  </si>
  <si>
    <t>Material 2 Price:</t>
  </si>
  <si>
    <t>Material 3 Cost:</t>
  </si>
  <si>
    <t>Material 3 Price:</t>
  </si>
  <si>
    <t>52.3.619.0361</t>
  </si>
  <si>
    <t>Javier Haro</t>
  </si>
  <si>
    <t>Calz. Gonzalex Gallo 1269</t>
  </si>
  <si>
    <t>Automation Cost:</t>
  </si>
  <si>
    <t>Automation Maintenance Rate</t>
  </si>
  <si>
    <t>the comments section</t>
  </si>
  <si>
    <t>Total Tool Materials/Services/Purchases</t>
  </si>
  <si>
    <t>Bobbin Chase</t>
  </si>
  <si>
    <t>Bobbin Self-Contained</t>
  </si>
  <si>
    <t>Hierarchy 3</t>
  </si>
  <si>
    <t>Other Value Added</t>
  </si>
  <si>
    <t>Insert Molded</t>
  </si>
  <si>
    <t>Post Insertion</t>
  </si>
  <si>
    <t>Unlugged</t>
  </si>
  <si>
    <t>Hierarchy 3:</t>
  </si>
  <si>
    <t>Closed</t>
  </si>
  <si>
    <t>Release Qty:</t>
  </si>
  <si>
    <t>Resin Release:</t>
  </si>
  <si>
    <t>Factors:</t>
  </si>
  <si>
    <t>Percentage Rate    X   D.L. Usage</t>
  </si>
  <si>
    <t>Variable:</t>
  </si>
  <si>
    <t xml:space="preserve">100% Export Oriented Unit </t>
  </si>
  <si>
    <t>Keelakaranai Village  Melrosapuram Post</t>
  </si>
  <si>
    <t>Chingelput,  603204,  INDIA</t>
  </si>
  <si>
    <t>411-454-6161</t>
  </si>
  <si>
    <t>011-91-4114-53126</t>
  </si>
  <si>
    <t>Schrader Bridgeport Int'l Inc.</t>
  </si>
  <si>
    <t>Frank Banzhof</t>
  </si>
  <si>
    <t>Midlantic Sales Co.</t>
  </si>
  <si>
    <t>610-630-8001</t>
  </si>
  <si>
    <t>340 Industrial Park Road</t>
  </si>
  <si>
    <t>Pieny Flats,  TN,  37686,  US</t>
  </si>
  <si>
    <t>423-538-3613</t>
  </si>
  <si>
    <t>770-371-2313</t>
  </si>
  <si>
    <t>TOTAL TOOLING COST :</t>
  </si>
  <si>
    <t>Comments and Exceptions</t>
  </si>
  <si>
    <t>Per request of Jeff Cornell:  Added the "Del. Mold Cost" and "Mold Qual" for each scenario to the quote entry sheet for quick reference to these values.  Changed the electronic data sheet to be unprotected and can act as a work sheet for additional calculations or posting electronic data.</t>
  </si>
  <si>
    <t>Saver-Dan Foss Company</t>
  </si>
  <si>
    <t>Bart McNabb</t>
  </si>
  <si>
    <t>3500 Annapolis Lane North</t>
  </si>
  <si>
    <t>763-694-2194</t>
  </si>
  <si>
    <t>763-559-5769</t>
  </si>
  <si>
    <t>Artesyn Technologies</t>
  </si>
  <si>
    <t>Farmington Hills, MI.,  MI,  48331-3417,  US</t>
  </si>
  <si>
    <t>248-553-1325</t>
  </si>
  <si>
    <t>248-553-1198</t>
  </si>
  <si>
    <t>Brose</t>
  </si>
  <si>
    <t>1107 Centre Road</t>
  </si>
  <si>
    <t>248-475-1217</t>
  </si>
  <si>
    <t>COTO WABASH</t>
  </si>
  <si>
    <t>519-680-5834</t>
  </si>
  <si>
    <t>MINNEAPOLS,  MN,  55401,  US</t>
  </si>
  <si>
    <t>Makita Corporation of America</t>
  </si>
  <si>
    <t>Ms. Debi Lawson</t>
  </si>
  <si>
    <t>3M-Filtration</t>
  </si>
  <si>
    <t>2465 Lexington Ave</t>
  </si>
  <si>
    <t>215-257-6531</t>
  </si>
  <si>
    <t>215-257-5418</t>
  </si>
  <si>
    <t>REBECCA KINKEAD</t>
  </si>
  <si>
    <t>Discussion on part design is required prior to acceptance of a purchase order.</t>
  </si>
  <si>
    <t>2831 Waterfront Parkway, East ADr.</t>
  </si>
  <si>
    <t>50mm</t>
  </si>
  <si>
    <t>7.87 - 24.02</t>
  </si>
  <si>
    <t>25 X 25</t>
  </si>
  <si>
    <t>Outside Quoted Cost</t>
  </si>
  <si>
    <t>Mold Totals Scn 1:</t>
  </si>
  <si>
    <t>Mold Totals Scn 2:</t>
  </si>
  <si>
    <t>Scenario Two Factor</t>
  </si>
  <si>
    <t>715-675-8029</t>
  </si>
  <si>
    <t>PULSAFEEDER</t>
  </si>
  <si>
    <t>LINDA DEMARINIS</t>
  </si>
  <si>
    <t>7 LASER LANE</t>
  </si>
  <si>
    <t xml:space="preserve">foam molded parts in that no large volume voids are present.  The structure is very homogenous providing great  </t>
  </si>
  <si>
    <t>Tallahassee,  FL,  32303,  US</t>
  </si>
  <si>
    <t>CEI CO., LTD.</t>
  </si>
  <si>
    <t>358</t>
  </si>
  <si>
    <t>501</t>
  </si>
  <si>
    <t>486 COLOR</t>
  </si>
  <si>
    <t>Breinigsville,  PA,  18031-9359,  US</t>
  </si>
  <si>
    <t>3M</t>
  </si>
  <si>
    <t>P O Box 33121</t>
  </si>
  <si>
    <t>Auto Off</t>
  </si>
  <si>
    <t>MILWAUKEE,  WI,  53224,  US</t>
  </si>
  <si>
    <t>LUCAS AEROSPACE</t>
  </si>
  <si>
    <t>BARBGORKA</t>
  </si>
  <si>
    <t>777 LENA DRIVE</t>
  </si>
  <si>
    <t>Hanson Mfg. Co.</t>
  </si>
  <si>
    <t>Greg Mason</t>
  </si>
  <si>
    <t>901 S. First Street</t>
  </si>
  <si>
    <t>Princeton, IN,  47670</t>
  </si>
  <si>
    <t>Attention:</t>
  </si>
  <si>
    <t>Pur Water Purification Products</t>
  </si>
  <si>
    <t>Holly Schinkowsky</t>
  </si>
  <si>
    <t>9300 75TH Avenue No.</t>
  </si>
  <si>
    <t>Minneapolis,  MN,  55428,  US</t>
  </si>
  <si>
    <t>770-326-2091</t>
  </si>
  <si>
    <t>Standard lugging tooling $ 12-$15 K</t>
  </si>
  <si>
    <t>Mold Calculator</t>
  </si>
  <si>
    <t>Quantity</t>
  </si>
  <si>
    <t>Feeder Bowl</t>
  </si>
  <si>
    <t>PNP</t>
  </si>
  <si>
    <t>Design</t>
  </si>
  <si>
    <t>Table</t>
  </si>
  <si>
    <t>PLC Controller</t>
  </si>
  <si>
    <t>Chutes</t>
  </si>
  <si>
    <t>Guarding</t>
  </si>
  <si>
    <t>Changed "Back Channel" routine to overwrite existing quote data upon quote number match, fixed misspelling of Judy Olson's name in the sales data log.</t>
  </si>
  <si>
    <t>Dana Fluid Systems Products</t>
  </si>
  <si>
    <t>Starla L. Miller</t>
  </si>
  <si>
    <t>1501 Wohlert St.</t>
  </si>
  <si>
    <t>Angola,  IN,  46703,  US</t>
  </si>
  <si>
    <t>219-665-8461</t>
  </si>
  <si>
    <t>814-234-0238</t>
  </si>
  <si>
    <t>Borg Warner</t>
  </si>
  <si>
    <t>Michael C. Herman</t>
  </si>
  <si>
    <t>Air Fluid Systems</t>
  </si>
  <si>
    <t>Cornelio Nieto</t>
  </si>
  <si>
    <t>011-52-427-271-8859</t>
  </si>
  <si>
    <t>011-52-427-272-8424</t>
  </si>
  <si>
    <t>Industrial Sales Tech., Inc.</t>
  </si>
  <si>
    <t>920-756-6145</t>
  </si>
  <si>
    <t>920-756-6269</t>
  </si>
  <si>
    <t>5725 Delphi Drive</t>
  </si>
  <si>
    <t>314-725-0600 EXT.456</t>
  </si>
  <si>
    <t>that can improve and lower the cost of their products.  The enclosed quotation offers a cost reduction through</t>
  </si>
  <si>
    <t>Scr. 1 Cost/M</t>
  </si>
  <si>
    <t>Scr. 1 Price/M</t>
  </si>
  <si>
    <t>Scr. 2 Cost/M</t>
  </si>
  <si>
    <t>1011 Pawtucket Blvd.</t>
  </si>
  <si>
    <t>317-347-4115X206</t>
  </si>
  <si>
    <t>38.37 X 39.48</t>
  </si>
  <si>
    <t>7", 16", 28"</t>
  </si>
  <si>
    <t>402</t>
  </si>
  <si>
    <t>C MAGNA</t>
  </si>
  <si>
    <t>14.7-51.2</t>
  </si>
  <si>
    <t>CI Or Metric Volume Calc.</t>
  </si>
  <si>
    <t>Master Data Press List For Data Validation</t>
  </si>
  <si>
    <t>Total Min Release Qty:</t>
  </si>
  <si>
    <t>PATRICK CARON</t>
  </si>
  <si>
    <t>Automotive Lighting Corporation</t>
  </si>
  <si>
    <t>Zulema Aguilar</t>
  </si>
  <si>
    <t>Parts should not be cosmetic or require high structural stress.</t>
  </si>
  <si>
    <t>31.89X17.72</t>
  </si>
  <si>
    <t>7", 7"</t>
  </si>
  <si>
    <t>Toggle</t>
  </si>
  <si>
    <t>HI-03-05-12</t>
  </si>
  <si>
    <t>* Delivery of tooling:  Quoted weeks may be adjusted based on workload conditions at receipt of purchase order.</t>
  </si>
  <si>
    <t>Cd. Juarez Chih.,  Mexico  32649</t>
  </si>
  <si>
    <t>011-52-656-610-09-06 Ext. 144</t>
  </si>
  <si>
    <t>011-52-656-610-13-45 or US (214)722-1713</t>
  </si>
  <si>
    <t>WALLINGFORD,  CT,  06492,  US</t>
  </si>
  <si>
    <t>Oildyne</t>
  </si>
  <si>
    <t>Dee Jakubowski</t>
  </si>
  <si>
    <t>T-650B</t>
  </si>
  <si>
    <t>15.95 x 14.71</t>
  </si>
  <si>
    <t>1.29</t>
  </si>
  <si>
    <t>4020 Payne Ave.</t>
  </si>
  <si>
    <t>Cleveland,  OH,  44103,  US</t>
  </si>
  <si>
    <t>Tool Amortization</t>
  </si>
  <si>
    <t>Hot Sprue Gate</t>
  </si>
  <si>
    <t>Hot Sprue Valve Gate</t>
  </si>
  <si>
    <t>Synerject</t>
  </si>
  <si>
    <t>Doug Hazel</t>
  </si>
  <si>
    <t>201 Enterprise Drive</t>
  </si>
  <si>
    <t>dhazel@synerject.com</t>
  </si>
  <si>
    <t>Newport News,  VA,  23603</t>
  </si>
  <si>
    <t>757-369-2015</t>
  </si>
  <si>
    <t>757-890-4901</t>
  </si>
  <si>
    <t>Material 9 Cost:</t>
  </si>
  <si>
    <t>Material 9 Price:</t>
  </si>
  <si>
    <t>Material 10 Cost:</t>
  </si>
  <si>
    <t>Material 10 Price:</t>
  </si>
  <si>
    <t>We will monitor sales and stop quoting these rates if we approach press hour capcity.</t>
  </si>
  <si>
    <t>Palatine,  IL,  60067</t>
  </si>
  <si>
    <t>317-398-6909</t>
  </si>
  <si>
    <t>317-398-0420</t>
  </si>
  <si>
    <t>Hopkins, MN 55343-7878</t>
  </si>
  <si>
    <t>Allen Park,  MI,  48101,  US</t>
  </si>
  <si>
    <t>313-390-8455</t>
  </si>
  <si>
    <t>313-845-8805</t>
  </si>
  <si>
    <t>423-585-2596</t>
  </si>
  <si>
    <t>Robert Smith</t>
  </si>
  <si>
    <t>952-933-9449</t>
  </si>
  <si>
    <t>ROBERT.SMITH@menasha.com</t>
  </si>
  <si>
    <t>Vinod.Miranda@menasha.com</t>
  </si>
  <si>
    <t>5</t>
  </si>
  <si>
    <t>6</t>
  </si>
  <si>
    <t>105</t>
  </si>
  <si>
    <t>165</t>
  </si>
  <si>
    <t>252-754-1036</t>
  </si>
  <si>
    <t>P O Box 733</t>
  </si>
  <si>
    <t>CF Tool Notes</t>
  </si>
  <si>
    <t>FORT MYERS,  FL,  33906-6530,  US</t>
  </si>
  <si>
    <t>941-275-2700</t>
  </si>
  <si>
    <t>Jeff Cornell</t>
  </si>
  <si>
    <t>952-933-9489</t>
  </si>
  <si>
    <t>801 North Highway 3</t>
  </si>
  <si>
    <t>Northfield,  MN,  55057,  US</t>
  </si>
  <si>
    <t>507-663-8416</t>
  </si>
  <si>
    <r>
      <t xml:space="preserve">Amort. </t>
    </r>
    <r>
      <rPr>
        <b/>
        <sz val="10"/>
        <rFont val="Arial"/>
        <family val="2"/>
      </rPr>
      <t>$$</t>
    </r>
    <r>
      <rPr>
        <sz val="10"/>
        <rFont val="Arial"/>
        <family val="2"/>
      </rPr>
      <t xml:space="preserve"> Scr. 1:</t>
    </r>
  </si>
  <si>
    <r>
      <t xml:space="preserve">Amort. </t>
    </r>
    <r>
      <rPr>
        <b/>
        <sz val="10"/>
        <rFont val="Arial"/>
        <family val="2"/>
      </rPr>
      <t>$$</t>
    </r>
    <r>
      <rPr>
        <sz val="10"/>
        <rFont val="Arial"/>
        <family val="2"/>
      </rPr>
      <t xml:space="preserve"> Scr. 2:</t>
    </r>
  </si>
  <si>
    <t>Amortization:</t>
  </si>
  <si>
    <t>Bill Timm</t>
  </si>
  <si>
    <t>CHRIS GARDNER</t>
  </si>
  <si>
    <t>6655 E. COLONIAL DRIVE</t>
  </si>
  <si>
    <t>828-328-1142</t>
  </si>
  <si>
    <t>828-328-5250</t>
  </si>
  <si>
    <t>Patricia Bond</t>
  </si>
  <si>
    <t>4153 PIONEER DRIVE</t>
  </si>
  <si>
    <t>WALLED LAKE,  MI,  48390,  US</t>
  </si>
  <si>
    <t>248-366-8400</t>
  </si>
  <si>
    <t>248-366-8461</t>
  </si>
  <si>
    <t>ROYAL APPLIANCE MFG. CO.</t>
  </si>
  <si>
    <t>P.O. Box 922</t>
  </si>
  <si>
    <t>Ypsilanti,  MI,  48197,  US</t>
  </si>
  <si>
    <t>KIRBY</t>
  </si>
  <si>
    <t>DAVID FERRY</t>
  </si>
  <si>
    <t>Robert Hall</t>
  </si>
  <si>
    <t>Tokyo</t>
  </si>
  <si>
    <t>Standard margin US = 23.5%, Mexico = 30% less than 20% and 25% require management approval.</t>
  </si>
  <si>
    <t>C-Mac Microcircuits Div.</t>
  </si>
  <si>
    <t>Mold Concept:</t>
  </si>
  <si>
    <t>804-973-3311</t>
  </si>
  <si>
    <t>804-973-2976</t>
  </si>
  <si>
    <t>BENCHMARK ELECTRONICS INC.</t>
  </si>
  <si>
    <t>ADVANCE TOOL, INC.</t>
  </si>
  <si>
    <t>Mike Reilly</t>
  </si>
  <si>
    <t>1590 99th Lane N.E.</t>
  </si>
  <si>
    <t>Blaine Industrial Square</t>
  </si>
  <si>
    <t>Blaine,  MN,  55449,  US</t>
  </si>
  <si>
    <t>4</t>
  </si>
  <si>
    <t>102</t>
  </si>
  <si>
    <t>MAC. 6" x 80"</t>
  </si>
  <si>
    <t>Profit Per Hour:</t>
  </si>
  <si>
    <t>Bowling Green,  KY,  42102-9031</t>
  </si>
  <si>
    <t>270-782-7397</t>
  </si>
  <si>
    <t>270-793-0603</t>
  </si>
  <si>
    <t>Brenda Kaufman</t>
  </si>
  <si>
    <t>Keith Robertshaw</t>
  </si>
  <si>
    <t>7 Colby Court</t>
  </si>
  <si>
    <t>Waterloo,  ON,  N2V 1Y9,  CA</t>
  </si>
  <si>
    <t>519-885-5040</t>
  </si>
  <si>
    <t>Darch Motor Company</t>
  </si>
  <si>
    <t>Dan Chow</t>
  </si>
  <si>
    <t>7/210 Star St.</t>
  </si>
  <si>
    <t>info@darchmotor.com</t>
  </si>
  <si>
    <t>Welshpool,  W.A. 6106,  Australia</t>
  </si>
  <si>
    <t>011-61-894-72-3330</t>
  </si>
  <si>
    <t>011-61-894-72-3373</t>
  </si>
  <si>
    <t>3333 Charles Street</t>
  </si>
  <si>
    <t>28151 HIGHWAY 74</t>
  </si>
  <si>
    <t>CONSOLIDATED INDUSTRIES INC</t>
  </si>
  <si>
    <t>3M Health Care</t>
  </si>
  <si>
    <t>Randy Jarboe</t>
  </si>
  <si>
    <t>3M Center Bldg. 270-2A-11</t>
  </si>
  <si>
    <t>Scenario One: Buyouts</t>
  </si>
  <si>
    <t>Scenario Two: Buyouts</t>
  </si>
  <si>
    <t>Innovex Inc.</t>
  </si>
  <si>
    <t>DRS TECHNOLOGIES/MINNEAPOLIS DIVISION</t>
  </si>
  <si>
    <t>Adjust Screw</t>
  </si>
  <si>
    <t>Fortron 1130L4 Black</t>
  </si>
  <si>
    <t>Master data in previous quoptation by Charley is good to use , quote generated to reprice in Fortron because spec material is obsolete.</t>
  </si>
  <si>
    <t>HL328823</t>
  </si>
  <si>
    <t>Reference mold file 6058.</t>
  </si>
  <si>
    <t>Corrected file open routine to insure that protection is reset on hidden quote log database.  Added a concept B to C comparison on the Mfg Concept sheet.  Added a delete customer master routine and button on the customer master.</t>
  </si>
  <si>
    <t>Capsonics Automotive</t>
  </si>
  <si>
    <t>Don Walsh</t>
  </si>
  <si>
    <t>608-582-2251-227</t>
  </si>
  <si>
    <t>608-582-2963</t>
  </si>
  <si>
    <t>Safetran Systems Corp</t>
  </si>
  <si>
    <t>KNIGHTDALE,,  NC,  27545,  US</t>
  </si>
  <si>
    <t>Sub-Total</t>
  </si>
  <si>
    <t>40.6</t>
  </si>
  <si>
    <t>11</t>
  </si>
  <si>
    <t xml:space="preserve">33.6 </t>
  </si>
  <si>
    <t xml:space="preserve">24.8 </t>
  </si>
  <si>
    <t>47.64</t>
  </si>
  <si>
    <t>600</t>
  </si>
  <si>
    <t>13</t>
  </si>
  <si>
    <t>107</t>
  </si>
  <si>
    <t>28</t>
  </si>
  <si>
    <t>1.95</t>
  </si>
  <si>
    <t>32,706 psi</t>
  </si>
  <si>
    <t>14</t>
  </si>
  <si>
    <t>108</t>
  </si>
  <si>
    <t>15</t>
  </si>
  <si>
    <t>109</t>
  </si>
  <si>
    <t>40</t>
  </si>
  <si>
    <t>TS Kaminski &amp; Co. Inc.</t>
  </si>
  <si>
    <t>320-269-4524</t>
  </si>
  <si>
    <t>320-269-5790</t>
  </si>
  <si>
    <t>SENSORY DEVICES INC</t>
  </si>
  <si>
    <t>205 MAIN ST</t>
  </si>
  <si>
    <t>NEW EAGLE,  PA,  15067,  US</t>
  </si>
  <si>
    <t>Ms. Mary Featherston</t>
  </si>
  <si>
    <t>1601 West River Road North</t>
  </si>
  <si>
    <t>Comments</t>
  </si>
  <si>
    <t>Part Wt. Data</t>
  </si>
  <si>
    <t>Adder:</t>
  </si>
  <si>
    <t>248-601-5805</t>
  </si>
  <si>
    <t>248-656-3780</t>
  </si>
  <si>
    <t xml:space="preserve"> Recomputed Press Shot Size:</t>
  </si>
  <si>
    <t>Olin Brass</t>
  </si>
  <si>
    <t>Precious Metal</t>
  </si>
  <si>
    <t>ROBERT ST.JOHN</t>
  </si>
  <si>
    <t>9220 IVANHOE STREET</t>
  </si>
  <si>
    <t>208-248-9294</t>
  </si>
  <si>
    <t>Auburn Hills,  MI,  48326-1581,  USA</t>
  </si>
  <si>
    <t>651-639-8549</t>
  </si>
  <si>
    <t>NORTHLAND</t>
  </si>
  <si>
    <t>SUSAN NICHOLS</t>
  </si>
  <si>
    <t>TELEDYNE CONTINENTAL MOTORS</t>
  </si>
  <si>
    <t>VEL</t>
  </si>
  <si>
    <t>Press/Ops Price:</t>
  </si>
  <si>
    <t>Factor (oz/M)</t>
  </si>
  <si>
    <t>Plating 1</t>
  </si>
  <si>
    <t>Plating 2</t>
  </si>
  <si>
    <t>Plating 3</t>
  </si>
  <si>
    <t>Fab. Cost / M</t>
  </si>
  <si>
    <t>Stamping Die</t>
  </si>
  <si>
    <t>011-5216-293850</t>
  </si>
  <si>
    <t>23780 psi</t>
  </si>
  <si>
    <t>Mexico, DF, Mexico,  03100</t>
  </si>
  <si>
    <t>1 East Stephenson St.</t>
  </si>
  <si>
    <t>Freeport,  IL,  61032,  US</t>
  </si>
  <si>
    <t>Hobson Consulting, LTD</t>
  </si>
  <si>
    <t xml:space="preserve">7X7, 4X16" BOTH WAYS, CENTER   </t>
  </si>
  <si>
    <t>40MM</t>
  </si>
  <si>
    <t>Brose North America Inc.</t>
  </si>
  <si>
    <t>Heike Teig</t>
  </si>
  <si>
    <t>2630 Superior Court</t>
  </si>
  <si>
    <t>heike.teig@brose.net</t>
  </si>
  <si>
    <t>Auburn Hills,  MI,  48326</t>
  </si>
  <si>
    <t>248-364-2316</t>
  </si>
  <si>
    <t>248-364-2306</t>
  </si>
  <si>
    <t>Project Analyst Notes</t>
  </si>
  <si>
    <t>CHROMALOX/WIEGLAND APPLIANCE DIVISION</t>
  </si>
  <si>
    <t>Miguel Angel Rodriquez</t>
  </si>
  <si>
    <t>Av. De Los Sances 9</t>
  </si>
  <si>
    <t>Lerma/Edo de Mexico,  Mexico,  52000</t>
  </si>
  <si>
    <t>011-52-70282-7618</t>
  </si>
  <si>
    <t>1920 WEST 114TH STREET</t>
  </si>
  <si>
    <t>CLEVELAND,  OH,  44102,  US</t>
  </si>
  <si>
    <t>216-529-6191</t>
  </si>
  <si>
    <t>216-221-3162</t>
  </si>
  <si>
    <t>22 X 22</t>
  </si>
  <si>
    <t>36 X 36</t>
  </si>
  <si>
    <t>ELIZABETHTOWN,  KY,  42701,  US</t>
  </si>
  <si>
    <t>502-737-1996</t>
  </si>
  <si>
    <t>502-737-1909</t>
  </si>
  <si>
    <t>Dayco</t>
  </si>
  <si>
    <t>Mr. Don Hornsby</t>
  </si>
  <si>
    <t>2300 South Hwy 265</t>
  </si>
  <si>
    <t>Mike Anderson</t>
  </si>
  <si>
    <t>15 Riverdale Ave.</t>
  </si>
  <si>
    <t>Newton,  MA,  04295</t>
  </si>
  <si>
    <t>Allentown,  PA,  18109-9341</t>
  </si>
  <si>
    <t>Midlantic Plastic Sales Co</t>
  </si>
  <si>
    <t>610-596-2545</t>
  </si>
  <si>
    <t>610-266-6277</t>
  </si>
  <si>
    <t>ROCHESTER,  NY,  14623-2685,  US</t>
  </si>
  <si>
    <t>011-52-4824-0205</t>
  </si>
  <si>
    <t>P.O. Box 502650</t>
  </si>
  <si>
    <t>Indianapolis,  IN,  46250</t>
  </si>
  <si>
    <t>Visteon Corporation Technical Center - Allen Park</t>
  </si>
  <si>
    <t>Market Code:</t>
  </si>
  <si>
    <t>Hierarchy 1:</t>
  </si>
  <si>
    <t>Hierarchy 2:</t>
  </si>
  <si>
    <t>Market Codes</t>
  </si>
  <si>
    <t>Automotive</t>
  </si>
  <si>
    <t>Electronic</t>
  </si>
  <si>
    <t>Medical</t>
  </si>
  <si>
    <t>Appliance</t>
  </si>
  <si>
    <t>Engine</t>
  </si>
  <si>
    <t>Hierarchy 1</t>
  </si>
  <si>
    <t>PO Box 740005</t>
  </si>
  <si>
    <t>23276C</t>
  </si>
  <si>
    <t>Kokomo,  IN,  46902,  US</t>
  </si>
  <si>
    <t>765-451-0808</t>
  </si>
  <si>
    <t>1, Parque Industrial Opcion</t>
  </si>
  <si>
    <t>San Jose Iturbide, Guanajuato, 37980, Mexico</t>
  </si>
  <si>
    <t>Thermotech Direct Sales</t>
  </si>
  <si>
    <t>717-267-1277X195</t>
  </si>
  <si>
    <t>TOYODA TRW AUTOMOTIVE, INC.</t>
  </si>
  <si>
    <t>MR. RUDY ABATE</t>
  </si>
  <si>
    <t>5932 COMMERCE BOULEVARD</t>
  </si>
  <si>
    <t>Jack White</t>
  </si>
  <si>
    <t>14901 Deveau Place</t>
  </si>
  <si>
    <t>Daig Division</t>
  </si>
  <si>
    <t>Findlex Corporation</t>
  </si>
  <si>
    <t>David Szablewski</t>
  </si>
  <si>
    <t>Cooper Industries - Customer First Center</t>
  </si>
  <si>
    <t>Dixon,  IL,  61021,  US</t>
  </si>
  <si>
    <t>Methode Electronics, Inc</t>
  </si>
  <si>
    <t>House - Tim Hardwick</t>
  </si>
  <si>
    <t>Michael O'Dougherty</t>
  </si>
  <si>
    <t>Heat Treat</t>
  </si>
  <si>
    <t>CNC Prog</t>
  </si>
  <si>
    <t>INDIANAPOLIS,  IN,  46219,  US</t>
  </si>
  <si>
    <t>ROSE BISTODEAU</t>
  </si>
  <si>
    <t>DOUGLAS A. MURPHY</t>
  </si>
  <si>
    <t>GE Appliances</t>
  </si>
  <si>
    <t>Armando Calvo</t>
  </si>
  <si>
    <t>Guadalupe/NL,  67190,  Mexico</t>
  </si>
  <si>
    <t>NEWPORT NEWS,  VA,  23602,  US</t>
  </si>
  <si>
    <t>757-875-7093</t>
  </si>
  <si>
    <t>VALEO SISTEMAS LIMPIAPARABRISAS Y MOTORES</t>
  </si>
  <si>
    <t>Rick Caron</t>
  </si>
  <si>
    <t>Camino a San Lorenzo 1214, Sanctorum Cuautlancingo</t>
  </si>
  <si>
    <t>miguel.sanchez@brose.net</t>
  </si>
  <si>
    <t>Denny Spradlin</t>
  </si>
  <si>
    <t>615-452-7194</t>
  </si>
  <si>
    <t>Cholula,  Puebla,  MX,  72730</t>
  </si>
  <si>
    <t>14059 and 14973</t>
  </si>
  <si>
    <t>Fixed the notes section for printing RFQ forms.</t>
  </si>
  <si>
    <t>Anne-Sophie Decourriere</t>
  </si>
  <si>
    <t>011-52-81-8127-2811</t>
  </si>
  <si>
    <t>011-52-81-8361-9174</t>
  </si>
  <si>
    <t>anne-sophie.edcourriere@carbonelorraine.com</t>
  </si>
  <si>
    <t>48 Walter Jones Blvd.</t>
  </si>
  <si>
    <t>Olga Leos</t>
  </si>
  <si>
    <t>915-783-7303</t>
  </si>
  <si>
    <t>915-783-7431</t>
  </si>
  <si>
    <t>8701 NORTH HARRISON</t>
  </si>
  <si>
    <t>Krupp Bilstein of America</t>
  </si>
  <si>
    <t>8685 Berk Boulevard</t>
  </si>
  <si>
    <t>513-881-7509</t>
  </si>
  <si>
    <t>513-860-0428</t>
  </si>
  <si>
    <t>763-315-5730</t>
  </si>
  <si>
    <t>763-315-5505</t>
  </si>
  <si>
    <t>828-323-6107</t>
  </si>
  <si>
    <t>828-323-6161</t>
  </si>
  <si>
    <t>Minimum purchase of resin has also effected your part price as excess</t>
  </si>
  <si>
    <t>Santa Ana,  ,  ,  CR</t>
  </si>
  <si>
    <t>506-282-7711</t>
  </si>
  <si>
    <t>7" BOTHWAYS, CENTER KNOCKOUT</t>
  </si>
  <si>
    <t>C SENT</t>
  </si>
  <si>
    <t>VSX</t>
  </si>
  <si>
    <t>4.72 - 11.81</t>
  </si>
  <si>
    <t>919-212-5090</t>
  </si>
  <si>
    <t>Revised the "Customer Quote" sheet to separate out the mold price from the automation price.  Change the "Button List" to work as pop-up menu.</t>
  </si>
  <si>
    <t>7760 France Avenue South</t>
  </si>
  <si>
    <t>MOOG AIRCRAFT GROUP</t>
  </si>
  <si>
    <t>2268 SOUTH 3270 WEST</t>
  </si>
  <si>
    <t>Susan Summerrow</t>
  </si>
  <si>
    <t>MS. LIZ DICHIAPPARI</t>
  </si>
  <si>
    <t>600 TRAVIS STREET</t>
  </si>
  <si>
    <t>John M. Piosa</t>
  </si>
  <si>
    <t>1596 Manheim Pike</t>
  </si>
  <si>
    <t>P.O. Box 4726</t>
  </si>
  <si>
    <t>Lancaster,  PA,  17604,  US</t>
  </si>
  <si>
    <t>All quoting formulas remain the same.  The tooling maintenance adder, mark-ups and margin requirements will not change.</t>
  </si>
  <si>
    <t>666 S. Vermont St.</t>
  </si>
  <si>
    <t>Unit Parts Company</t>
  </si>
  <si>
    <t>Robbin Miranda</t>
  </si>
  <si>
    <t>011-52-81-8386-4001</t>
  </si>
  <si>
    <t>011-52-81-8386-4005</t>
  </si>
  <si>
    <t>Material 8 Cost:</t>
  </si>
  <si>
    <t>Material 8 Price:</t>
  </si>
  <si>
    <t>Thermoplastic Molding</t>
  </si>
  <si>
    <t>Moved the Min Release and Min Shipment matrix back onto the "Quote Entry" sheet.  Final numbers can be manipulated in the matrix and these values will show up on the customer quote sheet.  Revised the "Add Material, Press and SecOps" routines to incorporate a For/Next statement.  Greatly reduced lines of code.   Added a field to show the attention to on the quote entry sheet.  Updated the clear quote entry and calculator sheet sub routines.</t>
  </si>
  <si>
    <t>2101-SecOps1</t>
  </si>
  <si>
    <t>2101-SecOps2</t>
  </si>
  <si>
    <t>2101-199</t>
  </si>
  <si>
    <t>2101-399</t>
  </si>
  <si>
    <t>2101-400</t>
  </si>
  <si>
    <t>2101-175 2SH</t>
  </si>
  <si>
    <t>2101-300 2SH</t>
  </si>
  <si>
    <t>2101-550</t>
  </si>
  <si>
    <t>2101-074CE</t>
  </si>
  <si>
    <t>2101-099CE</t>
  </si>
  <si>
    <t>2101-199CE</t>
  </si>
  <si>
    <t>2101-399CE</t>
  </si>
  <si>
    <t>2101-1</t>
  </si>
  <si>
    <t>2101-2</t>
  </si>
  <si>
    <t>2101-3</t>
  </si>
  <si>
    <t>2103-SecOps</t>
  </si>
  <si>
    <t>2103-SecOps1</t>
  </si>
  <si>
    <t>2103-SecOps2</t>
  </si>
  <si>
    <t>2103-099TS</t>
  </si>
  <si>
    <t>2103-199TS</t>
  </si>
  <si>
    <t>2103-399TS</t>
  </si>
  <si>
    <t>2103-199</t>
  </si>
  <si>
    <t>2103-399</t>
  </si>
  <si>
    <t>2103-400</t>
  </si>
  <si>
    <t>2103-1</t>
  </si>
  <si>
    <t>2103-2</t>
  </si>
  <si>
    <t>2103-3</t>
  </si>
  <si>
    <t>2104-SecOps</t>
  </si>
  <si>
    <t>2104-SecOps1</t>
  </si>
  <si>
    <t>2104-SecOps2</t>
  </si>
  <si>
    <t>2104-199</t>
  </si>
  <si>
    <t>2104-399</t>
  </si>
  <si>
    <t>2104-400</t>
  </si>
  <si>
    <t>2104-550</t>
  </si>
  <si>
    <t>2104-1</t>
  </si>
  <si>
    <t>2104-2</t>
  </si>
  <si>
    <t>4141 Continental Drive</t>
  </si>
  <si>
    <t>Acceso B, No. 406</t>
  </si>
  <si>
    <t>HORICON,  WI,  53032-1291,  US</t>
  </si>
  <si>
    <t>INSTRUMENT TRANSFORMERS,INC</t>
  </si>
  <si>
    <t>dimensional control.</t>
  </si>
  <si>
    <t>Gardena,  CA,  90248,  US</t>
  </si>
  <si>
    <t>310-354-1230</t>
  </si>
  <si>
    <t>847-222-1810</t>
  </si>
  <si>
    <t xml:space="preserve"> Pack Amount:</t>
  </si>
  <si>
    <t>Press 1 Pack Amt/M:</t>
  </si>
  <si>
    <t>Press 2 Pack Amt/M:</t>
  </si>
  <si>
    <t>Press 3 Pack Amt/M:</t>
  </si>
  <si>
    <t>Judith Schuchardt</t>
  </si>
  <si>
    <t>Acceso II No. 36, Zona Industrial Benito Juarez</t>
  </si>
  <si>
    <t>Queretaro, Queretaro, Mexico, 76120</t>
  </si>
  <si>
    <t>011-52-442-211-9592</t>
  </si>
  <si>
    <t>GFL Multiplier</t>
  </si>
  <si>
    <t>956-554-5751</t>
  </si>
  <si>
    <t>956-554-5700</t>
  </si>
  <si>
    <t>5400 West Franklin Drive</t>
  </si>
  <si>
    <t>646 Flinn Avenue</t>
  </si>
  <si>
    <t>Moorpark,  CA,  93021,  US</t>
  </si>
  <si>
    <t>COMMUNICATIONS INSTR</t>
  </si>
  <si>
    <t>TAMMY ENGLISH XT1371</t>
  </si>
  <si>
    <t>1396 CHARLOTTE HWY</t>
  </si>
  <si>
    <t>GOLDEN VALLEY,  MN,  55427-3630,  US</t>
  </si>
  <si>
    <t>Dimensions:</t>
  </si>
  <si>
    <t>Metric</t>
  </si>
  <si>
    <t>CUSTOM MAGNETICS, INC</t>
  </si>
  <si>
    <t>Ravi Shah</t>
  </si>
  <si>
    <t>TS KAMINSKI &amp; CO INC BEN TOMBLINSON</t>
  </si>
  <si>
    <t>859-734-6468</t>
  </si>
  <si>
    <t>859-734-6469</t>
  </si>
  <si>
    <t>Cycle and press rates used will be as if the quoted parts were solid conventional molding.</t>
  </si>
  <si>
    <t>248-371-1197</t>
  </si>
  <si>
    <t>Delphi Worldwide Purchasing</t>
  </si>
  <si>
    <t>317-579-3759</t>
  </si>
  <si>
    <t>941-351-8342</t>
  </si>
  <si>
    <t>Added column for total resin weight and new button for prototype notes.</t>
  </si>
  <si>
    <t>Thank you for your interest in Thermotech as your supplier.</t>
  </si>
  <si>
    <t>Zona Industrial</t>
  </si>
  <si>
    <t>Toluca,  50070,  MX</t>
  </si>
  <si>
    <t>PL Mismatch</t>
  </si>
  <si>
    <t>Cycle Time</t>
  </si>
  <si>
    <t>P.O. BOX 19833</t>
  </si>
  <si>
    <t>Database Location:</t>
  </si>
  <si>
    <t>Reserved</t>
  </si>
  <si>
    <t>Number of Tables:</t>
  </si>
  <si>
    <t>OKI TELECOM, INC.</t>
  </si>
  <si>
    <t>MICHIOO KAMOTO</t>
  </si>
  <si>
    <t>Daniel Demuth</t>
  </si>
  <si>
    <t>Germany</t>
  </si>
  <si>
    <t>011-49-261-895-2123</t>
  </si>
  <si>
    <t>011-49-261-895-5463</t>
  </si>
  <si>
    <t>E-Mail address: Daniel.demuth@trw.com</t>
  </si>
  <si>
    <t>Update qualification factor and calculation of tool qualification costs to be 15% of tool purchase price.</t>
  </si>
  <si>
    <t>All press rates include bulk packaging.  Include additional packaging for layer, cell or any special packaging requirements.</t>
  </si>
  <si>
    <t>847-670-9928</t>
  </si>
  <si>
    <t>Purchase</t>
  </si>
  <si>
    <t>#</t>
  </si>
  <si>
    <t>SL-Montevideo Technology Inc.</t>
  </si>
  <si>
    <t>M.L. Dehne</t>
  </si>
  <si>
    <t>502-759-1680</t>
  </si>
  <si>
    <t>ETHICON ENDO-SURGERY INC</t>
  </si>
  <si>
    <t>507-664-8416</t>
  </si>
  <si>
    <t>Continental Teves</t>
  </si>
  <si>
    <t>Scott Szczesny</t>
  </si>
  <si>
    <t>at $3.00/hr/$100,000 automation cost, cost entered is $_____/hour.</t>
  </si>
  <si>
    <t>52-16-29-82-76</t>
  </si>
  <si>
    <t>Included in Press Rate</t>
  </si>
  <si>
    <t>Amount</t>
  </si>
  <si>
    <t>PORT COLBORNE ONTARIO,  ,  L3K5V7,  CA</t>
  </si>
  <si>
    <t>LITTON MARINE SYSTEMS</t>
  </si>
  <si>
    <t>YOKOGAWA CORPORATION</t>
  </si>
  <si>
    <t>2 DART ROAD</t>
  </si>
  <si>
    <t>915-783-6760</t>
  </si>
  <si>
    <t>717-569-1605</t>
  </si>
  <si>
    <t>BOM Qty</t>
  </si>
  <si>
    <t>Revision:</t>
  </si>
  <si>
    <t>Cost</t>
  </si>
  <si>
    <t>Markup</t>
  </si>
  <si>
    <t>Packaging Type</t>
  </si>
  <si>
    <t>N/A</t>
  </si>
  <si>
    <t>Mexico Qual Cost Adder</t>
  </si>
  <si>
    <t>El Paso Qual Cost Adder</t>
  </si>
  <si>
    <t>Mexico LT Adder</t>
  </si>
  <si>
    <t>11.8-25.6</t>
  </si>
  <si>
    <t>28 X 28</t>
  </si>
  <si>
    <t>40.6 X 40.6</t>
  </si>
  <si>
    <t>Yushin 550</t>
  </si>
  <si>
    <t>5.9 x 31.5</t>
  </si>
  <si>
    <t>16.1 x 16.1</t>
  </si>
  <si>
    <t>C&amp;7H,7V</t>
  </si>
  <si>
    <t>MC4</t>
  </si>
  <si>
    <t>YUSHIN 550</t>
  </si>
  <si>
    <t>11.81 - 35.43</t>
  </si>
  <si>
    <t>DANVILLE,  KY,  40423-0007,  US</t>
  </si>
  <si>
    <t>22.44 X 20</t>
  </si>
  <si>
    <t>608-752-2544</t>
  </si>
  <si>
    <t>270-759-1680</t>
  </si>
  <si>
    <t>270-759-1715</t>
  </si>
  <si>
    <t>3655 KENNESAW 75 PARKWAY</t>
  </si>
  <si>
    <t>STE 135</t>
  </si>
  <si>
    <t>P.O. Box 10</t>
  </si>
  <si>
    <t>275 Northridge Drive</t>
  </si>
  <si>
    <t>Design Dollars</t>
  </si>
  <si>
    <t>Build Dollars</t>
  </si>
  <si>
    <t>Tom Kaminski &amp; C0., Inc.</t>
  </si>
  <si>
    <t>CHARLOTTESVILLE,   VA,  22906,  US</t>
  </si>
  <si>
    <t>Richard Lee</t>
  </si>
  <si>
    <t>DAVE EVANS</t>
  </si>
  <si>
    <t>250 METRO PARK</t>
  </si>
  <si>
    <t>George Sunday cc: Diann VanSomeren</t>
  </si>
  <si>
    <t>Budgetary quotation with an allowance of $ XX.XX / M for inserts.  Firm quotation pending receipt of insert prints.</t>
  </si>
  <si>
    <t>MEDAmicus Incorporated</t>
  </si>
  <si>
    <t>15301 Highway 55 West</t>
  </si>
  <si>
    <t>MANCHESTER,  NH,  03103,  US</t>
  </si>
  <si>
    <t>603-669-6400</t>
  </si>
  <si>
    <t>603-622-4262</t>
  </si>
  <si>
    <t>154</t>
  </si>
  <si>
    <t>155</t>
  </si>
  <si>
    <t>156</t>
  </si>
  <si>
    <t>157</t>
  </si>
  <si>
    <t>158</t>
  </si>
  <si>
    <t>161</t>
  </si>
  <si>
    <t>163</t>
  </si>
  <si>
    <t>164</t>
  </si>
  <si>
    <t>204</t>
  </si>
  <si>
    <t>205</t>
  </si>
  <si>
    <t>206</t>
  </si>
  <si>
    <t>207</t>
  </si>
  <si>
    <t>208</t>
  </si>
  <si>
    <t>308</t>
  </si>
  <si>
    <t>312</t>
  </si>
  <si>
    <t>313</t>
  </si>
  <si>
    <t>314</t>
  </si>
  <si>
    <t>315</t>
  </si>
  <si>
    <t>20x20</t>
  </si>
  <si>
    <t>Disposal</t>
  </si>
  <si>
    <t>Sold to Chicago</t>
  </si>
  <si>
    <t>Queretaro</t>
  </si>
  <si>
    <t>Daylight</t>
  </si>
  <si>
    <t>46</t>
  </si>
  <si>
    <t>49</t>
  </si>
  <si>
    <t>30mm</t>
  </si>
  <si>
    <t>5.91-26.77</t>
  </si>
  <si>
    <t>53</t>
  </si>
  <si>
    <t>54</t>
  </si>
  <si>
    <t>56</t>
  </si>
  <si>
    <t>57</t>
  </si>
  <si>
    <t>58</t>
  </si>
  <si>
    <t>59</t>
  </si>
  <si>
    <t>61</t>
  </si>
  <si>
    <t>62</t>
  </si>
  <si>
    <t>63</t>
  </si>
  <si>
    <t>64</t>
  </si>
  <si>
    <t>65</t>
  </si>
  <si>
    <t>66</t>
  </si>
  <si>
    <t>67</t>
  </si>
  <si>
    <t>68</t>
  </si>
  <si>
    <t>69</t>
  </si>
  <si>
    <t>71</t>
  </si>
  <si>
    <t>72</t>
  </si>
  <si>
    <t>73</t>
  </si>
  <si>
    <t>139</t>
  </si>
  <si>
    <t>7-17</t>
  </si>
  <si>
    <t xml:space="preserve">FANUC </t>
  </si>
  <si>
    <t>153</t>
  </si>
  <si>
    <t>PPAP And Lead-Times:</t>
  </si>
  <si>
    <t>If plant quoted is 2103 (El Paso) program adds $ 2,500 to the calculated mold qualification value.</t>
  </si>
  <si>
    <t>678-482-9142</t>
  </si>
  <si>
    <t>Sabratek</t>
  </si>
  <si>
    <t>8111 N. St. Louis Avenue</t>
  </si>
  <si>
    <t>615-451-5679</t>
  </si>
  <si>
    <t>Indiana Mills &amp; Manufacturing Inc.</t>
  </si>
  <si>
    <t>Steve Ahler</t>
  </si>
  <si>
    <t>David L. Hudson</t>
  </si>
  <si>
    <t>864-260-8113</t>
  </si>
  <si>
    <t>Scenario One: Resins</t>
  </si>
  <si>
    <t>Scenario Two: Resins</t>
  </si>
  <si>
    <t>PART #</t>
  </si>
  <si>
    <t>Pacifica Group Technologies Pty. Ltd.</t>
  </si>
  <si>
    <t>Autoliv Mexico, SA de CV</t>
  </si>
  <si>
    <t>875 Lund Blvd</t>
  </si>
  <si>
    <t>Dick Tohline</t>
  </si>
  <si>
    <t>513-337-7024</t>
  </si>
  <si>
    <t>Bob Adams</t>
  </si>
  <si>
    <t>The above tool price reflects a one-cavity pre-production tool with gating and ejection same as or similar to the production mold.</t>
  </si>
  <si>
    <t>Bosch Rexroth Corp.</t>
  </si>
  <si>
    <t>Revised the data tracker method and turned off the template functionality.  Added the "BackChannel" sub to the press/ops update button to collect quote statistics and deposit into an excel database.  The excel database will talk with an access database on a batch entry mode at night to update the database for reporting and tracking purposes.</t>
  </si>
  <si>
    <t>Stephan Tismer</t>
  </si>
  <si>
    <t>Hamilton, OH,  45015-2205, USA</t>
  </si>
  <si>
    <t>Staten Island,  NY,  10308,  US</t>
  </si>
  <si>
    <t>718-948-6610</t>
  </si>
  <si>
    <t>718-948-4914</t>
  </si>
  <si>
    <t>Matt H. Miller</t>
  </si>
  <si>
    <t>24300 Glendale</t>
  </si>
  <si>
    <t>Redford,  MI,  48239,  US</t>
  </si>
  <si>
    <t>313-592-2917</t>
  </si>
  <si>
    <t>915-852-1849</t>
  </si>
  <si>
    <t>Kristen Ward</t>
  </si>
  <si>
    <t>Bldg 11 Second Floor</t>
  </si>
  <si>
    <t>Rochester,  NY,  14653-6031</t>
  </si>
  <si>
    <t>716-726-9991</t>
  </si>
  <si>
    <t>716-726-0838</t>
  </si>
  <si>
    <t>Emerson Spec Motor Div</t>
  </si>
  <si>
    <t>612-446-7311</t>
  </si>
  <si>
    <t>7&amp;center,7</t>
  </si>
  <si>
    <t>EC 88</t>
  </si>
  <si>
    <t>Re-Revised price development concept per requested by JC.</t>
  </si>
  <si>
    <t>Le Manoir de la Maysou,  81800,  FR</t>
  </si>
  <si>
    <t>ASCO CONTROLS</t>
  </si>
  <si>
    <t>INDUSTRIEL AAN21</t>
  </si>
  <si>
    <t>3925 Z.G. SCHERPENZEEL</t>
  </si>
  <si>
    <t>(oz)</t>
  </si>
  <si>
    <t>(psi)</t>
  </si>
  <si>
    <t>(in)</t>
  </si>
  <si>
    <t>Via Jose Lopez Portillo 8-B</t>
  </si>
  <si>
    <t>Tultitlan Edo, de Mexico,  Mexico,  54940</t>
  </si>
  <si>
    <t>011-52-5310-8427, Ext. 109</t>
  </si>
  <si>
    <t>011-52-5884-6031</t>
  </si>
  <si>
    <t>Online Conv.</t>
  </si>
  <si>
    <t>Cavity</t>
  </si>
  <si>
    <t>Resin Scenario One:</t>
  </si>
  <si>
    <t>Base Quantity</t>
  </si>
  <si>
    <t>Seconds/Hour</t>
  </si>
  <si>
    <t>Added new button for "Amortization Notes", separated  tool maintenance cost and price in summary section and added column to show individual press cost per thousand.</t>
  </si>
  <si>
    <t>270-782-7778</t>
  </si>
  <si>
    <t>Amerex Corporation</t>
  </si>
  <si>
    <t>Hansen Corporation</t>
  </si>
  <si>
    <t>Judy Croft</t>
  </si>
  <si>
    <t>Princeton,  IN,  47670-2369</t>
  </si>
  <si>
    <t>812-385-1442</t>
  </si>
  <si>
    <t>Tool Maint Value</t>
  </si>
  <si>
    <t>Email</t>
  </si>
  <si>
    <t>Vicki Beadling</t>
  </si>
  <si>
    <t>952-933-9401</t>
  </si>
  <si>
    <t>VICKI.BEADLING@menasha.com</t>
  </si>
  <si>
    <t>Carole Dechaine</t>
  </si>
  <si>
    <t>952-933-9470</t>
  </si>
  <si>
    <t>Added updated Hopkins press list to template from Don Anderson.</t>
  </si>
  <si>
    <t>Behr Thermot-tronik</t>
  </si>
  <si>
    <t>Terryville,  CT,  08786,  US</t>
  </si>
  <si>
    <t>860-588-2098</t>
  </si>
  <si>
    <t>860-589-3545</t>
  </si>
  <si>
    <t>BH Electronics</t>
  </si>
  <si>
    <t>12219 Wood Lake Drive</t>
  </si>
  <si>
    <t>U.S. DYNAMICS CORP.</t>
  </si>
  <si>
    <t>425 BAYVIEW AVE.</t>
  </si>
  <si>
    <t>White-Rodgers</t>
  </si>
  <si>
    <t>Magnetics, Inc.</t>
  </si>
  <si>
    <t>Tim Watts</t>
  </si>
  <si>
    <t>796 E. Butler Rd.</t>
  </si>
  <si>
    <t>Butler,  PA,  16029</t>
  </si>
  <si>
    <t>Midlantic Plastics Sales Co</t>
  </si>
  <si>
    <t>724-282-3014  Ext. 4124</t>
  </si>
  <si>
    <t>724-214-4703</t>
  </si>
  <si>
    <t>TULSA,  OK,  74146,  US</t>
  </si>
  <si>
    <t>PROCTER &amp; GAMBLE</t>
  </si>
  <si>
    <t>Harrodsburg,  KY,  40330,  US</t>
  </si>
  <si>
    <t>GFL Note1</t>
  </si>
  <si>
    <t>Robot Note:</t>
  </si>
  <si>
    <t xml:space="preserve">Scr. 1 Minumum/M </t>
  </si>
  <si>
    <t>Plant</t>
  </si>
  <si>
    <t>Rate</t>
  </si>
  <si>
    <t>Part Weight:</t>
  </si>
  <si>
    <t>Runner Weight:</t>
  </si>
  <si>
    <t>Quantity Per M:</t>
  </si>
  <si>
    <t>Scenario 1</t>
  </si>
  <si>
    <t>Scenario 2</t>
  </si>
  <si>
    <t>If plant quoted is 2103 (El Paso) program adds a note and 3 to the calculated PPAP time.</t>
  </si>
  <si>
    <t>If plant quoted is 2104 (Mexico) program adds a note and 4 to the calculated PPAP time.</t>
  </si>
  <si>
    <t>248-764-6594</t>
  </si>
  <si>
    <t>248-764-7258</t>
  </si>
  <si>
    <t>MOLTECH POWER SYSTEMS</t>
  </si>
  <si>
    <t>BILL McCLAMMY</t>
  </si>
  <si>
    <t>843-678-9794</t>
  </si>
  <si>
    <t>What happens to the properties of the material?</t>
  </si>
  <si>
    <t>East Alton,   IL,  62024-1197,  US</t>
  </si>
  <si>
    <t>TIM HARDWICK</t>
  </si>
  <si>
    <t>1231 A AVENUE NORTH</t>
  </si>
  <si>
    <t>01-695-552358</t>
  </si>
  <si>
    <t>01144-1-695-552358</t>
  </si>
  <si>
    <t>Added "Gear Data" button to streamline capturing gear costs.  Added "Mexico Customer Quote" sheet, added logic to pick appropriate customer quote based on plant number, added clear "Mexico Customer Quote" routine, updated MuCell sheet so it chooses contact name from correct quote, added save routine to the add customer master sub routine, added mexico price matrix to formula sheet so we can calculate price each vs per M for Mexico only.</t>
  </si>
  <si>
    <t>Updated GFL with the option to select the mold cycle life and have that value placed on the formula sheet and used in the GFL calculation and adds a note stating the number of cycles used in the calculation.  Added "Robot Amortization" field where $ 12,000 will be amortized by the annual quantity quoted under each quantity break and adds a note stating that this amortization is occurring.  Updated press minimum data validation, added data validation to mold qualification cost on calculator sheet.</t>
  </si>
  <si>
    <t>915-541-8405</t>
  </si>
  <si>
    <t>KOYO</t>
  </si>
  <si>
    <t>Brenda Layman, C.P.M.</t>
  </si>
  <si>
    <t>32.87</t>
  </si>
  <si>
    <t>25.04 X 25.04</t>
  </si>
  <si>
    <t>7.87</t>
  </si>
  <si>
    <t>26</t>
  </si>
  <si>
    <t>Quantity3</t>
  </si>
  <si>
    <t>Quantity4</t>
  </si>
  <si>
    <t>CavityScr1</t>
  </si>
  <si>
    <t>CavityScr2</t>
  </si>
  <si>
    <t>What types of materials can be precision foamed?</t>
  </si>
  <si>
    <t>Prod. LT:</t>
  </si>
  <si>
    <t>248-307-8076</t>
  </si>
  <si>
    <t>Matthew George</t>
  </si>
  <si>
    <t>Are there any environmental or health concerns?</t>
  </si>
  <si>
    <t>Mark Ayzenberg MS100</t>
  </si>
  <si>
    <t>1401 Crooks Road</t>
  </si>
  <si>
    <t>Troy,MI 48084-7155</t>
  </si>
  <si>
    <t>23276A</t>
  </si>
  <si>
    <t>8256 UNION CENTRE BLVD</t>
  </si>
  <si>
    <t>WEST CHESTER,  OH,  45069,  US</t>
  </si>
  <si>
    <t>Athol,  MA, 01331</t>
  </si>
  <si>
    <t>978-249-3551</t>
  </si>
  <si>
    <t>704-662-8744</t>
  </si>
  <si>
    <t>011-52-33-3631-2909</t>
  </si>
  <si>
    <t>606-887-5226</t>
  </si>
  <si>
    <t>ARTESYN-BROOMFIELD</t>
  </si>
  <si>
    <t>52-16-29-82-63</t>
  </si>
  <si>
    <t>DANA MOTORS AND CONTROLS DIVISION</t>
  </si>
  <si>
    <t>Jaime Mendiola</t>
  </si>
  <si>
    <t>2345 N. Central Av.</t>
  </si>
  <si>
    <t>Brownsville,  TX,  78521</t>
  </si>
  <si>
    <t>Overhead / Burden</t>
  </si>
  <si>
    <t>Susan Schaefer</t>
  </si>
  <si>
    <t>952-933-9430</t>
  </si>
  <si>
    <t>SUSAN.SCHAEFER@menasha.com</t>
  </si>
  <si>
    <t>Vertex NT</t>
  </si>
  <si>
    <t>Vertex</t>
  </si>
  <si>
    <t>Shuttle</t>
  </si>
  <si>
    <t>Wabash</t>
  </si>
  <si>
    <t>HPM</t>
  </si>
  <si>
    <t>2.0"</t>
  </si>
  <si>
    <t>Deselect:</t>
  </si>
  <si>
    <t>Added Jim Kozlowski to sales master data sheet.</t>
  </si>
  <si>
    <t>Mucell Factor</t>
  </si>
  <si>
    <t>SIECOR</t>
  </si>
  <si>
    <t>KARL M. WAGNER</t>
  </si>
  <si>
    <t>Wheeling,  IL,  60090,  US</t>
  </si>
  <si>
    <t>847-459-7790</t>
  </si>
  <si>
    <t>847-459-8241</t>
  </si>
  <si>
    <t>EMCom INC.</t>
  </si>
  <si>
    <t>TM Scr. 1</t>
  </si>
  <si>
    <t>TM Scr. 2</t>
  </si>
  <si>
    <t>3333 West Good Hope Road</t>
  </si>
  <si>
    <t>255 HUGHES RD</t>
  </si>
  <si>
    <t>ORILLIA,  ON,  L3V 2M3,  CA</t>
  </si>
  <si>
    <t>705-325-2391</t>
  </si>
  <si>
    <t>705-325-5721</t>
  </si>
  <si>
    <t>KEYTRONICS INC.</t>
  </si>
  <si>
    <t>A02/M</t>
  </si>
  <si>
    <t>lighter end products are an advantage.  Warp reduction and dimensional stability are usually benefits from the process.</t>
  </si>
  <si>
    <t>Yes</t>
  </si>
  <si>
    <t>B Braun Medical Inc.</t>
  </si>
  <si>
    <t>Mark Buckley</t>
  </si>
  <si>
    <t>901 Marcon Blvd</t>
  </si>
  <si>
    <t>Hella's Equipo Automotriz Hemex, SA de CV</t>
  </si>
  <si>
    <t>Gustavo Coronodo</t>
  </si>
  <si>
    <t>011-52-442-211-5209</t>
  </si>
  <si>
    <t>DANIEL FRANCIS</t>
  </si>
  <si>
    <t>SSI Technologies, Inc.</t>
  </si>
  <si>
    <t>3200 Palmer Drive</t>
  </si>
  <si>
    <t>60 ASBURY ROAD</t>
  </si>
  <si>
    <t>LP-78</t>
  </si>
  <si>
    <t>011-52-3619-1730</t>
  </si>
  <si>
    <t>2611 Winslow Ave.</t>
  </si>
  <si>
    <t>SHAWNEE,  OK,  74801,  US</t>
  </si>
  <si>
    <t>DATATRONICS</t>
  </si>
  <si>
    <t>Tool repair cost and/or adaptation charges will not be quoted until tools and components if any are inspected.</t>
  </si>
  <si>
    <t>Added print audit trail with quote number, print date, print time, and estimator.</t>
  </si>
  <si>
    <t>Press 8:</t>
  </si>
  <si>
    <t>Press 9:</t>
  </si>
  <si>
    <t>Press 10:</t>
  </si>
  <si>
    <t>Cav Scr 1</t>
  </si>
  <si>
    <t>Cav Scr 2</t>
  </si>
  <si>
    <t>Press 8</t>
  </si>
  <si>
    <t>Press 9</t>
  </si>
  <si>
    <t>9909 South Shore Dr.</t>
  </si>
  <si>
    <t>915-791-7118</t>
  </si>
  <si>
    <t>915-791-7127</t>
  </si>
  <si>
    <t>Northwest Automatic Products, Inc.</t>
  </si>
  <si>
    <t>SALT LAKE CITY,  UT,  84119,  US</t>
  </si>
  <si>
    <t>CHARLES INDUSTRIES, LTD</t>
  </si>
  <si>
    <t>AMY SILVERMAN</t>
  </si>
  <si>
    <t>Logical Test</t>
  </si>
  <si>
    <t>011-52-442-221-5197</t>
  </si>
  <si>
    <t>011-52-442-221-5198</t>
  </si>
  <si>
    <t>7", 10" CROSSWAYS, 7" UP/DOWN, NO CENTER</t>
  </si>
  <si>
    <t>Total Resin:</t>
  </si>
  <si>
    <t>540-966-3505</t>
  </si>
  <si>
    <t>540-966-3506</t>
  </si>
  <si>
    <t>DIAMOND TOOL AND DIE</t>
  </si>
  <si>
    <t>CLARENCE ANDERSON</t>
  </si>
  <si>
    <t>19541 ROSELAND AVE</t>
  </si>
  <si>
    <t>Michelle Gamelcy</t>
  </si>
  <si>
    <t>949-474-3943</t>
  </si>
  <si>
    <t>949-553-8983</t>
  </si>
  <si>
    <t>843-669-5154</t>
  </si>
  <si>
    <t>Line</t>
  </si>
  <si>
    <t>Safetran Systems Corp.</t>
  </si>
  <si>
    <t>Rick Garr</t>
  </si>
  <si>
    <t>John R. Bodenhafer</t>
  </si>
  <si>
    <t>The Intec Group, Inc.</t>
  </si>
  <si>
    <t>Cheryl Porch</t>
  </si>
  <si>
    <t>1301 East Michigan Avenue</t>
  </si>
  <si>
    <t>Morocco,  IN,  47963</t>
  </si>
  <si>
    <t>219-285-5067</t>
  </si>
  <si>
    <t>Antonio Vallejo</t>
  </si>
  <si>
    <t>Added reset button to customer quote sheet to allow override of calculated values of the min release and min ship values.  Min release is calculated by dividing the set-up cost by the press min cost per M.  The min ship is the greater of two calculation:  $ 1,000 divided by the selling price or the min release divided by 8.  Added data validation to the min release and min ship values on the customer quote form.</t>
  </si>
</sst>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7" formatCode="&quot;$&quot;#,##0.00_);\(&quot;$&quot;#,##0.00\)"/>
    <numFmt numFmtId="42" formatCode="_(&quot;$&quot;* #,##0_);_(&quot;$&quot;* \(#,##0\);_(&quot;$&quot;* &quot;-&quot;_);_(@_)"/>
    <numFmt numFmtId="44" formatCode="_(&quot;$&quot;* #,##0.00_);_(&quot;$&quot;* \(#,##0.00\);_(&quot;$&quot;* &quot;-&quot;??_);_(@_)"/>
    <numFmt numFmtId="43" formatCode="_(* #,##0.00_);_(* \(#,##0.00\);_(* &quot;-&quot;??_);_(@_)"/>
    <numFmt numFmtId="164" formatCode="0.0"/>
    <numFmt numFmtId="165" formatCode="0.000"/>
    <numFmt numFmtId="166" formatCode="0.0000"/>
    <numFmt numFmtId="167" formatCode="0.00000"/>
    <numFmt numFmtId="169" formatCode="_(* #,##0_);_(* \(#,##0\);_(* &quot;-&quot;??_);_(@_)"/>
    <numFmt numFmtId="171" formatCode="_(&quot;$&quot;* #,##0_);_(&quot;$&quot;* \(#,##0\);_(&quot;$&quot;* &quot;-&quot;??_);_(@_)"/>
    <numFmt numFmtId="173" formatCode="_(&quot;$&quot;* #,##0.000_);_(&quot;$&quot;* \(#,##0.000\);_(&quot;$&quot;* &quot;-&quot;??_);_(@_)"/>
    <numFmt numFmtId="174" formatCode="_(&quot;$&quot;* #,##0.0000_);_(&quot;$&quot;* \(#,##0.0000\);_(&quot;$&quot;* &quot;-&quot;??_);_(@_)"/>
    <numFmt numFmtId="179" formatCode="_(&quot;$&quot;* #,##0.00000_);_(&quot;$&quot;* \(#,##0.00000\);_(&quot;$&quot;* &quot;-&quot;??_);_(@_)"/>
    <numFmt numFmtId="180" formatCode="#,##0.000_);\(#,##0.000\)"/>
    <numFmt numFmtId="181" formatCode="#,##0.0000_);\(#,##0.0000\)"/>
    <numFmt numFmtId="182" formatCode="#,##0.00000_);\(#,##0.00000\)"/>
    <numFmt numFmtId="187" formatCode="_(* #,##0.000_);_(* \(#,##0.000\);_(* &quot;-&quot;??_);_(@_)"/>
    <numFmt numFmtId="191" formatCode="0.00;[Red]0.00"/>
    <numFmt numFmtId="199" formatCode="mm/dd/yy"/>
    <numFmt numFmtId="207" formatCode="0.00_);\(0.00\)"/>
    <numFmt numFmtId="210" formatCode="0.0_)"/>
    <numFmt numFmtId="211" formatCode="0_)"/>
    <numFmt numFmtId="215" formatCode=".00"/>
    <numFmt numFmtId="223" formatCode="_(* #,##0.00000_);_(* \(#,##0.00000\);_(* &quot;-&quot;??_);_(@_)"/>
    <numFmt numFmtId="224" formatCode="m/d/yy"/>
    <numFmt numFmtId="226" formatCode="#,##0;[Red]#,##0"/>
    <numFmt numFmtId="227" formatCode="#,##0.000"/>
  </numFmts>
  <fonts count="65">
    <font>
      <sz val="10"/>
      <name val="Arial"/>
    </font>
    <font>
      <sz val="10"/>
      <name val="Arial"/>
    </font>
    <font>
      <sz val="8"/>
      <name val="Arial"/>
      <family val="2"/>
    </font>
    <font>
      <sz val="10"/>
      <name val="Arial"/>
      <family val="2"/>
    </font>
    <font>
      <b/>
      <sz val="8"/>
      <name val="Arial"/>
      <family val="2"/>
    </font>
    <font>
      <b/>
      <sz val="10"/>
      <name val="Arial"/>
      <family val="2"/>
    </font>
    <font>
      <b/>
      <sz val="8"/>
      <color indexed="12"/>
      <name val="Arial"/>
      <family val="2"/>
    </font>
    <font>
      <u/>
      <sz val="10"/>
      <color indexed="12"/>
      <name val="Arial"/>
    </font>
    <font>
      <sz val="8"/>
      <color indexed="81"/>
      <name val="Tahoma"/>
    </font>
    <font>
      <b/>
      <sz val="8"/>
      <color indexed="81"/>
      <name val="Tahoma"/>
    </font>
    <font>
      <sz val="10"/>
      <color indexed="12"/>
      <name val="Arial"/>
      <family val="2"/>
    </font>
    <font>
      <b/>
      <sz val="10"/>
      <color indexed="12"/>
      <name val="Arial"/>
      <family val="2"/>
    </font>
    <font>
      <sz val="10"/>
      <color indexed="10"/>
      <name val="Arial"/>
      <family val="2"/>
    </font>
    <font>
      <b/>
      <sz val="12"/>
      <name val="Arial"/>
      <family val="2"/>
    </font>
    <font>
      <b/>
      <sz val="12"/>
      <color indexed="12"/>
      <name val="Arial"/>
      <family val="2"/>
    </font>
    <font>
      <b/>
      <sz val="10"/>
      <color indexed="10"/>
      <name val="Arial"/>
      <family val="2"/>
    </font>
    <font>
      <b/>
      <sz val="11"/>
      <name val="Arial"/>
      <family val="2"/>
    </font>
    <font>
      <b/>
      <sz val="12"/>
      <color indexed="10"/>
      <name val="Arial"/>
      <family val="2"/>
    </font>
    <font>
      <sz val="12"/>
      <name val="Arial"/>
      <family val="2"/>
    </font>
    <font>
      <sz val="8"/>
      <color indexed="10"/>
      <name val="Arial"/>
      <family val="2"/>
    </font>
    <font>
      <sz val="8"/>
      <color indexed="12"/>
      <name val="Arial"/>
      <family val="2"/>
    </font>
    <font>
      <sz val="6"/>
      <name val="Arial"/>
      <family val="2"/>
    </font>
    <font>
      <sz val="8"/>
      <name val="Arial"/>
    </font>
    <font>
      <b/>
      <sz val="16"/>
      <name val="Park Avenue"/>
      <family val="1"/>
    </font>
    <font>
      <b/>
      <sz val="18"/>
      <name val="Arial"/>
      <family val="2"/>
    </font>
    <font>
      <sz val="7"/>
      <name val="Arial"/>
      <family val="2"/>
    </font>
    <font>
      <b/>
      <sz val="14"/>
      <name val="Arial"/>
      <family val="2"/>
    </font>
    <font>
      <sz val="6"/>
      <name val="Courier New"/>
      <family val="3"/>
    </font>
    <font>
      <sz val="6"/>
      <name val="Arial"/>
    </font>
    <font>
      <sz val="4"/>
      <name val="Arial"/>
      <family val="2"/>
    </font>
    <font>
      <b/>
      <sz val="9"/>
      <color indexed="12"/>
      <name val="Arial"/>
      <family val="2"/>
    </font>
    <font>
      <b/>
      <sz val="16"/>
      <color indexed="10"/>
      <name val="Arial"/>
      <family val="2"/>
    </font>
    <font>
      <b/>
      <sz val="16"/>
      <name val="Arial"/>
      <family val="2"/>
    </font>
    <font>
      <sz val="8"/>
      <name val="Courier New"/>
      <family val="3"/>
    </font>
    <font>
      <u/>
      <sz val="10"/>
      <name val="Arial"/>
      <family val="2"/>
    </font>
    <font>
      <b/>
      <i/>
      <sz val="10"/>
      <name val="Arial"/>
      <family val="2"/>
    </font>
    <font>
      <i/>
      <sz val="10"/>
      <name val="Arial"/>
      <family val="2"/>
    </font>
    <font>
      <b/>
      <sz val="10"/>
      <color indexed="8"/>
      <name val="Arial"/>
      <family val="2"/>
    </font>
    <font>
      <u/>
      <sz val="10"/>
      <color indexed="12"/>
      <name val="Arial"/>
      <family val="2"/>
    </font>
    <font>
      <b/>
      <u/>
      <sz val="14"/>
      <name val="Arial"/>
      <family val="2"/>
    </font>
    <font>
      <sz val="8"/>
      <name val="Helv"/>
    </font>
    <font>
      <b/>
      <sz val="14"/>
      <name val="Albertus Xb (W1)"/>
    </font>
    <font>
      <sz val="11"/>
      <name val="Arial"/>
    </font>
    <font>
      <sz val="11"/>
      <name val="Arial"/>
      <family val="2"/>
    </font>
    <font>
      <b/>
      <sz val="14"/>
      <name val="Arial"/>
    </font>
    <font>
      <sz val="14"/>
      <name val="Arial"/>
    </font>
    <font>
      <sz val="12"/>
      <name val="Arial"/>
    </font>
    <font>
      <b/>
      <sz val="12"/>
      <name val="Arial"/>
    </font>
    <font>
      <b/>
      <sz val="11"/>
      <name val="Arial"/>
    </font>
    <font>
      <u/>
      <sz val="12"/>
      <name val="Arial"/>
      <family val="2"/>
    </font>
    <font>
      <u/>
      <sz val="11"/>
      <name val="Arial"/>
      <family val="2"/>
    </font>
    <font>
      <sz val="9"/>
      <name val="Arial"/>
      <family val="2"/>
    </font>
    <font>
      <b/>
      <u/>
      <sz val="11"/>
      <name val="Arial"/>
      <family val="2"/>
    </font>
    <font>
      <b/>
      <sz val="9"/>
      <name val="Arial"/>
    </font>
    <font>
      <b/>
      <sz val="10"/>
      <name val="Arial"/>
    </font>
    <font>
      <b/>
      <u/>
      <sz val="10"/>
      <name val="Arial"/>
      <family val="2"/>
    </font>
    <font>
      <b/>
      <sz val="8"/>
      <name val="Arial"/>
    </font>
    <font>
      <sz val="7"/>
      <name val="Arial"/>
    </font>
    <font>
      <b/>
      <sz val="8"/>
      <name val="Courier New"/>
      <family val="3"/>
    </font>
    <font>
      <sz val="14"/>
      <name val="Arial"/>
      <family val="2"/>
    </font>
    <font>
      <sz val="10"/>
      <name val="Times New Roman"/>
      <family val="1"/>
    </font>
    <font>
      <b/>
      <sz val="10"/>
      <name val="Times New Roman"/>
      <family val="1"/>
    </font>
    <font>
      <sz val="9"/>
      <name val="Times New Roman"/>
      <family val="1"/>
    </font>
    <font>
      <sz val="10"/>
      <color indexed="9"/>
      <name val="Arial"/>
      <family val="2"/>
    </font>
    <font>
      <sz val="8"/>
      <name val="Segoe UI"/>
      <family val="2"/>
    </font>
  </fonts>
  <fills count="9">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2"/>
        <bgColor indexed="64"/>
      </patternFill>
    </fill>
    <fill>
      <patternFill patternType="lightTrellis"/>
    </fill>
    <fill>
      <patternFill patternType="solid">
        <fgColor indexed="9"/>
        <bgColor indexed="64"/>
      </patternFill>
    </fill>
    <fill>
      <patternFill patternType="solid">
        <fgColor indexed="13"/>
        <bgColor indexed="64"/>
      </patternFill>
    </fill>
    <fill>
      <patternFill patternType="solid">
        <fgColor indexed="41"/>
        <bgColor indexed="64"/>
      </patternFill>
    </fill>
  </fills>
  <borders count="71">
    <border>
      <left/>
      <right/>
      <top/>
      <bottom/>
      <diagonal/>
    </border>
    <border>
      <left/>
      <right/>
      <top/>
      <bottom style="medium">
        <color indexed="64"/>
      </bottom>
      <diagonal/>
    </border>
    <border>
      <left style="thin">
        <color indexed="12"/>
      </left>
      <right style="thin">
        <color indexed="12"/>
      </right>
      <top style="thin">
        <color indexed="12"/>
      </top>
      <bottom style="thin">
        <color indexed="12"/>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12"/>
      </left>
      <right style="thin">
        <color indexed="12"/>
      </right>
      <top style="thin">
        <color indexed="12"/>
      </top>
      <bottom style="thin">
        <color indexed="64"/>
      </bottom>
      <diagonal/>
    </border>
    <border>
      <left style="thin">
        <color indexed="12"/>
      </left>
      <right style="thin">
        <color indexed="12"/>
      </right>
      <top style="thin">
        <color indexed="64"/>
      </top>
      <bottom style="thin">
        <color indexed="64"/>
      </bottom>
      <diagonal/>
    </border>
    <border>
      <left style="thin">
        <color indexed="12"/>
      </left>
      <right style="thin">
        <color indexed="12"/>
      </right>
      <top style="thin">
        <color indexed="64"/>
      </top>
      <bottom style="thin">
        <color indexed="12"/>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medium">
        <color indexed="64"/>
      </top>
      <bottom style="thin">
        <color indexed="64"/>
      </bottom>
      <diagonal/>
    </border>
    <border>
      <left/>
      <right/>
      <top/>
      <bottom style="dotted">
        <color indexed="64"/>
      </bottom>
      <diagonal/>
    </border>
    <border>
      <left/>
      <right style="medium">
        <color indexed="64"/>
      </right>
      <top/>
      <bottom style="dotted">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diagonal/>
    </border>
    <border>
      <left/>
      <right/>
      <top/>
      <bottom style="double">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10"/>
      </left>
      <right style="medium">
        <color indexed="10"/>
      </right>
      <top style="medium">
        <color indexed="10"/>
      </top>
      <bottom style="medium">
        <color indexed="10"/>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0" fontId="7" fillId="0" borderId="0" applyNumberFormat="0" applyFill="0" applyBorder="0" applyAlignment="0" applyProtection="0">
      <alignment vertical="top"/>
      <protection locked="0"/>
    </xf>
    <xf numFmtId="49" fontId="1" fillId="0" borderId="0"/>
    <xf numFmtId="49" fontId="1" fillId="0" borderId="0"/>
    <xf numFmtId="9" fontId="1" fillId="0" borderId="0" applyFont="0" applyFill="0" applyBorder="0" applyAlignment="0" applyProtection="0"/>
  </cellStyleXfs>
  <cellXfs count="1249">
    <xf numFmtId="0" fontId="0" fillId="0" borderId="0" xfId="0"/>
    <xf numFmtId="0" fontId="3" fillId="0" borderId="0" xfId="0" applyFont="1"/>
    <xf numFmtId="166" fontId="3" fillId="0" borderId="0" xfId="0" applyNumberFormat="1" applyFont="1"/>
    <xf numFmtId="2" fontId="3" fillId="0" borderId="0" xfId="0" applyNumberFormat="1" applyFont="1"/>
    <xf numFmtId="0" fontId="3" fillId="0" borderId="0" xfId="0" applyFont="1" applyAlignment="1">
      <alignment horizontal="right"/>
    </xf>
    <xf numFmtId="167" fontId="3" fillId="0" borderId="0" xfId="0" applyNumberFormat="1" applyFont="1"/>
    <xf numFmtId="166" fontId="3" fillId="0" borderId="0" xfId="6" applyNumberFormat="1" applyFont="1"/>
    <xf numFmtId="1" fontId="3" fillId="0" borderId="0" xfId="0" applyNumberFormat="1" applyFont="1"/>
    <xf numFmtId="0" fontId="3" fillId="0" borderId="0" xfId="0" applyFont="1" applyAlignment="1">
      <alignment horizontal="center"/>
    </xf>
    <xf numFmtId="44" fontId="3" fillId="0" borderId="0" xfId="2" applyFont="1" applyAlignment="1">
      <alignment horizontal="center"/>
    </xf>
    <xf numFmtId="0" fontId="3" fillId="0" borderId="0" xfId="0" applyFont="1" applyAlignment="1">
      <alignment horizontal="right" wrapText="1"/>
    </xf>
    <xf numFmtId="166" fontId="3" fillId="0" borderId="0" xfId="0" applyNumberFormat="1" applyFont="1" applyAlignment="1">
      <alignment wrapText="1"/>
    </xf>
    <xf numFmtId="0" fontId="3" fillId="0" borderId="0" xfId="0" applyFont="1" applyAlignment="1">
      <alignment wrapText="1"/>
    </xf>
    <xf numFmtId="0" fontId="5" fillId="0" borderId="0" xfId="0" applyFont="1" applyAlignment="1">
      <alignment horizontal="center" wrapText="1"/>
    </xf>
    <xf numFmtId="0" fontId="5" fillId="0" borderId="0" xfId="0" applyFont="1" applyAlignment="1">
      <alignment horizontal="center"/>
    </xf>
    <xf numFmtId="0" fontId="3" fillId="0" borderId="0" xfId="0" applyFont="1" applyFill="1" applyBorder="1" applyAlignment="1" applyProtection="1">
      <alignment horizontal="center" wrapText="1"/>
      <protection hidden="1"/>
    </xf>
    <xf numFmtId="0" fontId="3" fillId="0" borderId="0" xfId="0" applyFont="1" applyFill="1" applyBorder="1" applyAlignment="1" applyProtection="1">
      <alignment horizontal="center"/>
      <protection hidden="1"/>
    </xf>
    <xf numFmtId="0" fontId="5" fillId="0" borderId="0" xfId="0" applyFont="1" applyFill="1" applyBorder="1" applyAlignment="1" applyProtection="1">
      <alignment horizontal="center" wrapText="1"/>
      <protection hidden="1"/>
    </xf>
    <xf numFmtId="165" fontId="3" fillId="0" borderId="0" xfId="0" applyNumberFormat="1" applyFont="1" applyFill="1" applyBorder="1" applyAlignment="1" applyProtection="1">
      <alignment horizontal="center"/>
      <protection hidden="1"/>
    </xf>
    <xf numFmtId="0" fontId="3" fillId="0" borderId="0" xfId="0" applyFont="1" applyFill="1" applyBorder="1" applyAlignment="1" applyProtection="1">
      <alignment horizontal="right"/>
      <protection hidden="1"/>
    </xf>
    <xf numFmtId="171" fontId="3" fillId="0" borderId="0" xfId="0" applyNumberFormat="1" applyFont="1" applyFill="1" applyBorder="1" applyAlignment="1" applyProtection="1">
      <alignment horizontal="right"/>
      <protection hidden="1"/>
    </xf>
    <xf numFmtId="0" fontId="5" fillId="0" borderId="0" xfId="0" applyFont="1" applyFill="1" applyBorder="1" applyAlignment="1" applyProtection="1">
      <alignment horizontal="right"/>
      <protection hidden="1"/>
    </xf>
    <xf numFmtId="0" fontId="3" fillId="0" borderId="0" xfId="0" applyFont="1" applyFill="1" applyBorder="1" applyAlignment="1" applyProtection="1">
      <alignment horizontal="right" wrapText="1"/>
      <protection hidden="1"/>
    </xf>
    <xf numFmtId="0" fontId="3" fillId="0" borderId="0" xfId="0" applyFont="1" applyFill="1" applyBorder="1" applyAlignment="1" applyProtection="1">
      <alignment horizontal="center" vertical="center" wrapText="1"/>
      <protection hidden="1"/>
    </xf>
    <xf numFmtId="0" fontId="3" fillId="0" borderId="0" xfId="0" applyFont="1" applyFill="1" applyBorder="1" applyAlignment="1" applyProtection="1">
      <alignment horizontal="right" vertical="center" wrapText="1"/>
      <protection hidden="1"/>
    </xf>
    <xf numFmtId="2" fontId="3" fillId="0" borderId="0" xfId="0" applyNumberFormat="1" applyFont="1" applyFill="1" applyBorder="1" applyAlignment="1" applyProtection="1">
      <alignment horizontal="center"/>
      <protection hidden="1"/>
    </xf>
    <xf numFmtId="44" fontId="3" fillId="0" borderId="0" xfId="2" applyFont="1" applyFill="1" applyBorder="1" applyAlignment="1" applyProtection="1">
      <alignment horizontal="center"/>
      <protection hidden="1"/>
    </xf>
    <xf numFmtId="0" fontId="3" fillId="0" borderId="0" xfId="0" applyFont="1" applyFill="1" applyBorder="1" applyAlignment="1" applyProtection="1">
      <alignment horizontal="center"/>
      <protection locked="0"/>
    </xf>
    <xf numFmtId="0" fontId="3" fillId="0" borderId="0" xfId="0" applyFont="1" applyFill="1" applyBorder="1" applyAlignment="1" applyProtection="1">
      <alignment horizontal="center" vertical="center"/>
      <protection hidden="1"/>
    </xf>
    <xf numFmtId="0" fontId="5" fillId="0" borderId="0" xfId="0" applyFont="1" applyFill="1" applyBorder="1" applyAlignment="1" applyProtection="1">
      <alignment horizontal="center" vertical="center"/>
      <protection hidden="1"/>
    </xf>
    <xf numFmtId="0" fontId="5" fillId="0" borderId="0" xfId="0" applyFont="1" applyFill="1" applyBorder="1" applyAlignment="1" applyProtection="1">
      <alignment horizontal="center"/>
      <protection hidden="1"/>
    </xf>
    <xf numFmtId="0" fontId="5" fillId="0" borderId="0" xfId="0" applyFont="1" applyAlignment="1">
      <alignment horizontal="left"/>
    </xf>
    <xf numFmtId="0" fontId="3" fillId="0" borderId="1" xfId="0" applyFont="1" applyFill="1" applyBorder="1" applyAlignment="1" applyProtection="1">
      <alignment horizontal="right"/>
      <protection hidden="1"/>
    </xf>
    <xf numFmtId="0" fontId="3" fillId="0" borderId="1" xfId="0" applyFont="1" applyFill="1" applyBorder="1" applyAlignment="1" applyProtection="1">
      <alignment horizontal="center"/>
      <protection hidden="1"/>
    </xf>
    <xf numFmtId="0" fontId="2" fillId="0" borderId="0" xfId="0" applyFont="1" applyBorder="1" applyAlignment="1" applyProtection="1">
      <alignment horizontal="center" vertical="center" wrapText="1"/>
      <protection hidden="1"/>
    </xf>
    <xf numFmtId="44" fontId="2" fillId="0" borderId="0" xfId="2" applyFont="1" applyBorder="1" applyAlignment="1" applyProtection="1">
      <alignment horizontal="center" vertical="center" wrapText="1"/>
      <protection hidden="1"/>
    </xf>
    <xf numFmtId="0" fontId="3" fillId="0" borderId="0" xfId="0" applyFont="1" applyBorder="1" applyProtection="1">
      <protection hidden="1"/>
    </xf>
    <xf numFmtId="0" fontId="3" fillId="0" borderId="0" xfId="0" applyFont="1" applyFill="1" applyBorder="1" applyAlignment="1" applyProtection="1">
      <alignment horizontal="left"/>
      <protection hidden="1"/>
    </xf>
    <xf numFmtId="0" fontId="5" fillId="0" borderId="0" xfId="0" applyFont="1" applyBorder="1" applyAlignment="1" applyProtection="1">
      <alignment horizontal="left" vertical="center" wrapText="1"/>
    </xf>
    <xf numFmtId="2" fontId="3" fillId="0" borderId="0" xfId="0" applyNumberFormat="1" applyFont="1" applyBorder="1" applyAlignment="1" applyProtection="1">
      <alignment horizontal="right" vertical="center" wrapText="1"/>
    </xf>
    <xf numFmtId="0" fontId="5" fillId="0" borderId="0" xfId="0" applyFont="1" applyBorder="1" applyAlignment="1" applyProtection="1">
      <alignment horizontal="center" vertical="center" wrapText="1"/>
    </xf>
    <xf numFmtId="166" fontId="5" fillId="0" borderId="0" xfId="0" applyNumberFormat="1" applyFont="1" applyBorder="1" applyAlignment="1" applyProtection="1">
      <alignment horizontal="center" vertical="center" wrapText="1"/>
    </xf>
    <xf numFmtId="0" fontId="3" fillId="0" borderId="0" xfId="0" applyFont="1" applyBorder="1" applyAlignment="1" applyProtection="1">
      <alignment horizontal="left" vertical="center" wrapText="1"/>
    </xf>
    <xf numFmtId="169" fontId="3" fillId="0" borderId="0" xfId="1" applyNumberFormat="1" applyFont="1" applyBorder="1" applyAlignment="1" applyProtection="1">
      <alignment horizontal="right" vertical="center" wrapText="1"/>
    </xf>
    <xf numFmtId="0" fontId="3" fillId="0" borderId="0" xfId="0" applyFont="1" applyBorder="1" applyAlignment="1" applyProtection="1">
      <alignment horizontal="center" vertical="center" wrapText="1"/>
    </xf>
    <xf numFmtId="165" fontId="3" fillId="0" borderId="0" xfId="0" applyNumberFormat="1" applyFont="1" applyBorder="1" applyAlignment="1" applyProtection="1">
      <alignment horizontal="left" vertical="center" wrapText="1"/>
    </xf>
    <xf numFmtId="165" fontId="10" fillId="0" borderId="0" xfId="0" applyNumberFormat="1" applyFont="1" applyBorder="1" applyAlignment="1" applyProtection="1">
      <alignment horizontal="center" vertical="center" wrapText="1"/>
    </xf>
    <xf numFmtId="165" fontId="10" fillId="0" borderId="0" xfId="2" applyNumberFormat="1" applyFont="1" applyBorder="1" applyAlignment="1" applyProtection="1">
      <alignment horizontal="center" vertical="center" wrapText="1"/>
    </xf>
    <xf numFmtId="165" fontId="3" fillId="0" borderId="0" xfId="0" applyNumberFormat="1" applyFont="1" applyBorder="1" applyAlignment="1" applyProtection="1">
      <alignment horizontal="center" vertical="center" wrapText="1"/>
    </xf>
    <xf numFmtId="44" fontId="11" fillId="0" borderId="0" xfId="2" applyFont="1" applyBorder="1" applyAlignment="1" applyProtection="1">
      <alignment horizontal="center" vertical="center" wrapText="1"/>
    </xf>
    <xf numFmtId="0" fontId="11" fillId="0" borderId="0" xfId="0" applyFont="1" applyBorder="1" applyAlignment="1" applyProtection="1">
      <alignment horizontal="center" vertical="center" wrapText="1"/>
    </xf>
    <xf numFmtId="166" fontId="3" fillId="0" borderId="0" xfId="0" applyNumberFormat="1" applyFont="1" applyBorder="1" applyAlignment="1" applyProtection="1">
      <alignment horizontal="right" vertical="center" wrapText="1"/>
    </xf>
    <xf numFmtId="167" fontId="3" fillId="0" borderId="0" xfId="0" applyNumberFormat="1" applyFont="1" applyBorder="1" applyAlignment="1" applyProtection="1">
      <alignment horizontal="right" vertical="center" wrapText="1"/>
    </xf>
    <xf numFmtId="44" fontId="3" fillId="0" borderId="0" xfId="2" applyFont="1" applyBorder="1" applyAlignment="1" applyProtection="1">
      <alignment horizontal="center" vertical="center" wrapText="1"/>
    </xf>
    <xf numFmtId="0" fontId="5" fillId="0" borderId="0" xfId="0" applyFont="1" applyBorder="1" applyAlignment="1" applyProtection="1">
      <alignment horizontal="right" vertical="center" wrapText="1"/>
    </xf>
    <xf numFmtId="9" fontId="3" fillId="0" borderId="0" xfId="6" applyFont="1" applyBorder="1" applyAlignment="1" applyProtection="1">
      <alignment horizontal="right" vertical="center" wrapText="1"/>
    </xf>
    <xf numFmtId="166" fontId="3" fillId="0" borderId="0" xfId="0" applyNumberFormat="1" applyFont="1" applyBorder="1" applyAlignment="1" applyProtection="1">
      <alignment horizontal="center" vertical="center" wrapText="1"/>
    </xf>
    <xf numFmtId="165" fontId="5" fillId="0" borderId="0" xfId="0" applyNumberFormat="1" applyFont="1" applyBorder="1" applyAlignment="1" applyProtection="1">
      <alignment horizontal="center" vertical="center" wrapText="1"/>
    </xf>
    <xf numFmtId="2" fontId="3" fillId="0" borderId="0" xfId="0" applyNumberFormat="1" applyFont="1" applyFill="1" applyBorder="1" applyAlignment="1" applyProtection="1">
      <alignment horizontal="right" vertical="center" wrapText="1"/>
    </xf>
    <xf numFmtId="44" fontId="5" fillId="0" borderId="0" xfId="2"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180" fontId="11" fillId="2" borderId="0" xfId="2" applyNumberFormat="1" applyFont="1" applyFill="1" applyBorder="1" applyAlignment="1" applyProtection="1">
      <alignment horizontal="left" vertical="center" wrapText="1"/>
    </xf>
    <xf numFmtId="180" fontId="11" fillId="0" borderId="0" xfId="2" applyNumberFormat="1" applyFont="1" applyFill="1" applyBorder="1" applyAlignment="1" applyProtection="1">
      <alignment horizontal="center" vertical="center" wrapText="1"/>
    </xf>
    <xf numFmtId="180" fontId="3" fillId="0" borderId="0" xfId="2" applyNumberFormat="1" applyFont="1" applyFill="1" applyBorder="1" applyAlignment="1" applyProtection="1">
      <alignment horizontal="left" vertical="center" wrapText="1"/>
    </xf>
    <xf numFmtId="180" fontId="3" fillId="0" borderId="0" xfId="2" applyNumberFormat="1" applyFont="1" applyFill="1" applyBorder="1" applyAlignment="1" applyProtection="1">
      <alignment horizontal="center" vertical="center" wrapText="1"/>
    </xf>
    <xf numFmtId="181" fontId="3" fillId="0" borderId="0" xfId="2" applyNumberFormat="1" applyFont="1" applyFill="1" applyBorder="1" applyAlignment="1" applyProtection="1">
      <alignment horizontal="left" vertical="center" wrapText="1"/>
    </xf>
    <xf numFmtId="181" fontId="3" fillId="0" borderId="0" xfId="2" applyNumberFormat="1" applyFont="1" applyFill="1" applyBorder="1" applyAlignment="1" applyProtection="1">
      <alignment horizontal="center" vertical="center" wrapText="1"/>
    </xf>
    <xf numFmtId="39" fontId="11" fillId="2" borderId="0" xfId="2" applyNumberFormat="1" applyFont="1" applyFill="1" applyBorder="1" applyAlignment="1" applyProtection="1">
      <alignment horizontal="left" vertical="center" wrapText="1"/>
    </xf>
    <xf numFmtId="39" fontId="11" fillId="2" borderId="0" xfId="2" applyNumberFormat="1" applyFont="1" applyFill="1" applyBorder="1" applyAlignment="1" applyProtection="1">
      <alignment horizontal="center" vertical="center" wrapText="1"/>
    </xf>
    <xf numFmtId="39" fontId="11" fillId="0" borderId="0" xfId="2" applyNumberFormat="1" applyFont="1" applyFill="1" applyBorder="1" applyAlignment="1" applyProtection="1">
      <alignment horizontal="center" vertical="center" wrapText="1"/>
    </xf>
    <xf numFmtId="182" fontId="5" fillId="0" borderId="0" xfId="2" applyNumberFormat="1" applyFont="1" applyFill="1" applyBorder="1" applyAlignment="1" applyProtection="1">
      <alignment horizontal="left" vertical="center" wrapText="1"/>
    </xf>
    <xf numFmtId="182" fontId="5" fillId="0" borderId="0" xfId="2" applyNumberFormat="1"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37" fontId="11" fillId="2" borderId="0" xfId="2" applyNumberFormat="1" applyFont="1" applyFill="1" applyBorder="1" applyAlignment="1" applyProtection="1">
      <alignment horizontal="left" vertical="center" wrapText="1"/>
    </xf>
    <xf numFmtId="37" fontId="11" fillId="2" borderId="0" xfId="2" applyNumberFormat="1" applyFont="1" applyFill="1" applyBorder="1" applyAlignment="1" applyProtection="1">
      <alignment horizontal="center" vertical="center" wrapText="1"/>
    </xf>
    <xf numFmtId="0" fontId="3" fillId="0" borderId="0" xfId="0" applyFont="1" applyFill="1" applyBorder="1" applyAlignment="1" applyProtection="1">
      <alignment horizontal="left" vertical="center" wrapText="1"/>
    </xf>
    <xf numFmtId="37" fontId="3" fillId="0" borderId="0" xfId="0" applyNumberFormat="1" applyFont="1" applyFill="1" applyBorder="1" applyAlignment="1" applyProtection="1">
      <alignment horizontal="left" vertical="center" wrapText="1"/>
    </xf>
    <xf numFmtId="37" fontId="3" fillId="0" borderId="0" xfId="0" applyNumberFormat="1" applyFont="1" applyFill="1" applyBorder="1" applyAlignment="1" applyProtection="1">
      <alignment horizontal="center" vertical="center" wrapText="1"/>
    </xf>
    <xf numFmtId="37" fontId="11" fillId="2" borderId="0" xfId="0" applyNumberFormat="1" applyFont="1" applyFill="1" applyBorder="1" applyAlignment="1" applyProtection="1">
      <alignment horizontal="left" vertical="center" wrapText="1"/>
    </xf>
    <xf numFmtId="37" fontId="11" fillId="2" borderId="0" xfId="0" applyNumberFormat="1" applyFont="1" applyFill="1" applyBorder="1" applyAlignment="1" applyProtection="1">
      <alignment horizontal="center" vertical="center" wrapText="1"/>
    </xf>
    <xf numFmtId="169" fontId="11" fillId="2" borderId="0" xfId="1" applyNumberFormat="1" applyFont="1" applyFill="1" applyBorder="1" applyAlignment="1" applyProtection="1">
      <alignment horizontal="left" vertical="center" wrapText="1"/>
    </xf>
    <xf numFmtId="169" fontId="11" fillId="2" borderId="0" xfId="1" applyNumberFormat="1" applyFont="1" applyFill="1" applyBorder="1" applyAlignment="1" applyProtection="1">
      <alignment horizontal="center" vertical="center" wrapText="1"/>
    </xf>
    <xf numFmtId="169" fontId="3" fillId="0" borderId="0" xfId="1" applyNumberFormat="1" applyFont="1" applyFill="1" applyBorder="1" applyAlignment="1" applyProtection="1">
      <alignment horizontal="left" vertical="center" wrapText="1"/>
    </xf>
    <xf numFmtId="169" fontId="3" fillId="0" borderId="0" xfId="1" applyNumberFormat="1" applyFont="1" applyFill="1" applyBorder="1" applyAlignment="1" applyProtection="1">
      <alignment horizontal="center" vertical="center" wrapText="1"/>
    </xf>
    <xf numFmtId="39" fontId="5" fillId="0" borderId="0" xfId="2" applyNumberFormat="1" applyFont="1" applyFill="1" applyBorder="1" applyAlignment="1" applyProtection="1">
      <alignment horizontal="left" vertical="center" wrapText="1"/>
    </xf>
    <xf numFmtId="39" fontId="5" fillId="0" borderId="0" xfId="2" applyNumberFormat="1" applyFont="1" applyFill="1" applyBorder="1" applyAlignment="1" applyProtection="1">
      <alignment horizontal="center" vertical="center" wrapText="1"/>
    </xf>
    <xf numFmtId="0" fontId="3" fillId="0" borderId="0" xfId="0" applyFont="1" applyBorder="1" applyAlignment="1" applyProtection="1">
      <alignment horizontal="center" vertical="center"/>
      <protection hidden="1"/>
    </xf>
    <xf numFmtId="0" fontId="3" fillId="0" borderId="0" xfId="0" applyFont="1" applyBorder="1" applyAlignment="1" applyProtection="1">
      <alignment horizontal="left" vertical="center"/>
      <protection hidden="1"/>
    </xf>
    <xf numFmtId="0" fontId="10" fillId="0" borderId="2" xfId="0" applyFont="1" applyFill="1" applyBorder="1" applyAlignment="1" applyProtection="1">
      <alignment horizontal="center"/>
      <protection locked="0" hidden="1"/>
    </xf>
    <xf numFmtId="49" fontId="3" fillId="0" borderId="0" xfId="0" applyNumberFormat="1" applyFont="1" applyBorder="1" applyAlignment="1" applyProtection="1">
      <alignment horizontal="left" vertical="center"/>
    </xf>
    <xf numFmtId="49" fontId="3" fillId="0" borderId="0" xfId="0" applyNumberFormat="1" applyFont="1" applyBorder="1" applyAlignment="1" applyProtection="1">
      <alignment horizontal="left" vertical="center" wrapText="1"/>
    </xf>
    <xf numFmtId="0" fontId="2" fillId="0" borderId="0" xfId="0" applyFont="1" applyBorder="1" applyAlignment="1" applyProtection="1">
      <alignment horizontal="center" vertical="center"/>
      <protection hidden="1"/>
    </xf>
    <xf numFmtId="165" fontId="3" fillId="0" borderId="0" xfId="0" applyNumberFormat="1" applyFont="1" applyBorder="1" applyAlignment="1" applyProtection="1">
      <alignment horizontal="center" vertical="center"/>
      <protection hidden="1"/>
    </xf>
    <xf numFmtId="165" fontId="3" fillId="0" borderId="3" xfId="0" applyNumberFormat="1" applyFont="1" applyBorder="1" applyAlignment="1" applyProtection="1">
      <alignment horizontal="left" vertical="center"/>
      <protection hidden="1"/>
    </xf>
    <xf numFmtId="165" fontId="3" fillId="0" borderId="4" xfId="0" applyNumberFormat="1" applyFont="1" applyBorder="1" applyAlignment="1" applyProtection="1">
      <alignment horizontal="center" vertical="center"/>
      <protection hidden="1"/>
    </xf>
    <xf numFmtId="165" fontId="3" fillId="0" borderId="5" xfId="0" applyNumberFormat="1" applyFont="1" applyBorder="1" applyAlignment="1" applyProtection="1">
      <alignment horizontal="left" vertical="center"/>
      <protection hidden="1"/>
    </xf>
    <xf numFmtId="165" fontId="3" fillId="0" borderId="6" xfId="0" applyNumberFormat="1" applyFont="1" applyBorder="1" applyAlignment="1" applyProtection="1">
      <alignment horizontal="center" vertical="center"/>
      <protection hidden="1"/>
    </xf>
    <xf numFmtId="0" fontId="3" fillId="0" borderId="7" xfId="0" applyFont="1" applyBorder="1" applyAlignment="1" applyProtection="1">
      <alignment horizontal="center" vertical="center" wrapText="1"/>
      <protection hidden="1"/>
    </xf>
    <xf numFmtId="169" fontId="3" fillId="0" borderId="8" xfId="1" applyNumberFormat="1" applyFont="1" applyBorder="1" applyAlignment="1" applyProtection="1">
      <alignment horizontal="center" vertical="center" wrapText="1"/>
      <protection hidden="1"/>
    </xf>
    <xf numFmtId="0" fontId="3" fillId="0" borderId="9" xfId="0" applyFont="1" applyBorder="1" applyAlignment="1" applyProtection="1">
      <alignment horizontal="center" vertical="center"/>
      <protection hidden="1"/>
    </xf>
    <xf numFmtId="0" fontId="3" fillId="0" borderId="10" xfId="0" applyFont="1" applyBorder="1" applyAlignment="1" applyProtection="1">
      <alignment horizontal="center" vertical="center"/>
      <protection hidden="1"/>
    </xf>
    <xf numFmtId="0" fontId="3" fillId="0" borderId="4" xfId="0" applyFont="1" applyBorder="1" applyAlignment="1" applyProtection="1">
      <alignment horizontal="left" vertical="center"/>
      <protection hidden="1"/>
    </xf>
    <xf numFmtId="0" fontId="3" fillId="0" borderId="7" xfId="0" applyFont="1" applyBorder="1" applyAlignment="1" applyProtection="1">
      <alignment horizontal="left" vertical="center"/>
      <protection hidden="1"/>
    </xf>
    <xf numFmtId="0" fontId="3" fillId="0" borderId="5" xfId="0" applyFont="1" applyBorder="1" applyAlignment="1" applyProtection="1">
      <alignment horizontal="left" vertical="center"/>
      <protection hidden="1"/>
    </xf>
    <xf numFmtId="0" fontId="3" fillId="0" borderId="11" xfId="0" applyFont="1" applyBorder="1" applyAlignment="1" applyProtection="1">
      <alignment horizontal="left" vertical="center"/>
      <protection hidden="1"/>
    </xf>
    <xf numFmtId="0" fontId="5" fillId="0" borderId="3" xfId="0" applyFont="1" applyBorder="1" applyAlignment="1" applyProtection="1">
      <alignment horizontal="left" vertical="center"/>
      <protection hidden="1"/>
    </xf>
    <xf numFmtId="187" fontId="3" fillId="0" borderId="0" xfId="1" applyNumberFormat="1" applyFont="1" applyBorder="1" applyAlignment="1" applyProtection="1">
      <alignment horizontal="right" vertical="center" wrapText="1"/>
    </xf>
    <xf numFmtId="2" fontId="5" fillId="0" borderId="0" xfId="0" applyNumberFormat="1" applyFont="1" applyFill="1" applyBorder="1" applyAlignment="1" applyProtection="1">
      <alignment horizontal="center"/>
      <protection hidden="1"/>
    </xf>
    <xf numFmtId="10" fontId="5" fillId="0" borderId="9" xfId="6" applyNumberFormat="1" applyFont="1" applyFill="1" applyBorder="1" applyAlignment="1" applyProtection="1">
      <alignment horizontal="center" vertical="center"/>
      <protection hidden="1"/>
    </xf>
    <xf numFmtId="1" fontId="3" fillId="0" borderId="0" xfId="0" applyNumberFormat="1" applyFont="1" applyBorder="1" applyAlignment="1" applyProtection="1">
      <alignment horizontal="right" vertical="center" wrapText="1"/>
    </xf>
    <xf numFmtId="0" fontId="4" fillId="0" borderId="0" xfId="0" applyFont="1" applyBorder="1" applyAlignment="1" applyProtection="1">
      <alignment horizontal="center" vertical="center" wrapText="1"/>
      <protection hidden="1"/>
    </xf>
    <xf numFmtId="0" fontId="4" fillId="0" borderId="0" xfId="0" applyFont="1" applyBorder="1" applyAlignment="1" applyProtection="1">
      <alignment horizontal="left" vertical="center"/>
      <protection hidden="1"/>
    </xf>
    <xf numFmtId="0" fontId="2" fillId="0" borderId="0" xfId="0" applyFont="1" applyFill="1" applyBorder="1" applyAlignment="1" applyProtection="1">
      <alignment horizontal="center" vertical="center" wrapText="1"/>
      <protection hidden="1"/>
    </xf>
    <xf numFmtId="0" fontId="4" fillId="0" borderId="0" xfId="0" applyFont="1" applyBorder="1" applyAlignment="1" applyProtection="1">
      <alignment horizontal="center" vertical="center"/>
      <protection hidden="1"/>
    </xf>
    <xf numFmtId="49" fontId="3" fillId="0" borderId="0" xfId="0" applyNumberFormat="1" applyFont="1" applyBorder="1" applyAlignment="1" applyProtection="1">
      <alignment horizontal="left" vertical="center"/>
      <protection locked="0"/>
    </xf>
    <xf numFmtId="165" fontId="3" fillId="0" borderId="0" xfId="0" applyNumberFormat="1" applyFont="1" applyBorder="1" applyAlignment="1" applyProtection="1">
      <alignment horizontal="center" vertical="center"/>
      <protection locked="0"/>
    </xf>
    <xf numFmtId="0" fontId="3" fillId="0" borderId="0" xfId="0" applyFont="1" applyBorder="1" applyAlignment="1" applyProtection="1">
      <alignment horizontal="center" vertical="center"/>
      <protection locked="0"/>
    </xf>
    <xf numFmtId="44" fontId="3" fillId="0" borderId="0" xfId="2" applyFont="1" applyBorder="1" applyAlignment="1" applyProtection="1">
      <alignment horizontal="center" vertical="center"/>
      <protection locked="0"/>
    </xf>
    <xf numFmtId="2" fontId="2" fillId="0" borderId="0" xfId="0" applyNumberFormat="1" applyFont="1" applyBorder="1" applyAlignment="1" applyProtection="1">
      <alignment horizontal="center" vertical="center" wrapText="1"/>
      <protection hidden="1"/>
    </xf>
    <xf numFmtId="39" fontId="2" fillId="0" borderId="0" xfId="2" applyNumberFormat="1" applyFont="1" applyFill="1" applyBorder="1" applyAlignment="1" applyProtection="1">
      <alignment horizontal="center" vertical="center" wrapText="1"/>
      <protection hidden="1"/>
    </xf>
    <xf numFmtId="0" fontId="2" fillId="0" borderId="0" xfId="0" applyFont="1" applyBorder="1" applyAlignment="1" applyProtection="1">
      <alignment horizontal="right" vertical="center" wrapText="1"/>
      <protection hidden="1"/>
    </xf>
    <xf numFmtId="49" fontId="5" fillId="0" borderId="0" xfId="0" applyNumberFormat="1" applyFont="1" applyBorder="1" applyAlignment="1" applyProtection="1">
      <alignment horizontal="left" vertical="center"/>
      <protection locked="0"/>
    </xf>
    <xf numFmtId="0" fontId="5" fillId="0" borderId="0" xfId="0" applyFont="1" applyAlignment="1" applyProtection="1">
      <protection hidden="1"/>
    </xf>
    <xf numFmtId="0" fontId="5" fillId="0" borderId="0" xfId="0" applyFont="1" applyBorder="1" applyAlignment="1" applyProtection="1">
      <alignment horizontal="left" vertical="center"/>
      <protection hidden="1"/>
    </xf>
    <xf numFmtId="44" fontId="3" fillId="0" borderId="7" xfId="2" applyFont="1" applyBorder="1" applyAlignment="1" applyProtection="1">
      <alignment horizontal="center" vertical="center"/>
      <protection hidden="1"/>
    </xf>
    <xf numFmtId="44" fontId="3" fillId="0" borderId="11" xfId="2" applyFont="1" applyBorder="1" applyAlignment="1" applyProtection="1">
      <alignment horizontal="center" vertical="center"/>
      <protection hidden="1"/>
    </xf>
    <xf numFmtId="44" fontId="3" fillId="0" borderId="8" xfId="2" applyFont="1" applyBorder="1" applyAlignment="1" applyProtection="1">
      <alignment horizontal="center" vertical="center"/>
      <protection hidden="1"/>
    </xf>
    <xf numFmtId="0" fontId="22" fillId="0" borderId="0" xfId="0" applyFont="1" applyBorder="1" applyProtection="1">
      <protection locked="0" hidden="1"/>
    </xf>
    <xf numFmtId="0" fontId="22" fillId="0" borderId="0" xfId="0" applyFont="1" applyBorder="1"/>
    <xf numFmtId="0" fontId="22" fillId="0" borderId="0" xfId="0" applyFont="1" applyBorder="1" applyAlignment="1" applyProtection="1">
      <alignment horizontal="left"/>
      <protection locked="0" hidden="1"/>
    </xf>
    <xf numFmtId="0" fontId="2" fillId="0" borderId="0" xfId="0" applyFont="1"/>
    <xf numFmtId="0" fontId="4" fillId="0" borderId="0" xfId="0" applyFont="1"/>
    <xf numFmtId="0" fontId="23" fillId="0" borderId="0" xfId="0" applyFont="1"/>
    <xf numFmtId="0" fontId="3" fillId="0" borderId="3" xfId="0" applyFont="1" applyBorder="1" applyAlignment="1" applyProtection="1">
      <alignment horizontal="left" vertical="center"/>
      <protection hidden="1"/>
    </xf>
    <xf numFmtId="0" fontId="5" fillId="0" borderId="0" xfId="0" applyFont="1" applyAlignment="1" applyProtection="1">
      <alignment horizontal="left"/>
    </xf>
    <xf numFmtId="0" fontId="5" fillId="0" borderId="0" xfId="0" applyFont="1" applyAlignment="1" applyProtection="1">
      <alignment horizontal="left" wrapText="1"/>
    </xf>
    <xf numFmtId="0" fontId="3" fillId="0" borderId="0" xfId="0" applyFont="1" applyBorder="1" applyAlignment="1" applyProtection="1">
      <alignment horizontal="centerContinuous"/>
      <protection hidden="1"/>
    </xf>
    <xf numFmtId="2" fontId="3" fillId="0" borderId="0" xfId="0" applyNumberFormat="1" applyFont="1" applyBorder="1" applyAlignment="1" applyProtection="1">
      <alignment horizontal="center"/>
      <protection hidden="1"/>
    </xf>
    <xf numFmtId="0" fontId="3" fillId="0" borderId="0" xfId="0" applyFont="1" applyBorder="1" applyAlignment="1" applyProtection="1">
      <alignment horizontal="right"/>
      <protection hidden="1"/>
    </xf>
    <xf numFmtId="0" fontId="3" fillId="0" borderId="0" xfId="0" applyFont="1" applyBorder="1" applyAlignment="1" applyProtection="1">
      <alignment horizontal="right" wrapText="1"/>
      <protection hidden="1"/>
    </xf>
    <xf numFmtId="2" fontId="5" fillId="0" borderId="0" xfId="0" applyNumberFormat="1" applyFont="1" applyBorder="1" applyAlignment="1" applyProtection="1">
      <alignment horizontal="center"/>
      <protection hidden="1"/>
    </xf>
    <xf numFmtId="0" fontId="3" fillId="0" borderId="0" xfId="0" applyFont="1" applyBorder="1" applyAlignment="1" applyProtection="1">
      <alignment horizontal="center"/>
      <protection hidden="1"/>
    </xf>
    <xf numFmtId="0" fontId="5" fillId="0" borderId="0" xfId="0" applyFont="1" applyBorder="1" applyAlignment="1" applyProtection="1">
      <alignment horizontal="right" wrapText="1"/>
      <protection hidden="1"/>
    </xf>
    <xf numFmtId="165" fontId="10" fillId="0" borderId="2" xfId="0" applyNumberFormat="1" applyFont="1" applyFill="1" applyBorder="1" applyAlignment="1" applyProtection="1">
      <alignment horizontal="center"/>
      <protection locked="0" hidden="1"/>
    </xf>
    <xf numFmtId="165" fontId="3" fillId="0" borderId="2" xfId="0" applyNumberFormat="1" applyFont="1" applyBorder="1" applyAlignment="1" applyProtection="1">
      <alignment horizontal="center"/>
      <protection hidden="1"/>
    </xf>
    <xf numFmtId="39" fontId="10" fillId="0" borderId="2" xfId="2" applyNumberFormat="1" applyFont="1" applyFill="1" applyBorder="1" applyAlignment="1" applyProtection="1">
      <alignment horizontal="center"/>
      <protection locked="0" hidden="1"/>
    </xf>
    <xf numFmtId="166" fontId="5" fillId="0" borderId="12" xfId="0" applyNumberFormat="1" applyFont="1" applyBorder="1" applyAlignment="1" applyProtection="1">
      <alignment horizontal="center"/>
      <protection hidden="1"/>
    </xf>
    <xf numFmtId="166" fontId="3" fillId="0" borderId="0" xfId="0" applyNumberFormat="1" applyFont="1" applyBorder="1" applyAlignment="1" applyProtection="1">
      <alignment horizontal="center"/>
      <protection hidden="1"/>
    </xf>
    <xf numFmtId="2" fontId="10" fillId="0" borderId="2" xfId="0" applyNumberFormat="1" applyFont="1" applyFill="1" applyBorder="1" applyAlignment="1" applyProtection="1">
      <alignment horizontal="center"/>
      <protection locked="0" hidden="1"/>
    </xf>
    <xf numFmtId="166" fontId="5" fillId="0" borderId="13" xfId="2" applyNumberFormat="1" applyFont="1" applyBorder="1" applyAlignment="1" applyProtection="1">
      <alignment horizontal="center"/>
      <protection hidden="1"/>
    </xf>
    <xf numFmtId="2" fontId="5" fillId="0" borderId="0" xfId="2" applyNumberFormat="1" applyFont="1" applyBorder="1" applyAlignment="1" applyProtection="1">
      <alignment horizontal="center"/>
      <protection hidden="1"/>
    </xf>
    <xf numFmtId="0" fontId="5" fillId="0" borderId="0" xfId="0" quotePrefix="1" applyFont="1" applyBorder="1" applyAlignment="1" applyProtection="1">
      <alignment horizontal="right" wrapText="1"/>
      <protection hidden="1"/>
    </xf>
    <xf numFmtId="2" fontId="10" fillId="0" borderId="2" xfId="0" applyNumberFormat="1" applyFont="1" applyFill="1" applyBorder="1" applyProtection="1">
      <protection locked="0" hidden="1"/>
    </xf>
    <xf numFmtId="2" fontId="10" fillId="0" borderId="0" xfId="0" applyNumberFormat="1" applyFont="1" applyFill="1" applyBorder="1" applyAlignment="1" applyProtection="1">
      <alignment horizontal="center"/>
      <protection locked="0" hidden="1"/>
    </xf>
    <xf numFmtId="0" fontId="11" fillId="0" borderId="2" xfId="0" applyFont="1" applyFill="1" applyBorder="1" applyAlignment="1" applyProtection="1">
      <alignment horizontal="center"/>
      <protection locked="0" hidden="1"/>
    </xf>
    <xf numFmtId="37" fontId="11" fillId="0" borderId="14" xfId="2" applyNumberFormat="1" applyFont="1" applyFill="1" applyBorder="1" applyAlignment="1" applyProtection="1">
      <alignment horizontal="center"/>
      <protection locked="0" hidden="1"/>
    </xf>
    <xf numFmtId="37" fontId="11" fillId="0" borderId="15" xfId="2" applyNumberFormat="1" applyFont="1" applyFill="1" applyBorder="1" applyAlignment="1" applyProtection="1">
      <alignment horizontal="center"/>
      <protection locked="0" hidden="1"/>
    </xf>
    <xf numFmtId="37" fontId="11" fillId="0" borderId="16" xfId="2" applyNumberFormat="1" applyFont="1" applyFill="1" applyBorder="1" applyAlignment="1" applyProtection="1">
      <alignment horizontal="center"/>
      <protection locked="0" hidden="1"/>
    </xf>
    <xf numFmtId="0" fontId="4" fillId="0" borderId="0" xfId="0" applyFont="1" applyBorder="1" applyAlignment="1" applyProtection="1">
      <alignment horizontal="center" vertical="center" wrapText="1"/>
      <protection locked="0"/>
    </xf>
    <xf numFmtId="0" fontId="13" fillId="0" borderId="0" xfId="0" applyFont="1"/>
    <xf numFmtId="0" fontId="0" fillId="0" borderId="0" xfId="0" applyAlignment="1">
      <alignment horizontal="center"/>
    </xf>
    <xf numFmtId="0" fontId="0" fillId="0" borderId="0" xfId="0" applyProtection="1">
      <protection hidden="1"/>
    </xf>
    <xf numFmtId="0" fontId="5" fillId="0" borderId="0" xfId="0" applyFont="1" applyProtection="1">
      <protection hidden="1"/>
    </xf>
    <xf numFmtId="0" fontId="5" fillId="0" borderId="0" xfId="0" applyFont="1" applyAlignment="1" applyProtection="1">
      <alignment horizontal="center"/>
      <protection hidden="1"/>
    </xf>
    <xf numFmtId="169" fontId="1" fillId="0" borderId="0" xfId="1" applyNumberFormat="1" applyAlignment="1" applyProtection="1">
      <alignment horizontal="center"/>
      <protection hidden="1"/>
    </xf>
    <xf numFmtId="169" fontId="0" fillId="0" borderId="0" xfId="0" applyNumberFormat="1" applyAlignment="1" applyProtection="1">
      <alignment horizontal="center"/>
      <protection hidden="1"/>
    </xf>
    <xf numFmtId="169" fontId="5" fillId="0" borderId="0" xfId="0" applyNumberFormat="1" applyFont="1" applyAlignment="1" applyProtection="1">
      <alignment horizontal="center"/>
      <protection hidden="1"/>
    </xf>
    <xf numFmtId="2" fontId="5" fillId="0" borderId="0" xfId="0" applyNumberFormat="1" applyFont="1" applyAlignment="1" applyProtection="1">
      <alignment horizontal="center"/>
      <protection hidden="1"/>
    </xf>
    <xf numFmtId="169" fontId="5" fillId="0" borderId="0" xfId="0" applyNumberFormat="1" applyFont="1" applyProtection="1">
      <protection hidden="1"/>
    </xf>
    <xf numFmtId="169" fontId="5" fillId="0" borderId="0" xfId="1" applyNumberFormat="1" applyFont="1" applyProtection="1">
      <protection hidden="1"/>
    </xf>
    <xf numFmtId="0" fontId="13" fillId="0" borderId="0" xfId="0" applyFont="1" applyProtection="1">
      <protection hidden="1"/>
    </xf>
    <xf numFmtId="2" fontId="13" fillId="0" borderId="0" xfId="0" applyNumberFormat="1" applyFont="1" applyAlignment="1" applyProtection="1">
      <alignment horizontal="center"/>
      <protection hidden="1"/>
    </xf>
    <xf numFmtId="169" fontId="0" fillId="0" borderId="0" xfId="1" applyNumberFormat="1" applyFont="1" applyAlignment="1" applyProtection="1">
      <alignment horizontal="center"/>
      <protection hidden="1"/>
    </xf>
    <xf numFmtId="0" fontId="0" fillId="0" borderId="0" xfId="0" quotePrefix="1" applyAlignment="1">
      <alignment horizontal="left"/>
    </xf>
    <xf numFmtId="0" fontId="3" fillId="0" borderId="0" xfId="0" applyFont="1" applyFill="1" applyBorder="1" applyAlignment="1" applyProtection="1">
      <alignment horizontal="left" vertical="center"/>
      <protection hidden="1"/>
    </xf>
    <xf numFmtId="0" fontId="3" fillId="0" borderId="4" xfId="0" applyNumberFormat="1" applyFont="1" applyBorder="1" applyAlignment="1" applyProtection="1">
      <alignment horizontal="left" vertical="center"/>
      <protection hidden="1"/>
    </xf>
    <xf numFmtId="0" fontId="3" fillId="0" borderId="4" xfId="2" applyNumberFormat="1" applyFont="1" applyBorder="1" applyAlignment="1" applyProtection="1">
      <alignment horizontal="center" vertical="center"/>
      <protection hidden="1"/>
    </xf>
    <xf numFmtId="0" fontId="3" fillId="0" borderId="4" xfId="0" applyNumberFormat="1" applyFont="1" applyBorder="1" applyAlignment="1" applyProtection="1">
      <alignment horizontal="center" vertical="center"/>
      <protection hidden="1"/>
    </xf>
    <xf numFmtId="0" fontId="3" fillId="0" borderId="0" xfId="0" applyNumberFormat="1" applyFont="1" applyBorder="1" applyAlignment="1" applyProtection="1">
      <alignment horizontal="left" vertical="center"/>
      <protection hidden="1"/>
    </xf>
    <xf numFmtId="0" fontId="3" fillId="0" borderId="0" xfId="2" applyNumberFormat="1" applyFont="1" applyBorder="1" applyAlignment="1" applyProtection="1">
      <alignment horizontal="center" vertical="center"/>
      <protection hidden="1"/>
    </xf>
    <xf numFmtId="0" fontId="3" fillId="0" borderId="0" xfId="0" applyNumberFormat="1" applyFont="1" applyBorder="1" applyAlignment="1" applyProtection="1">
      <alignment horizontal="center" vertical="center"/>
      <protection hidden="1"/>
    </xf>
    <xf numFmtId="0" fontId="3" fillId="0" borderId="6" xfId="0" applyNumberFormat="1" applyFont="1" applyBorder="1" applyAlignment="1" applyProtection="1">
      <alignment horizontal="left" vertical="center"/>
      <protection hidden="1"/>
    </xf>
    <xf numFmtId="0" fontId="3" fillId="0" borderId="6" xfId="2" applyNumberFormat="1" applyFont="1" applyBorder="1" applyAlignment="1" applyProtection="1">
      <alignment horizontal="center" vertical="center"/>
      <protection hidden="1"/>
    </xf>
    <xf numFmtId="0" fontId="3" fillId="0" borderId="6" xfId="0" applyNumberFormat="1" applyFont="1" applyBorder="1" applyAlignment="1" applyProtection="1">
      <alignment horizontal="center" vertical="center"/>
      <protection hidden="1"/>
    </xf>
    <xf numFmtId="9" fontId="3" fillId="0" borderId="0" xfId="0" applyNumberFormat="1" applyFont="1" applyAlignment="1">
      <alignment horizontal="left" vertical="center" wrapText="1"/>
    </xf>
    <xf numFmtId="2" fontId="0" fillId="0" borderId="0" xfId="0" applyNumberFormat="1" applyAlignment="1" applyProtection="1">
      <alignment horizontal="center"/>
      <protection hidden="1"/>
    </xf>
    <xf numFmtId="0" fontId="3" fillId="0" borderId="0" xfId="0" applyFont="1" applyFill="1" applyBorder="1" applyAlignment="1" applyProtection="1">
      <alignment horizontal="right" vertical="center"/>
      <protection hidden="1"/>
    </xf>
    <xf numFmtId="0" fontId="16" fillId="0" borderId="0" xfId="0" applyFont="1" applyFill="1" applyBorder="1" applyAlignment="1" applyProtection="1">
      <alignment horizontal="center" wrapText="1"/>
      <protection hidden="1"/>
    </xf>
    <xf numFmtId="0" fontId="5" fillId="0" borderId="0" xfId="0" applyFont="1" applyBorder="1" applyAlignment="1" applyProtection="1">
      <alignment horizontal="center"/>
      <protection hidden="1"/>
    </xf>
    <xf numFmtId="0" fontId="28" fillId="0" borderId="0" xfId="0" applyFont="1" applyAlignment="1">
      <alignment horizontal="center"/>
    </xf>
    <xf numFmtId="0" fontId="28" fillId="0" borderId="0" xfId="0" applyFont="1"/>
    <xf numFmtId="0" fontId="0" fillId="2" borderId="0" xfId="0" applyFill="1"/>
    <xf numFmtId="0" fontId="0" fillId="0" borderId="0" xfId="0" applyFill="1"/>
    <xf numFmtId="0" fontId="3" fillId="0" borderId="0" xfId="0" applyFont="1" applyAlignment="1">
      <alignment horizontal="left"/>
    </xf>
    <xf numFmtId="0" fontId="5" fillId="0" borderId="0" xfId="0" applyFont="1" applyAlignment="1">
      <alignment horizontal="left" wrapText="1"/>
    </xf>
    <xf numFmtId="0" fontId="5" fillId="3" borderId="0" xfId="0" applyFont="1" applyFill="1" applyAlignment="1">
      <alignment horizontal="left"/>
    </xf>
    <xf numFmtId="0" fontId="5" fillId="3" borderId="0" xfId="0" applyFont="1" applyFill="1" applyAlignment="1" applyProtection="1">
      <alignment horizontal="left"/>
    </xf>
    <xf numFmtId="0" fontId="15" fillId="0" borderId="0" xfId="0" applyFont="1" applyAlignment="1" applyProtection="1">
      <alignment horizontal="left"/>
    </xf>
    <xf numFmtId="0" fontId="5" fillId="3" borderId="0" xfId="0" applyFont="1" applyFill="1" applyAlignment="1">
      <alignment horizontal="center"/>
    </xf>
    <xf numFmtId="0" fontId="5" fillId="3" borderId="0" xfId="0" applyFont="1" applyFill="1" applyAlignment="1" applyProtection="1">
      <alignment horizontal="center"/>
    </xf>
    <xf numFmtId="0" fontId="5" fillId="0" borderId="0" xfId="0" applyFont="1" applyAlignment="1" applyProtection="1">
      <alignment horizontal="center" wrapText="1"/>
    </xf>
    <xf numFmtId="0" fontId="3" fillId="3" borderId="0" xfId="0" applyFont="1" applyFill="1" applyAlignment="1">
      <alignment horizontal="left"/>
    </xf>
    <xf numFmtId="2" fontId="3" fillId="0" borderId="0" xfId="0" applyNumberFormat="1" applyFont="1" applyAlignment="1">
      <alignment horizontal="left"/>
    </xf>
    <xf numFmtId="0" fontId="3" fillId="3" borderId="0" xfId="0" applyFont="1" applyFill="1" applyAlignment="1" applyProtection="1">
      <alignment horizontal="left"/>
    </xf>
    <xf numFmtId="0" fontId="3" fillId="0" borderId="0" xfId="0" applyFont="1" applyAlignment="1" applyProtection="1">
      <alignment horizontal="left"/>
    </xf>
    <xf numFmtId="2" fontId="3" fillId="0" borderId="0" xfId="2" applyNumberFormat="1" applyFont="1" applyAlignment="1">
      <alignment horizontal="left"/>
    </xf>
    <xf numFmtId="2" fontId="3" fillId="0" borderId="0" xfId="2" applyNumberFormat="1" applyFont="1" applyAlignment="1" applyProtection="1">
      <alignment horizontal="left"/>
    </xf>
    <xf numFmtId="4" fontId="3" fillId="0" borderId="0" xfId="0" applyNumberFormat="1" applyFont="1" applyAlignment="1">
      <alignment horizontal="left"/>
    </xf>
    <xf numFmtId="2" fontId="12" fillId="0" borderId="0" xfId="2" applyNumberFormat="1" applyFont="1" applyAlignment="1">
      <alignment horizontal="left"/>
    </xf>
    <xf numFmtId="0" fontId="5" fillId="3" borderId="0" xfId="0" applyFont="1" applyFill="1" applyAlignment="1">
      <alignment horizontal="left" wrapText="1"/>
    </xf>
    <xf numFmtId="0" fontId="5" fillId="3" borderId="0" xfId="0" applyFont="1" applyFill="1" applyAlignment="1" applyProtection="1">
      <alignment horizontal="left" wrapText="1"/>
    </xf>
    <xf numFmtId="0" fontId="12" fillId="0" borderId="0" xfId="0" applyFont="1" applyAlignment="1">
      <alignment horizontal="left"/>
    </xf>
    <xf numFmtId="0" fontId="12" fillId="0" borderId="0" xfId="0" applyFont="1" applyAlignment="1">
      <alignment horizontal="center"/>
    </xf>
    <xf numFmtId="0" fontId="15" fillId="3" borderId="0" xfId="0" applyFont="1" applyFill="1" applyAlignment="1">
      <alignment horizontal="left"/>
    </xf>
    <xf numFmtId="2" fontId="12" fillId="0" borderId="0" xfId="0" applyNumberFormat="1" applyFont="1" applyAlignment="1">
      <alignment horizontal="left"/>
    </xf>
    <xf numFmtId="0" fontId="3" fillId="0" borderId="0" xfId="0" applyFont="1" applyBorder="1" applyAlignment="1">
      <alignment horizontal="left"/>
    </xf>
    <xf numFmtId="0" fontId="3" fillId="0" borderId="0" xfId="0" applyFont="1" applyBorder="1"/>
    <xf numFmtId="0" fontId="3" fillId="0" borderId="0" xfId="0" applyFont="1" applyFill="1" applyBorder="1"/>
    <xf numFmtId="0" fontId="5" fillId="0" borderId="0" xfId="0" applyFont="1" applyFill="1" applyBorder="1" applyAlignment="1" applyProtection="1">
      <alignment horizontal="right" vertical="center" wrapText="1"/>
      <protection hidden="1"/>
    </xf>
    <xf numFmtId="215" fontId="5" fillId="0" borderId="13" xfId="0" applyNumberFormat="1" applyFont="1" applyBorder="1" applyAlignment="1" applyProtection="1">
      <alignment horizontal="center"/>
      <protection hidden="1"/>
    </xf>
    <xf numFmtId="49" fontId="1" fillId="0" borderId="0" xfId="5"/>
    <xf numFmtId="49" fontId="2" fillId="0" borderId="0" xfId="5" applyFont="1" applyAlignment="1">
      <alignment horizontal="center"/>
    </xf>
    <xf numFmtId="44" fontId="3" fillId="0" borderId="0" xfId="0" applyNumberFormat="1" applyFont="1" applyBorder="1" applyProtection="1">
      <protection locked="0"/>
    </xf>
    <xf numFmtId="0" fontId="3" fillId="0" borderId="0" xfId="0" applyFont="1" applyAlignment="1" applyProtection="1">
      <alignment horizontal="center"/>
      <protection locked="0"/>
    </xf>
    <xf numFmtId="0" fontId="3" fillId="0" borderId="0" xfId="0" applyFont="1" applyBorder="1" applyProtection="1">
      <protection locked="0"/>
    </xf>
    <xf numFmtId="0" fontId="3" fillId="0" borderId="0" xfId="0" applyFont="1" applyBorder="1" applyAlignment="1" applyProtection="1">
      <alignment horizontal="center"/>
      <protection locked="0"/>
    </xf>
    <xf numFmtId="44" fontId="3" fillId="0" borderId="0" xfId="2" applyFont="1" applyBorder="1" applyAlignment="1" applyProtection="1">
      <alignment horizontal="center"/>
      <protection locked="0"/>
    </xf>
    <xf numFmtId="0" fontId="5" fillId="0" borderId="0" xfId="0" applyFont="1" applyAlignment="1">
      <alignment horizontal="right" wrapText="1"/>
    </xf>
    <xf numFmtId="0" fontId="3" fillId="0" borderId="0" xfId="0" applyFont="1" applyBorder="1" applyAlignment="1" applyProtection="1">
      <alignment horizontal="left"/>
    </xf>
    <xf numFmtId="2" fontId="5" fillId="0" borderId="17" xfId="2" applyNumberFormat="1" applyFont="1" applyBorder="1" applyAlignment="1" applyProtection="1">
      <alignment horizontal="center"/>
    </xf>
    <xf numFmtId="2" fontId="3" fillId="0" borderId="18" xfId="2" applyNumberFormat="1" applyFont="1" applyBorder="1" applyAlignment="1" applyProtection="1">
      <alignment horizontal="left"/>
    </xf>
    <xf numFmtId="2" fontId="5" fillId="0" borderId="0" xfId="2" applyNumberFormat="1" applyFont="1" applyBorder="1" applyAlignment="1" applyProtection="1">
      <alignment horizontal="center"/>
    </xf>
    <xf numFmtId="2" fontId="3" fillId="0" borderId="19" xfId="2" applyNumberFormat="1" applyFont="1" applyBorder="1" applyAlignment="1" applyProtection="1">
      <alignment horizontal="left"/>
    </xf>
    <xf numFmtId="0" fontId="3" fillId="0" borderId="19" xfId="0" applyFont="1" applyBorder="1" applyAlignment="1" applyProtection="1">
      <alignment horizontal="left"/>
    </xf>
    <xf numFmtId="44" fontId="3" fillId="0" borderId="0" xfId="2" applyFont="1" applyBorder="1" applyAlignment="1" applyProtection="1">
      <alignment horizontal="left"/>
    </xf>
    <xf numFmtId="44" fontId="3" fillId="0" borderId="1" xfId="2" applyFont="1" applyBorder="1" applyAlignment="1" applyProtection="1">
      <alignment horizontal="left"/>
    </xf>
    <xf numFmtId="0" fontId="3" fillId="0" borderId="20" xfId="0" applyFont="1" applyBorder="1" applyAlignment="1" applyProtection="1">
      <alignment horizontal="left"/>
    </xf>
    <xf numFmtId="0" fontId="5" fillId="0" borderId="13" xfId="0" applyFont="1" applyBorder="1" applyAlignment="1" applyProtection="1">
      <alignment horizontal="center" vertical="center"/>
      <protection hidden="1"/>
    </xf>
    <xf numFmtId="0" fontId="0" fillId="0" borderId="0" xfId="0" applyAlignment="1" applyProtection="1">
      <alignment horizontal="center" vertical="center"/>
      <protection hidden="1"/>
    </xf>
    <xf numFmtId="0" fontId="13" fillId="0" borderId="0" xfId="0" applyFont="1" applyFill="1" applyBorder="1" applyAlignment="1" applyProtection="1">
      <alignment horizontal="right" vertical="center"/>
      <protection hidden="1"/>
    </xf>
    <xf numFmtId="0" fontId="5" fillId="0" borderId="13" xfId="0" applyFont="1" applyBorder="1" applyAlignment="1" applyProtection="1">
      <alignment horizontal="center" vertical="center" wrapText="1"/>
      <protection hidden="1"/>
    </xf>
    <xf numFmtId="0" fontId="0" fillId="0" borderId="13" xfId="0" applyBorder="1" applyAlignment="1" applyProtection="1">
      <alignment horizontal="left" vertical="center" wrapText="1"/>
      <protection hidden="1"/>
    </xf>
    <xf numFmtId="0" fontId="0" fillId="0" borderId="13" xfId="0" applyBorder="1" applyAlignment="1" applyProtection="1">
      <alignment vertical="center" wrapText="1"/>
      <protection hidden="1"/>
    </xf>
    <xf numFmtId="0" fontId="0" fillId="0" borderId="0" xfId="0" applyBorder="1" applyAlignment="1" applyProtection="1">
      <alignment vertical="center" wrapText="1"/>
      <protection hidden="1"/>
    </xf>
    <xf numFmtId="0" fontId="0" fillId="0" borderId="0" xfId="0" applyAlignment="1" applyProtection="1">
      <alignment vertical="center" wrapText="1"/>
      <protection hidden="1"/>
    </xf>
    <xf numFmtId="0" fontId="0" fillId="0" borderId="13" xfId="0" applyBorder="1" applyAlignment="1" applyProtection="1">
      <alignment horizontal="center" vertical="center"/>
      <protection hidden="1"/>
    </xf>
    <xf numFmtId="0" fontId="0" fillId="0" borderId="0" xfId="0" applyBorder="1" applyAlignment="1" applyProtection="1">
      <alignment horizontal="center" vertical="center"/>
      <protection hidden="1"/>
    </xf>
    <xf numFmtId="0" fontId="0" fillId="0" borderId="9" xfId="0" applyBorder="1" applyAlignment="1" applyProtection="1">
      <alignment horizontal="center" vertical="center"/>
      <protection hidden="1"/>
    </xf>
    <xf numFmtId="0" fontId="0" fillId="0" borderId="9" xfId="0" applyBorder="1" applyAlignment="1" applyProtection="1">
      <alignment vertical="center" wrapText="1"/>
      <protection hidden="1"/>
    </xf>
    <xf numFmtId="0" fontId="5" fillId="0" borderId="0" xfId="0" applyFont="1" applyAlignment="1" applyProtection="1">
      <alignment horizontal="center" vertical="center"/>
      <protection hidden="1"/>
    </xf>
    <xf numFmtId="14" fontId="5" fillId="0" borderId="13" xfId="0" applyNumberFormat="1" applyFont="1" applyBorder="1" applyAlignment="1" applyProtection="1">
      <alignment horizontal="center" vertical="center"/>
      <protection hidden="1"/>
    </xf>
    <xf numFmtId="14" fontId="5" fillId="0" borderId="9" xfId="0" applyNumberFormat="1" applyFont="1" applyBorder="1" applyAlignment="1" applyProtection="1">
      <alignment horizontal="center" vertical="center"/>
      <protection hidden="1"/>
    </xf>
    <xf numFmtId="14" fontId="5" fillId="0" borderId="0" xfId="0" applyNumberFormat="1" applyFont="1" applyBorder="1" applyAlignment="1" applyProtection="1">
      <alignment horizontal="left" vertical="center"/>
      <protection hidden="1"/>
    </xf>
    <xf numFmtId="169" fontId="3" fillId="0" borderId="0" xfId="1" applyNumberFormat="1" applyFont="1" applyAlignment="1">
      <alignment horizontal="left"/>
    </xf>
    <xf numFmtId="0" fontId="27" fillId="0" borderId="0" xfId="0" quotePrefix="1" applyFont="1" applyFill="1" applyBorder="1" applyAlignment="1" applyProtection="1">
      <alignment horizontal="left"/>
    </xf>
    <xf numFmtId="0" fontId="27" fillId="0" borderId="0" xfId="0" applyFont="1" applyFill="1" applyBorder="1" applyAlignment="1" applyProtection="1">
      <alignment horizontal="center"/>
    </xf>
    <xf numFmtId="0" fontId="27" fillId="0" borderId="0" xfId="0" quotePrefix="1" applyFont="1" applyFill="1" applyBorder="1" applyAlignment="1" applyProtection="1">
      <alignment horizontal="center"/>
    </xf>
    <xf numFmtId="0" fontId="27" fillId="0" borderId="0" xfId="0" applyFont="1" applyFill="1" applyBorder="1" applyAlignment="1">
      <alignment horizontal="center"/>
    </xf>
    <xf numFmtId="0" fontId="27" fillId="0" borderId="0" xfId="0" applyFont="1" applyFill="1" applyBorder="1"/>
    <xf numFmtId="0" fontId="27" fillId="0" borderId="0" xfId="0" applyFont="1" applyFill="1" applyBorder="1" applyAlignment="1" applyProtection="1">
      <alignment horizontal="right"/>
    </xf>
    <xf numFmtId="0" fontId="28" fillId="0" borderId="0" xfId="0" applyFont="1" applyFill="1" applyBorder="1"/>
    <xf numFmtId="164" fontId="27" fillId="0" borderId="0" xfId="0" applyNumberFormat="1" applyFont="1" applyFill="1" applyBorder="1" applyAlignment="1" applyProtection="1">
      <alignment horizontal="center"/>
    </xf>
    <xf numFmtId="2" fontId="27" fillId="0" borderId="0" xfId="0" applyNumberFormat="1" applyFont="1" applyFill="1" applyBorder="1" applyAlignment="1" applyProtection="1">
      <alignment horizontal="center"/>
    </xf>
    <xf numFmtId="0" fontId="27" fillId="0" borderId="0" xfId="0" applyFont="1" applyFill="1" applyBorder="1" applyAlignment="1" applyProtection="1">
      <alignment horizontal="left"/>
    </xf>
    <xf numFmtId="0" fontId="0" fillId="0" borderId="0" xfId="0" applyFill="1" applyBorder="1"/>
    <xf numFmtId="0" fontId="0" fillId="0" borderId="0" xfId="0" applyFill="1" applyBorder="1" applyAlignment="1">
      <alignment horizontal="center"/>
    </xf>
    <xf numFmtId="0" fontId="27" fillId="0" borderId="0" xfId="0" quotePrefix="1" applyFont="1" applyFill="1" applyBorder="1" applyAlignment="1">
      <alignment horizontal="center"/>
    </xf>
    <xf numFmtId="0" fontId="27" fillId="0" borderId="0" xfId="0" applyFont="1" applyFill="1" applyBorder="1" applyAlignment="1">
      <alignment horizontal="right"/>
    </xf>
    <xf numFmtId="0" fontId="21" fillId="0" borderId="0" xfId="0" applyFont="1" applyFill="1" applyBorder="1" applyAlignment="1">
      <alignment horizontal="center"/>
    </xf>
    <xf numFmtId="0" fontId="21" fillId="0" borderId="0" xfId="0" quotePrefix="1" applyFont="1" applyFill="1" applyBorder="1" applyAlignment="1">
      <alignment horizontal="center"/>
    </xf>
    <xf numFmtId="0" fontId="28" fillId="0" borderId="0" xfId="0" applyFont="1" applyFill="1" applyBorder="1" applyAlignment="1">
      <alignment horizontal="center"/>
    </xf>
    <xf numFmtId="2" fontId="28" fillId="0" borderId="0" xfId="0" applyNumberFormat="1" applyFont="1" applyFill="1" applyBorder="1" applyAlignment="1">
      <alignment horizontal="center"/>
    </xf>
    <xf numFmtId="1" fontId="27" fillId="0" borderId="0" xfId="0" applyNumberFormat="1" applyFont="1" applyFill="1" applyBorder="1" applyAlignment="1" applyProtection="1">
      <alignment horizontal="center"/>
    </xf>
    <xf numFmtId="0" fontId="28" fillId="0" borderId="0" xfId="0" quotePrefix="1" applyFont="1" applyFill="1" applyBorder="1" applyAlignment="1">
      <alignment horizontal="left"/>
    </xf>
    <xf numFmtId="164" fontId="27" fillId="0" borderId="0" xfId="0" applyNumberFormat="1" applyFont="1" applyFill="1" applyBorder="1" applyAlignment="1">
      <alignment horizontal="center"/>
    </xf>
    <xf numFmtId="164" fontId="27" fillId="0" borderId="0" xfId="0" quotePrefix="1" applyNumberFormat="1" applyFont="1" applyFill="1" applyBorder="1" applyAlignment="1" applyProtection="1">
      <alignment horizontal="center"/>
    </xf>
    <xf numFmtId="0" fontId="21" fillId="0" borderId="0" xfId="0" applyFont="1" applyFill="1" applyBorder="1"/>
    <xf numFmtId="211" fontId="27" fillId="0" borderId="0" xfId="0" quotePrefix="1" applyNumberFormat="1" applyFont="1" applyFill="1" applyBorder="1" applyAlignment="1" applyProtection="1">
      <alignment horizontal="center"/>
    </xf>
    <xf numFmtId="0" fontId="27" fillId="0" borderId="0" xfId="0" quotePrefix="1" applyFont="1" applyFill="1" applyBorder="1" applyAlignment="1">
      <alignment horizontal="left"/>
    </xf>
    <xf numFmtId="0" fontId="27" fillId="0" borderId="0" xfId="0" applyFont="1" applyFill="1" applyBorder="1" applyAlignment="1" applyProtection="1"/>
    <xf numFmtId="0" fontId="27" fillId="0" borderId="0" xfId="0" applyFont="1" applyFill="1" applyBorder="1" applyAlignment="1">
      <alignment horizontal="left"/>
    </xf>
    <xf numFmtId="2" fontId="27" fillId="0" borderId="0" xfId="0" applyNumberFormat="1" applyFont="1" applyFill="1" applyBorder="1" applyAlignment="1">
      <alignment horizontal="center"/>
    </xf>
    <xf numFmtId="0" fontId="28" fillId="0" borderId="0" xfId="0" quotePrefix="1" applyFont="1" applyFill="1" applyBorder="1" applyAlignment="1">
      <alignment horizontal="center"/>
    </xf>
    <xf numFmtId="1" fontId="28" fillId="0" borderId="0" xfId="0" applyNumberFormat="1" applyFont="1" applyFill="1" applyBorder="1" applyAlignment="1">
      <alignment horizontal="center"/>
    </xf>
    <xf numFmtId="3" fontId="28" fillId="0" borderId="0" xfId="0" applyNumberFormat="1" applyFont="1" applyFill="1" applyBorder="1" applyAlignment="1">
      <alignment horizontal="center"/>
    </xf>
    <xf numFmtId="16" fontId="28" fillId="0" borderId="0" xfId="0" applyNumberFormat="1" applyFont="1" applyFill="1" applyBorder="1" applyAlignment="1">
      <alignment horizontal="center"/>
    </xf>
    <xf numFmtId="0" fontId="28" fillId="0" borderId="0" xfId="0" applyFont="1" applyFill="1" applyBorder="1" applyAlignment="1">
      <alignment horizontal="left"/>
    </xf>
    <xf numFmtId="1" fontId="27" fillId="0" borderId="0" xfId="0" applyNumberFormat="1" applyFont="1" applyFill="1" applyBorder="1" applyAlignment="1">
      <alignment horizontal="center"/>
    </xf>
    <xf numFmtId="0" fontId="21" fillId="0" borderId="0" xfId="0" quotePrefix="1" applyFont="1" applyFill="1" applyBorder="1" applyAlignment="1" applyProtection="1">
      <alignment horizontal="center"/>
    </xf>
    <xf numFmtId="0" fontId="21" fillId="0" borderId="0" xfId="0" applyFont="1" applyFill="1" applyBorder="1" applyAlignment="1" applyProtection="1">
      <alignment horizontal="center"/>
    </xf>
    <xf numFmtId="164" fontId="21" fillId="0" borderId="0" xfId="0" quotePrefix="1" applyNumberFormat="1" applyFont="1" applyFill="1" applyBorder="1" applyAlignment="1" applyProtection="1">
      <alignment horizontal="center"/>
    </xf>
    <xf numFmtId="2" fontId="21" fillId="0" borderId="0" xfId="0" applyNumberFormat="1" applyFont="1" applyFill="1" applyBorder="1" applyAlignment="1" applyProtection="1">
      <alignment horizontal="center"/>
    </xf>
    <xf numFmtId="1" fontId="21" fillId="0" borderId="0" xfId="0" quotePrefix="1" applyNumberFormat="1" applyFont="1" applyFill="1" applyBorder="1" applyAlignment="1" applyProtection="1">
      <alignment horizontal="center"/>
    </xf>
    <xf numFmtId="0" fontId="29" fillId="0" borderId="0" xfId="0" applyFont="1" applyFill="1" applyBorder="1" applyAlignment="1">
      <alignment horizontal="center"/>
    </xf>
    <xf numFmtId="0" fontId="21" fillId="0" borderId="0" xfId="0" applyFont="1" applyFill="1" applyBorder="1" applyAlignment="1" applyProtection="1">
      <alignment horizontal="right"/>
    </xf>
    <xf numFmtId="164" fontId="21" fillId="0" borderId="0" xfId="0" applyNumberFormat="1" applyFont="1" applyFill="1" applyBorder="1" applyAlignment="1">
      <alignment horizontal="center"/>
    </xf>
    <xf numFmtId="0" fontId="21" fillId="0" borderId="0" xfId="0" applyFont="1" applyFill="1" applyBorder="1" applyAlignment="1">
      <alignment horizontal="right"/>
    </xf>
    <xf numFmtId="0" fontId="21" fillId="0" borderId="0" xfId="0" quotePrefix="1" applyFont="1" applyFill="1" applyBorder="1" applyAlignment="1">
      <alignment horizontal="left"/>
    </xf>
    <xf numFmtId="0" fontId="22" fillId="0" borderId="0" xfId="0" applyFont="1" applyAlignment="1">
      <alignment horizontal="center"/>
    </xf>
    <xf numFmtId="0" fontId="2" fillId="0" borderId="0" xfId="0" applyFont="1" applyAlignment="1">
      <alignment horizontal="center"/>
    </xf>
    <xf numFmtId="0" fontId="2" fillId="0" borderId="0" xfId="0" applyFont="1" applyFill="1" applyAlignment="1">
      <alignment horizontal="center" shrinkToFit="1"/>
    </xf>
    <xf numFmtId="0" fontId="2" fillId="0" borderId="0" xfId="0" applyFont="1" applyAlignment="1">
      <alignment horizontal="center" shrinkToFit="1"/>
    </xf>
    <xf numFmtId="0" fontId="22" fillId="0" borderId="0" xfId="0" applyFont="1"/>
    <xf numFmtId="0" fontId="22" fillId="0" borderId="0" xfId="0" applyFont="1" applyFill="1"/>
    <xf numFmtId="0" fontId="3" fillId="0" borderId="0" xfId="0" applyFont="1" applyAlignment="1">
      <alignment horizontal="left" vertical="center" wrapText="1"/>
    </xf>
    <xf numFmtId="0" fontId="26" fillId="0" borderId="0" xfId="0" applyFont="1" applyBorder="1" applyAlignment="1">
      <alignment horizontal="centerContinuous" vertical="center"/>
    </xf>
    <xf numFmtId="0" fontId="0" fillId="0" borderId="0" xfId="0" applyBorder="1" applyAlignment="1">
      <alignment horizontal="centerContinuous" vertical="center"/>
    </xf>
    <xf numFmtId="0" fontId="0" fillId="0" borderId="0" xfId="0" applyBorder="1" applyAlignment="1">
      <alignment horizontal="center"/>
    </xf>
    <xf numFmtId="0" fontId="3" fillId="0" borderId="0" xfId="0" applyFont="1" applyFill="1" applyAlignment="1">
      <alignment horizontal="center"/>
    </xf>
    <xf numFmtId="14" fontId="0" fillId="0" borderId="0" xfId="0" applyNumberFormat="1"/>
    <xf numFmtId="1" fontId="0" fillId="0" borderId="0" xfId="0" applyNumberFormat="1"/>
    <xf numFmtId="0" fontId="13" fillId="0" borderId="0" xfId="0" applyFont="1" applyBorder="1" applyAlignment="1">
      <alignment horizontal="center"/>
    </xf>
    <xf numFmtId="0" fontId="13" fillId="0" borderId="0" xfId="0" applyFont="1" applyBorder="1"/>
    <xf numFmtId="0" fontId="18" fillId="0" borderId="0" xfId="0" applyFont="1" applyBorder="1"/>
    <xf numFmtId="0" fontId="13" fillId="0" borderId="21" xfId="0" applyFont="1" applyBorder="1" applyAlignment="1">
      <alignment horizontal="center"/>
    </xf>
    <xf numFmtId="0" fontId="24" fillId="0" borderId="18" xfId="0" applyFont="1" applyBorder="1" applyAlignment="1">
      <alignment horizontal="center"/>
    </xf>
    <xf numFmtId="0" fontId="13" fillId="0" borderId="22" xfId="0" applyFont="1" applyBorder="1" applyAlignment="1">
      <alignment horizontal="center"/>
    </xf>
    <xf numFmtId="0" fontId="3" fillId="0" borderId="19" xfId="0" applyFont="1" applyBorder="1"/>
    <xf numFmtId="0" fontId="13" fillId="0" borderId="19" xfId="0" applyFont="1" applyBorder="1"/>
    <xf numFmtId="0" fontId="13" fillId="0" borderId="23" xfId="0" applyFont="1" applyBorder="1" applyAlignment="1">
      <alignment horizontal="center"/>
    </xf>
    <xf numFmtId="0" fontId="31" fillId="0" borderId="20" xfId="0" applyFont="1" applyBorder="1"/>
    <xf numFmtId="0" fontId="3" fillId="0" borderId="0" xfId="0" applyFont="1" applyFill="1" applyBorder="1" applyAlignment="1" applyProtection="1">
      <protection hidden="1"/>
    </xf>
    <xf numFmtId="0" fontId="3" fillId="0" borderId="0" xfId="0" applyFont="1" applyFill="1" applyBorder="1" applyAlignment="1" applyProtection="1">
      <alignment vertical="center"/>
      <protection hidden="1"/>
    </xf>
    <xf numFmtId="0" fontId="5" fillId="0" borderId="0" xfId="0" applyFont="1" applyFill="1" applyBorder="1" applyAlignment="1" applyProtection="1">
      <alignment vertical="center"/>
      <protection hidden="1"/>
    </xf>
    <xf numFmtId="0" fontId="5" fillId="0" borderId="0" xfId="0" applyFont="1" applyFill="1" applyBorder="1" applyAlignment="1" applyProtection="1">
      <protection hidden="1"/>
    </xf>
    <xf numFmtId="14" fontId="3" fillId="0" borderId="0" xfId="0" applyNumberFormat="1" applyFont="1" applyFill="1" applyBorder="1" applyAlignment="1" applyProtection="1">
      <alignment horizontal="center" vertical="center"/>
      <protection hidden="1"/>
    </xf>
    <xf numFmtId="19" fontId="3" fillId="0" borderId="0" xfId="0" applyNumberFormat="1" applyFont="1" applyFill="1" applyBorder="1" applyAlignment="1" applyProtection="1">
      <alignment horizontal="center" vertical="center"/>
      <protection hidden="1"/>
    </xf>
    <xf numFmtId="0" fontId="3" fillId="0" borderId="1" xfId="0" applyNumberFormat="1" applyFont="1" applyFill="1" applyBorder="1" applyAlignment="1" applyProtection="1">
      <alignment horizontal="left" vertical="center"/>
      <protection locked="0"/>
    </xf>
    <xf numFmtId="0" fontId="3" fillId="0" borderId="0" xfId="0" applyNumberFormat="1" applyFont="1" applyAlignment="1"/>
    <xf numFmtId="0" fontId="3" fillId="0" borderId="0" xfId="1" applyNumberFormat="1" applyFont="1" applyAlignment="1"/>
    <xf numFmtId="0" fontId="3" fillId="0" borderId="0" xfId="0" applyNumberFormat="1" applyFont="1" applyAlignment="1">
      <alignment horizontal="left"/>
    </xf>
    <xf numFmtId="0" fontId="3" fillId="0" borderId="0" xfId="0" applyNumberFormat="1" applyFont="1" applyBorder="1" applyProtection="1">
      <protection locked="0"/>
    </xf>
    <xf numFmtId="0" fontId="3" fillId="0" borderId="0" xfId="0" applyNumberFormat="1" applyFont="1" applyBorder="1" applyAlignment="1" applyProtection="1">
      <protection locked="0"/>
    </xf>
    <xf numFmtId="0" fontId="3" fillId="0" borderId="0" xfId="0" applyNumberFormat="1" applyFont="1" applyAlignment="1" applyProtection="1">
      <protection locked="0"/>
    </xf>
    <xf numFmtId="0" fontId="3" fillId="0" borderId="0" xfId="0" applyNumberFormat="1" applyFont="1" applyFill="1" applyBorder="1" applyAlignment="1" applyProtection="1">
      <alignment horizontal="left" vertical="center"/>
      <protection locked="0"/>
    </xf>
    <xf numFmtId="0" fontId="3" fillId="0" borderId="11" xfId="0" applyNumberFormat="1" applyFont="1" applyFill="1" applyBorder="1" applyAlignment="1" applyProtection="1">
      <alignment horizontal="left" vertical="center"/>
      <protection locked="0"/>
    </xf>
    <xf numFmtId="0" fontId="3" fillId="0" borderId="0" xfId="0" applyNumberFormat="1" applyFont="1" applyBorder="1" applyAlignment="1" applyProtection="1">
      <alignment horizontal="left"/>
      <protection locked="0"/>
    </xf>
    <xf numFmtId="0" fontId="5" fillId="0" borderId="0" xfId="0" applyFont="1" applyFill="1" applyBorder="1" applyAlignment="1" applyProtection="1">
      <alignment horizontal="right" wrapText="1"/>
      <protection hidden="1"/>
    </xf>
    <xf numFmtId="0" fontId="3" fillId="0" borderId="0" xfId="0" applyFont="1" applyBorder="1" applyAlignment="1" applyProtection="1">
      <alignment horizontal="right"/>
      <protection locked="0"/>
    </xf>
    <xf numFmtId="169" fontId="3" fillId="0" borderId="0" xfId="1" applyNumberFormat="1" applyFont="1" applyBorder="1" applyAlignment="1" applyProtection="1">
      <alignment horizontal="center" vertical="center"/>
      <protection hidden="1"/>
    </xf>
    <xf numFmtId="1" fontId="3" fillId="0" borderId="0" xfId="1" applyNumberFormat="1" applyFont="1" applyBorder="1" applyAlignment="1" applyProtection="1">
      <alignment horizontal="center" vertical="center"/>
      <protection hidden="1"/>
    </xf>
    <xf numFmtId="1" fontId="5" fillId="0" borderId="13" xfId="0" quotePrefix="1" applyNumberFormat="1" applyFont="1" applyBorder="1" applyAlignment="1" applyProtection="1">
      <alignment horizontal="center" vertical="center"/>
      <protection hidden="1"/>
    </xf>
    <xf numFmtId="167" fontId="5" fillId="0" borderId="13" xfId="0" applyNumberFormat="1" applyFont="1" applyBorder="1" applyAlignment="1" applyProtection="1">
      <alignment horizontal="center" vertical="center"/>
      <protection hidden="1"/>
    </xf>
    <xf numFmtId="169" fontId="5" fillId="0" borderId="13" xfId="1" applyNumberFormat="1" applyFont="1" applyBorder="1" applyAlignment="1" applyProtection="1">
      <alignment horizontal="center" vertical="center"/>
      <protection hidden="1"/>
    </xf>
    <xf numFmtId="1" fontId="5" fillId="0" borderId="13" xfId="1" applyNumberFormat="1" applyFont="1" applyBorder="1" applyAlignment="1" applyProtection="1">
      <alignment horizontal="center" vertical="center"/>
      <protection hidden="1"/>
    </xf>
    <xf numFmtId="169" fontId="5" fillId="0" borderId="0" xfId="1" applyNumberFormat="1" applyFont="1" applyBorder="1" applyAlignment="1" applyProtection="1">
      <alignment horizontal="center" vertical="center"/>
      <protection hidden="1"/>
    </xf>
    <xf numFmtId="1" fontId="5" fillId="0" borderId="0" xfId="1" applyNumberFormat="1" applyFont="1" applyBorder="1" applyAlignment="1" applyProtection="1">
      <alignment horizontal="center" vertical="center"/>
      <protection hidden="1"/>
    </xf>
    <xf numFmtId="0" fontId="5" fillId="0" borderId="0" xfId="0" applyFont="1" applyAlignment="1">
      <alignment horizontal="left" vertical="center" wrapText="1"/>
    </xf>
    <xf numFmtId="0" fontId="5" fillId="0" borderId="0" xfId="0" applyFont="1"/>
    <xf numFmtId="0" fontId="5" fillId="0" borderId="0" xfId="0" applyFont="1" applyAlignment="1">
      <alignment horizontal="center" vertical="center" wrapText="1"/>
    </xf>
    <xf numFmtId="49" fontId="5" fillId="0" borderId="0" xfId="2" applyNumberFormat="1" applyFont="1" applyBorder="1" applyAlignment="1" applyProtection="1">
      <alignment horizontal="left" vertical="center"/>
      <protection hidden="1"/>
    </xf>
    <xf numFmtId="0" fontId="3" fillId="0" borderId="24" xfId="0" applyNumberFormat="1" applyFont="1" applyFill="1" applyBorder="1" applyAlignment="1" applyProtection="1">
      <alignment horizontal="left" vertical="center"/>
      <protection locked="0"/>
    </xf>
    <xf numFmtId="0" fontId="5" fillId="0" borderId="0" xfId="0" applyFont="1" applyFill="1" applyBorder="1" applyAlignment="1" applyProtection="1">
      <alignment horizontal="center"/>
      <protection locked="0"/>
    </xf>
    <xf numFmtId="0" fontId="3" fillId="0" borderId="11" xfId="0" applyFont="1" applyFill="1" applyBorder="1" applyAlignment="1" applyProtection="1">
      <alignment horizontal="center"/>
      <protection locked="0"/>
    </xf>
    <xf numFmtId="0" fontId="5" fillId="0" borderId="11" xfId="0" applyFont="1" applyFill="1" applyBorder="1" applyAlignment="1" applyProtection="1">
      <alignment horizontal="center"/>
      <protection locked="0"/>
    </xf>
    <xf numFmtId="0" fontId="0" fillId="0" borderId="6" xfId="0" applyBorder="1"/>
    <xf numFmtId="44" fontId="0" fillId="0" borderId="6" xfId="2" applyFont="1" applyBorder="1"/>
    <xf numFmtId="0" fontId="0" fillId="0" borderId="25" xfId="0" applyBorder="1"/>
    <xf numFmtId="199" fontId="0" fillId="0" borderId="6" xfId="0" applyNumberFormat="1" applyBorder="1" applyAlignment="1">
      <alignment horizontal="center"/>
    </xf>
    <xf numFmtId="39" fontId="0" fillId="0" borderId="6" xfId="2" applyNumberFormat="1" applyFont="1" applyBorder="1"/>
    <xf numFmtId="179" fontId="0" fillId="0" borderId="0" xfId="0" applyNumberFormat="1"/>
    <xf numFmtId="179" fontId="0" fillId="0" borderId="0" xfId="2" applyNumberFormat="1" applyFont="1" applyBorder="1"/>
    <xf numFmtId="0" fontId="0" fillId="0" borderId="0" xfId="0" applyBorder="1"/>
    <xf numFmtId="10" fontId="5" fillId="0" borderId="6" xfId="0" applyNumberFormat="1" applyFont="1" applyBorder="1" applyAlignment="1">
      <alignment horizontal="center"/>
    </xf>
    <xf numFmtId="223" fontId="0" fillId="0" borderId="0" xfId="0" applyNumberFormat="1"/>
    <xf numFmtId="44" fontId="0" fillId="0" borderId="0" xfId="2" applyFont="1" applyBorder="1"/>
    <xf numFmtId="179" fontId="0" fillId="0" borderId="0" xfId="2" applyNumberFormat="1" applyFont="1"/>
    <xf numFmtId="10" fontId="5" fillId="0" borderId="6" xfId="0" applyNumberFormat="1" applyFont="1" applyBorder="1" applyAlignment="1" applyProtection="1">
      <alignment horizontal="center"/>
      <protection locked="0"/>
    </xf>
    <xf numFmtId="0" fontId="5" fillId="0" borderId="21" xfId="0" applyFont="1" applyBorder="1"/>
    <xf numFmtId="0" fontId="0" fillId="0" borderId="17" xfId="0" applyBorder="1"/>
    <xf numFmtId="0" fontId="5" fillId="0" borderId="17" xfId="0" applyFont="1" applyBorder="1"/>
    <xf numFmtId="0" fontId="5" fillId="0" borderId="18" xfId="0" applyFont="1" applyBorder="1"/>
    <xf numFmtId="0" fontId="0" fillId="0" borderId="22" xfId="0" applyBorder="1"/>
    <xf numFmtId="0" fontId="0" fillId="0" borderId="19" xfId="0" applyBorder="1"/>
    <xf numFmtId="0" fontId="0" fillId="0" borderId="26" xfId="0" applyBorder="1"/>
    <xf numFmtId="179" fontId="0" fillId="0" borderId="27" xfId="2" applyNumberFormat="1" applyFont="1" applyBorder="1"/>
    <xf numFmtId="0" fontId="5" fillId="0" borderId="22" xfId="0" applyFont="1" applyBorder="1"/>
    <xf numFmtId="0" fontId="5" fillId="0" borderId="0" xfId="0" applyFont="1" applyBorder="1"/>
    <xf numFmtId="0" fontId="5" fillId="0" borderId="26" xfId="0" applyFont="1" applyBorder="1"/>
    <xf numFmtId="0" fontId="5" fillId="0" borderId="19" xfId="0" applyFont="1" applyBorder="1"/>
    <xf numFmtId="174" fontId="0" fillId="0" borderId="19" xfId="2" applyNumberFormat="1" applyFont="1" applyBorder="1"/>
    <xf numFmtId="179" fontId="0" fillId="0" borderId="27" xfId="2" applyNumberFormat="1" applyFont="1" applyBorder="1" applyProtection="1">
      <protection locked="0"/>
    </xf>
    <xf numFmtId="179" fontId="0" fillId="0" borderId="19" xfId="2" applyNumberFormat="1" applyFont="1" applyBorder="1"/>
    <xf numFmtId="0" fontId="5" fillId="0" borderId="0" xfId="0" applyFont="1" applyBorder="1" applyAlignment="1">
      <alignment horizontal="center"/>
    </xf>
    <xf numFmtId="179" fontId="0" fillId="0" borderId="28" xfId="2" applyNumberFormat="1" applyFont="1" applyBorder="1"/>
    <xf numFmtId="0" fontId="0" fillId="0" borderId="23" xfId="0" applyBorder="1"/>
    <xf numFmtId="44" fontId="1" fillId="0" borderId="6" xfId="2" applyNumberFormat="1" applyBorder="1"/>
    <xf numFmtId="39" fontId="1" fillId="0" borderId="6" xfId="2" applyNumberFormat="1" applyBorder="1"/>
    <xf numFmtId="179" fontId="1" fillId="0" borderId="0" xfId="2" applyNumberFormat="1" applyBorder="1"/>
    <xf numFmtId="179" fontId="1" fillId="0" borderId="0" xfId="2" applyNumberFormat="1"/>
    <xf numFmtId="44" fontId="1" fillId="0" borderId="0" xfId="2" applyBorder="1"/>
    <xf numFmtId="0" fontId="0" fillId="0" borderId="1" xfId="0" applyBorder="1"/>
    <xf numFmtId="0" fontId="0" fillId="0" borderId="20" xfId="0" applyBorder="1"/>
    <xf numFmtId="164" fontId="2" fillId="0" borderId="0" xfId="0" applyNumberFormat="1" applyFont="1" applyAlignment="1">
      <alignment horizontal="center"/>
    </xf>
    <xf numFmtId="44" fontId="2" fillId="0" borderId="0" xfId="2" applyFont="1"/>
    <xf numFmtId="179" fontId="2" fillId="0" borderId="0" xfId="2" applyNumberFormat="1" applyFont="1" applyBorder="1"/>
    <xf numFmtId="0" fontId="4" fillId="0" borderId="29" xfId="0" applyFont="1" applyBorder="1" applyAlignment="1" applyProtection="1">
      <alignment horizontal="center"/>
      <protection locked="0"/>
    </xf>
    <xf numFmtId="2" fontId="2" fillId="0" borderId="0" xfId="0" applyNumberFormat="1" applyFont="1" applyAlignment="1">
      <alignment horizontal="center"/>
    </xf>
    <xf numFmtId="44" fontId="1" fillId="0" borderId="6" xfId="2" applyBorder="1"/>
    <xf numFmtId="179" fontId="1" fillId="0" borderId="27" xfId="2" applyNumberFormat="1" applyBorder="1"/>
    <xf numFmtId="174" fontId="1" fillId="0" borderId="19" xfId="2" applyNumberFormat="1" applyBorder="1"/>
    <xf numFmtId="179" fontId="1" fillId="0" borderId="27" xfId="2" applyNumberFormat="1" applyFont="1" applyBorder="1"/>
    <xf numFmtId="179" fontId="1" fillId="0" borderId="27" xfId="2" applyNumberFormat="1" applyBorder="1" applyProtection="1">
      <protection locked="0"/>
    </xf>
    <xf numFmtId="179" fontId="1" fillId="0" borderId="19" xfId="2" applyNumberFormat="1" applyBorder="1"/>
    <xf numFmtId="179" fontId="1" fillId="0" borderId="28" xfId="2" applyNumberFormat="1" applyBorder="1"/>
    <xf numFmtId="0" fontId="0" fillId="0" borderId="0" xfId="0" applyAlignment="1">
      <alignment horizontal="right"/>
    </xf>
    <xf numFmtId="0" fontId="0" fillId="0" borderId="0" xfId="0" applyAlignment="1">
      <alignment horizontal="left"/>
    </xf>
    <xf numFmtId="0" fontId="32" fillId="0" borderId="0" xfId="0" applyFont="1" applyAlignment="1">
      <alignment horizontal="right"/>
    </xf>
    <xf numFmtId="199" fontId="0" fillId="0" borderId="0" xfId="0" applyNumberFormat="1" applyAlignment="1">
      <alignment horizontal="center"/>
    </xf>
    <xf numFmtId="169" fontId="0" fillId="0" borderId="0" xfId="1" applyNumberFormat="1" applyFont="1" applyAlignment="1">
      <alignment horizontal="center"/>
    </xf>
    <xf numFmtId="10" fontId="0" fillId="0" borderId="0" xfId="0" applyNumberFormat="1" applyAlignment="1">
      <alignment horizontal="center"/>
    </xf>
    <xf numFmtId="2" fontId="3" fillId="0" borderId="0" xfId="1" applyNumberFormat="1" applyFont="1" applyFill="1" applyBorder="1" applyAlignment="1" applyProtection="1">
      <alignment horizontal="center"/>
      <protection hidden="1"/>
    </xf>
    <xf numFmtId="2" fontId="3" fillId="0" borderId="0" xfId="2" applyNumberFormat="1" applyFont="1" applyFill="1" applyBorder="1" applyAlignment="1" applyProtection="1">
      <alignment horizontal="center"/>
      <protection hidden="1"/>
    </xf>
    <xf numFmtId="2" fontId="2" fillId="0" borderId="0" xfId="0" applyNumberFormat="1" applyFont="1" applyFill="1" applyBorder="1" applyAlignment="1" applyProtection="1">
      <alignment horizontal="right"/>
      <protection hidden="1"/>
    </xf>
    <xf numFmtId="2" fontId="2" fillId="0" borderId="0" xfId="1" applyNumberFormat="1" applyFont="1" applyFill="1" applyBorder="1" applyAlignment="1" applyProtection="1">
      <alignment horizontal="center"/>
      <protection hidden="1"/>
    </xf>
    <xf numFmtId="2" fontId="2" fillId="0" borderId="0" xfId="0" applyNumberFormat="1" applyFont="1" applyFill="1" applyBorder="1" applyAlignment="1" applyProtection="1">
      <alignment horizontal="center"/>
      <protection hidden="1"/>
    </xf>
    <xf numFmtId="2" fontId="5" fillId="0" borderId="0" xfId="2" applyNumberFormat="1" applyFont="1" applyFill="1" applyBorder="1" applyAlignment="1" applyProtection="1">
      <alignment horizontal="center"/>
      <protection hidden="1"/>
    </xf>
    <xf numFmtId="0" fontId="13" fillId="0" borderId="0" xfId="0" applyFont="1" applyFill="1" applyBorder="1" applyAlignment="1" applyProtection="1">
      <alignment horizontal="right"/>
      <protection hidden="1"/>
    </xf>
    <xf numFmtId="0" fontId="13" fillId="0" borderId="0" xfId="0" applyFont="1" applyFill="1" applyBorder="1" applyAlignment="1" applyProtection="1">
      <alignment horizontal="right" wrapText="1"/>
      <protection hidden="1"/>
    </xf>
    <xf numFmtId="169" fontId="13" fillId="0" borderId="0" xfId="1" applyNumberFormat="1" applyFont="1" applyFill="1" applyBorder="1" applyAlignment="1" applyProtection="1">
      <alignment horizontal="right" vertical="center" wrapText="1"/>
      <protection hidden="1"/>
    </xf>
    <xf numFmtId="0" fontId="5" fillId="0" borderId="0" xfId="0" applyFont="1" applyBorder="1" applyAlignment="1" applyProtection="1">
      <alignment horizontal="right" vertical="center"/>
      <protection hidden="1"/>
    </xf>
    <xf numFmtId="165" fontId="5" fillId="0" borderId="0" xfId="0" applyNumberFormat="1" applyFont="1" applyBorder="1" applyAlignment="1" applyProtection="1">
      <alignment horizontal="right" vertical="center" wrapText="1"/>
      <protection hidden="1"/>
    </xf>
    <xf numFmtId="0" fontId="5" fillId="0" borderId="0" xfId="0" applyFont="1" applyBorder="1" applyAlignment="1" applyProtection="1">
      <alignment horizontal="right" vertical="center" wrapText="1"/>
      <protection hidden="1"/>
    </xf>
    <xf numFmtId="0" fontId="5" fillId="0" borderId="0" xfId="0" applyFont="1" applyBorder="1" applyAlignment="1" applyProtection="1">
      <alignment horizontal="center" vertical="center"/>
      <protection hidden="1"/>
    </xf>
    <xf numFmtId="10" fontId="4" fillId="0" borderId="0" xfId="0" applyNumberFormat="1" applyFont="1" applyBorder="1" applyAlignment="1" applyProtection="1">
      <alignment horizontal="center" vertical="center" wrapText="1"/>
      <protection locked="0"/>
    </xf>
    <xf numFmtId="0" fontId="5" fillId="0" borderId="0" xfId="0" applyFont="1" applyBorder="1" applyAlignment="1" applyProtection="1">
      <alignment horizontal="center" wrapText="1"/>
      <protection hidden="1"/>
    </xf>
    <xf numFmtId="0" fontId="5" fillId="0" borderId="0" xfId="0" applyFont="1" applyBorder="1" applyAlignment="1" applyProtection="1">
      <alignment horizontal="center" vertical="center"/>
    </xf>
    <xf numFmtId="169" fontId="3" fillId="0" borderId="9" xfId="1" applyNumberFormat="1" applyFont="1" applyFill="1" applyBorder="1" applyAlignment="1" applyProtection="1">
      <alignment horizontal="center"/>
      <protection hidden="1"/>
    </xf>
    <xf numFmtId="10" fontId="3" fillId="0" borderId="13" xfId="6" applyNumberFormat="1" applyFont="1" applyFill="1" applyBorder="1" applyAlignment="1" applyProtection="1">
      <alignment horizontal="center"/>
      <protection hidden="1"/>
    </xf>
    <xf numFmtId="0" fontId="3" fillId="0" borderId="0" xfId="0" applyNumberFormat="1" applyFont="1" applyBorder="1" applyAlignment="1" applyProtection="1">
      <alignment horizontal="left" vertical="center"/>
      <protection locked="0"/>
    </xf>
    <xf numFmtId="2" fontId="5" fillId="0" borderId="0" xfId="0" applyNumberFormat="1" applyFont="1" applyFill="1" applyBorder="1" applyAlignment="1" applyProtection="1">
      <alignment horizontal="right"/>
      <protection hidden="1"/>
    </xf>
    <xf numFmtId="165" fontId="3" fillId="0" borderId="9" xfId="0" applyNumberFormat="1" applyFont="1" applyFill="1" applyBorder="1" applyAlignment="1" applyProtection="1">
      <alignment horizontal="center"/>
      <protection hidden="1"/>
    </xf>
    <xf numFmtId="0" fontId="2" fillId="0" borderId="13" xfId="0" applyFont="1" applyFill="1" applyBorder="1" applyAlignment="1" applyProtection="1">
      <alignment horizontal="center" wrapText="1"/>
      <protection locked="0" hidden="1"/>
    </xf>
    <xf numFmtId="0" fontId="2" fillId="0" borderId="13" xfId="0" applyFont="1" applyFill="1" applyBorder="1" applyAlignment="1" applyProtection="1">
      <alignment horizontal="center"/>
      <protection locked="0" hidden="1"/>
    </xf>
    <xf numFmtId="0" fontId="2" fillId="0" borderId="13" xfId="0" applyFont="1" applyFill="1" applyBorder="1" applyAlignment="1" applyProtection="1">
      <alignment horizontal="center"/>
      <protection hidden="1"/>
    </xf>
    <xf numFmtId="0" fontId="13" fillId="0" borderId="13" xfId="0" applyFont="1" applyFill="1" applyBorder="1" applyAlignment="1" applyProtection="1">
      <alignment horizontal="center"/>
      <protection locked="0"/>
    </xf>
    <xf numFmtId="2" fontId="5" fillId="0" borderId="13" xfId="0" applyNumberFormat="1" applyFont="1" applyFill="1" applyBorder="1" applyAlignment="1" applyProtection="1">
      <alignment horizontal="center"/>
      <protection hidden="1"/>
    </xf>
    <xf numFmtId="0" fontId="3" fillId="0" borderId="0" xfId="0" applyNumberFormat="1" applyFont="1" applyFill="1" applyBorder="1" applyAlignment="1" applyProtection="1">
      <alignment horizontal="left"/>
      <protection locked="0"/>
    </xf>
    <xf numFmtId="0" fontId="3" fillId="0" borderId="0" xfId="2" applyNumberFormat="1" applyFont="1" applyFill="1" applyBorder="1" applyAlignment="1" applyProtection="1">
      <alignment horizontal="left"/>
      <protection locked="0"/>
    </xf>
    <xf numFmtId="0" fontId="3" fillId="0" borderId="0" xfId="0" applyFont="1" applyFill="1" applyBorder="1" applyProtection="1">
      <protection locked="0"/>
    </xf>
    <xf numFmtId="44" fontId="3" fillId="0" borderId="0" xfId="2" applyFont="1" applyFill="1" applyBorder="1" applyAlignment="1" applyProtection="1">
      <alignment horizontal="center"/>
      <protection locked="0"/>
    </xf>
    <xf numFmtId="44" fontId="3" fillId="0" borderId="0" xfId="0" applyNumberFormat="1" applyFont="1" applyFill="1" applyBorder="1" applyProtection="1">
      <protection locked="0"/>
    </xf>
    <xf numFmtId="0" fontId="34" fillId="0" borderId="0" xfId="3" applyFont="1" applyFill="1" applyBorder="1" applyAlignment="1" applyProtection="1">
      <alignment horizontal="left"/>
      <protection hidden="1"/>
    </xf>
    <xf numFmtId="0" fontId="5" fillId="0" borderId="0" xfId="0" applyFont="1" applyFill="1" applyBorder="1" applyAlignment="1" applyProtection="1">
      <alignment horizontal="left"/>
      <protection locked="0"/>
    </xf>
    <xf numFmtId="0" fontId="5" fillId="0" borderId="0" xfId="0" applyNumberFormat="1" applyFont="1" applyFill="1" applyBorder="1" applyAlignment="1" applyProtection="1">
      <alignment horizontal="center"/>
      <protection locked="0"/>
    </xf>
    <xf numFmtId="0" fontId="5" fillId="0" borderId="0" xfId="0" applyFont="1" applyFill="1" applyBorder="1" applyAlignment="1" applyProtection="1">
      <alignment horizontal="center"/>
      <protection locked="0" hidden="1"/>
    </xf>
    <xf numFmtId="0" fontId="3" fillId="0" borderId="0" xfId="0" applyFont="1" applyFill="1" applyBorder="1" applyAlignment="1" applyProtection="1">
      <alignment horizontal="center" vertical="center"/>
      <protection locked="0"/>
    </xf>
    <xf numFmtId="2" fontId="5" fillId="0" borderId="10" xfId="0" applyNumberFormat="1" applyFont="1" applyFill="1" applyBorder="1" applyAlignment="1" applyProtection="1">
      <alignment horizontal="center"/>
      <protection hidden="1"/>
    </xf>
    <xf numFmtId="0" fontId="5" fillId="0" borderId="1" xfId="0" applyNumberFormat="1" applyFont="1" applyFill="1" applyBorder="1" applyAlignment="1" applyProtection="1">
      <alignment horizontal="left" vertical="center"/>
      <protection locked="0"/>
    </xf>
    <xf numFmtId="0" fontId="3" fillId="0" borderId="0" xfId="0" applyFont="1" applyFill="1" applyBorder="1" applyAlignment="1" applyProtection="1">
      <alignment horizontal="right" wrapText="1"/>
    </xf>
    <xf numFmtId="0" fontId="5" fillId="0" borderId="0" xfId="0" applyFont="1" applyFill="1" applyBorder="1" applyAlignment="1" applyProtection="1">
      <alignment horizontal="right" wrapText="1"/>
    </xf>
    <xf numFmtId="0" fontId="3" fillId="0" borderId="0" xfId="1" applyNumberFormat="1" applyFont="1" applyFill="1" applyBorder="1" applyAlignment="1" applyProtection="1">
      <alignment horizontal="left"/>
      <protection locked="0"/>
    </xf>
    <xf numFmtId="0" fontId="3" fillId="0" borderId="13" xfId="0" applyFont="1" applyFill="1" applyBorder="1" applyAlignment="1" applyProtection="1">
      <alignment horizontal="left"/>
      <protection hidden="1"/>
    </xf>
    <xf numFmtId="169" fontId="3" fillId="0" borderId="13" xfId="1" applyNumberFormat="1" applyFont="1" applyFill="1" applyBorder="1" applyAlignment="1" applyProtection="1">
      <alignment horizontal="left"/>
      <protection locked="0"/>
    </xf>
    <xf numFmtId="169" fontId="3" fillId="0" borderId="13" xfId="1" applyNumberFormat="1" applyFont="1" applyFill="1" applyBorder="1" applyAlignment="1" applyProtection="1">
      <alignment horizontal="center"/>
      <protection locked="0"/>
    </xf>
    <xf numFmtId="0" fontId="3" fillId="0" borderId="13" xfId="0" applyFont="1" applyFill="1" applyBorder="1" applyAlignment="1" applyProtection="1">
      <alignment horizontal="center" vertical="center"/>
      <protection locked="0"/>
    </xf>
    <xf numFmtId="2" fontId="5" fillId="0" borderId="13" xfId="1" applyNumberFormat="1" applyFont="1" applyFill="1" applyBorder="1" applyAlignment="1" applyProtection="1">
      <alignment horizontal="center"/>
      <protection hidden="1"/>
    </xf>
    <xf numFmtId="2" fontId="2" fillId="0" borderId="13" xfId="1" applyNumberFormat="1" applyFont="1" applyFill="1" applyBorder="1" applyAlignment="1" applyProtection="1">
      <alignment horizontal="center"/>
      <protection hidden="1"/>
    </xf>
    <xf numFmtId="0" fontId="5" fillId="0" borderId="9" xfId="0" applyFont="1" applyFill="1" applyBorder="1" applyAlignment="1" applyProtection="1">
      <alignment horizontal="center"/>
      <protection locked="0"/>
    </xf>
    <xf numFmtId="0" fontId="13" fillId="0" borderId="10" xfId="0" applyFont="1" applyFill="1" applyBorder="1" applyAlignment="1" applyProtection="1">
      <alignment horizontal="center"/>
      <protection hidden="1"/>
    </xf>
    <xf numFmtId="0" fontId="3" fillId="0" borderId="10" xfId="0" applyFont="1" applyFill="1" applyBorder="1" applyAlignment="1" applyProtection="1">
      <alignment horizontal="left"/>
      <protection hidden="1"/>
    </xf>
    <xf numFmtId="165" fontId="3" fillId="0" borderId="30" xfId="0" applyNumberFormat="1" applyFont="1" applyFill="1" applyBorder="1" applyAlignment="1" applyProtection="1">
      <alignment horizontal="center"/>
      <protection locked="0" hidden="1"/>
    </xf>
    <xf numFmtId="2" fontId="3" fillId="0" borderId="30" xfId="6" applyNumberFormat="1" applyFont="1" applyFill="1" applyBorder="1" applyAlignment="1" applyProtection="1">
      <alignment horizontal="center"/>
      <protection hidden="1"/>
    </xf>
    <xf numFmtId="165" fontId="3" fillId="0" borderId="11" xfId="0" applyNumberFormat="1" applyFont="1" applyFill="1" applyBorder="1" applyAlignment="1" applyProtection="1">
      <alignment horizontal="center"/>
      <protection locked="0" hidden="1"/>
    </xf>
    <xf numFmtId="2" fontId="2" fillId="0" borderId="10" xfId="1" applyNumberFormat="1" applyFont="1" applyFill="1" applyBorder="1" applyAlignment="1" applyProtection="1">
      <alignment horizontal="center"/>
      <protection hidden="1"/>
    </xf>
    <xf numFmtId="39" fontId="5" fillId="0" borderId="25" xfId="2" applyNumberFormat="1" applyFont="1" applyFill="1" applyBorder="1" applyAlignment="1" applyProtection="1">
      <alignment horizontal="center"/>
      <protection hidden="1"/>
    </xf>
    <xf numFmtId="2" fontId="5" fillId="0" borderId="25" xfId="2" applyNumberFormat="1" applyFont="1" applyFill="1" applyBorder="1" applyAlignment="1" applyProtection="1">
      <alignment horizontal="center" vertical="center" wrapText="1"/>
      <protection hidden="1"/>
    </xf>
    <xf numFmtId="2" fontId="5" fillId="0" borderId="25" xfId="2" applyNumberFormat="1" applyFont="1" applyFill="1" applyBorder="1" applyAlignment="1" applyProtection="1">
      <alignment horizontal="center"/>
      <protection hidden="1"/>
    </xf>
    <xf numFmtId="2" fontId="5" fillId="0" borderId="31" xfId="1" applyNumberFormat="1" applyFont="1" applyFill="1" applyBorder="1" applyAlignment="1" applyProtection="1">
      <alignment horizontal="center"/>
      <protection hidden="1"/>
    </xf>
    <xf numFmtId="39" fontId="3" fillId="0" borderId="10" xfId="2" applyNumberFormat="1" applyFont="1" applyFill="1" applyBorder="1" applyAlignment="1" applyProtection="1">
      <alignment horizontal="center" vertical="center"/>
      <protection hidden="1"/>
    </xf>
    <xf numFmtId="2" fontId="2" fillId="0" borderId="31" xfId="0" applyNumberFormat="1" applyFont="1" applyFill="1" applyBorder="1" applyAlignment="1" applyProtection="1">
      <alignment horizontal="left" vertical="center" wrapText="1" indent="1"/>
      <protection hidden="1"/>
    </xf>
    <xf numFmtId="2" fontId="2" fillId="0" borderId="32" xfId="0" applyNumberFormat="1" applyFont="1" applyFill="1" applyBorder="1" applyAlignment="1" applyProtection="1">
      <alignment horizontal="center" vertical="center" wrapText="1"/>
    </xf>
    <xf numFmtId="2" fontId="4" fillId="0" borderId="0" xfId="0" applyNumberFormat="1" applyFont="1" applyBorder="1" applyAlignment="1" applyProtection="1">
      <alignment horizontal="center" vertical="center" wrapText="1"/>
      <protection locked="0"/>
    </xf>
    <xf numFmtId="0" fontId="4" fillId="0" borderId="32" xfId="0" applyNumberFormat="1" applyFont="1" applyBorder="1" applyAlignment="1" applyProtection="1">
      <alignment horizontal="center" vertical="center" wrapText="1"/>
      <protection hidden="1"/>
    </xf>
    <xf numFmtId="0" fontId="3" fillId="0" borderId="0" xfId="0" applyNumberFormat="1" applyFont="1" applyAlignment="1" applyProtection="1">
      <alignment horizontal="left"/>
      <protection locked="0"/>
    </xf>
    <xf numFmtId="49" fontId="3" fillId="0" borderId="9" xfId="0" applyNumberFormat="1" applyFont="1" applyFill="1" applyBorder="1" applyAlignment="1" applyProtection="1">
      <alignment horizontal="left"/>
      <protection hidden="1"/>
    </xf>
    <xf numFmtId="39" fontId="5" fillId="0" borderId="13" xfId="2" applyNumberFormat="1" applyFont="1" applyFill="1" applyBorder="1" applyAlignment="1" applyProtection="1">
      <alignment horizontal="center" vertical="center" wrapText="1"/>
      <protection hidden="1"/>
    </xf>
    <xf numFmtId="0" fontId="7" fillId="0" borderId="0" xfId="3" applyFill="1" applyBorder="1" applyAlignment="1" applyProtection="1">
      <alignment horizontal="left"/>
      <protection hidden="1"/>
    </xf>
    <xf numFmtId="0" fontId="7" fillId="0" borderId="0" xfId="3" applyFill="1" applyBorder="1" applyAlignment="1" applyProtection="1">
      <alignment horizontal="left" vertical="center"/>
      <protection hidden="1"/>
    </xf>
    <xf numFmtId="2" fontId="37" fillId="0" borderId="25" xfId="0" applyNumberFormat="1" applyFont="1" applyFill="1" applyBorder="1" applyAlignment="1" applyProtection="1">
      <alignment horizontal="center"/>
      <protection hidden="1"/>
    </xf>
    <xf numFmtId="0" fontId="5" fillId="0" borderId="0" xfId="0" applyFont="1" applyFill="1" applyBorder="1" applyAlignment="1" applyProtection="1">
      <alignment horizontal="left" vertical="center"/>
      <protection hidden="1"/>
    </xf>
    <xf numFmtId="0" fontId="5" fillId="0" borderId="9" xfId="0" applyFont="1" applyBorder="1" applyAlignment="1" applyProtection="1">
      <alignment horizontal="center"/>
      <protection hidden="1"/>
    </xf>
    <xf numFmtId="0" fontId="5" fillId="0" borderId="10" xfId="0" applyFont="1" applyBorder="1" applyAlignment="1" applyProtection="1">
      <alignment horizontal="center" vertical="top"/>
      <protection hidden="1"/>
    </xf>
    <xf numFmtId="0" fontId="3" fillId="0" borderId="0" xfId="0" applyFont="1" applyBorder="1" applyAlignment="1" applyProtection="1">
      <alignment horizontal="center" vertical="center" wrapText="1"/>
      <protection hidden="1"/>
    </xf>
    <xf numFmtId="0" fontId="3" fillId="0" borderId="13" xfId="0" applyFont="1" applyBorder="1" applyAlignment="1" applyProtection="1">
      <alignment horizontal="right" vertical="center" wrapText="1"/>
      <protection hidden="1"/>
    </xf>
    <xf numFmtId="0" fontId="3" fillId="0" borderId="13" xfId="0" applyFont="1" applyBorder="1" applyAlignment="1" applyProtection="1">
      <alignment horizontal="right" vertical="center"/>
      <protection hidden="1"/>
    </xf>
    <xf numFmtId="2" fontId="2" fillId="0" borderId="0" xfId="0" applyNumberFormat="1" applyFont="1" applyBorder="1" applyAlignment="1" applyProtection="1">
      <alignment horizontal="left" vertical="center" wrapText="1"/>
      <protection hidden="1"/>
    </xf>
    <xf numFmtId="0" fontId="5" fillId="0" borderId="0" xfId="0" applyFont="1" applyBorder="1" applyAlignment="1" applyProtection="1">
      <alignment horizontal="left"/>
      <protection hidden="1"/>
    </xf>
    <xf numFmtId="0" fontId="26" fillId="0" borderId="0" xfId="0" applyFont="1" applyBorder="1" applyAlignment="1" applyProtection="1">
      <alignment horizontal="left" vertical="center"/>
      <protection hidden="1"/>
    </xf>
    <xf numFmtId="0" fontId="5" fillId="0" borderId="0" xfId="0" applyFont="1" applyBorder="1" applyAlignment="1" applyProtection="1">
      <alignment horizontal="left" vertical="center" wrapText="1"/>
      <protection hidden="1"/>
    </xf>
    <xf numFmtId="0" fontId="5" fillId="0" borderId="0" xfId="0" applyFont="1" applyBorder="1" applyAlignment="1" applyProtection="1">
      <alignment horizontal="center" vertical="center" wrapText="1"/>
      <protection hidden="1"/>
    </xf>
    <xf numFmtId="2" fontId="3" fillId="0" borderId="13" xfId="0" applyNumberFormat="1" applyFont="1" applyFill="1" applyBorder="1" applyAlignment="1" applyProtection="1">
      <alignment horizontal="center" vertical="center" wrapText="1"/>
      <protection hidden="1"/>
    </xf>
    <xf numFmtId="165" fontId="3" fillId="0" borderId="13" xfId="0" applyNumberFormat="1" applyFont="1" applyFill="1" applyBorder="1" applyAlignment="1" applyProtection="1">
      <alignment horizontal="center" vertical="center" wrapText="1"/>
    </xf>
    <xf numFmtId="2" fontId="3" fillId="0" borderId="13" xfId="0" applyNumberFormat="1" applyFont="1" applyFill="1" applyBorder="1" applyAlignment="1" applyProtection="1">
      <alignment horizontal="center" vertical="center" wrapText="1"/>
    </xf>
    <xf numFmtId="2" fontId="3" fillId="0" borderId="0" xfId="0" applyNumberFormat="1" applyFont="1" applyBorder="1" applyAlignment="1" applyProtection="1">
      <alignment horizontal="center" vertical="center"/>
      <protection hidden="1"/>
    </xf>
    <xf numFmtId="2" fontId="3" fillId="0" borderId="0" xfId="0" applyNumberFormat="1" applyFont="1" applyBorder="1" applyAlignment="1" applyProtection="1">
      <alignment horizontal="center" vertical="center" wrapText="1"/>
      <protection hidden="1"/>
    </xf>
    <xf numFmtId="0" fontId="5" fillId="0" borderId="0" xfId="0" applyFont="1" applyBorder="1" applyAlignment="1" applyProtection="1">
      <alignment horizontal="right"/>
      <protection hidden="1"/>
    </xf>
    <xf numFmtId="2" fontId="4" fillId="0" borderId="13" xfId="0" applyNumberFormat="1" applyFont="1" applyBorder="1" applyAlignment="1" applyProtection="1">
      <alignment horizontal="center" vertical="center" wrapText="1"/>
      <protection locked="0"/>
    </xf>
    <xf numFmtId="0" fontId="5" fillId="0" borderId="13" xfId="0" applyFont="1" applyBorder="1" applyAlignment="1" applyProtection="1">
      <alignment horizontal="center" vertical="center" wrapText="1"/>
      <protection locked="0" hidden="1"/>
    </xf>
    <xf numFmtId="0" fontId="3" fillId="0" borderId="13" xfId="0" applyFont="1" applyFill="1" applyBorder="1" applyAlignment="1" applyProtection="1">
      <alignment horizontal="center"/>
      <protection locked="0"/>
    </xf>
    <xf numFmtId="2" fontId="4" fillId="0" borderId="13" xfId="2" applyNumberFormat="1" applyFont="1" applyBorder="1" applyAlignment="1" applyProtection="1">
      <alignment horizontal="center" vertical="center" wrapText="1"/>
      <protection locked="0"/>
    </xf>
    <xf numFmtId="44" fontId="4" fillId="0" borderId="13" xfId="2" applyFont="1" applyBorder="1" applyAlignment="1" applyProtection="1">
      <alignment horizontal="center" vertical="center" wrapText="1"/>
      <protection locked="0"/>
    </xf>
    <xf numFmtId="0" fontId="3" fillId="0" borderId="0" xfId="0" applyFont="1" applyBorder="1" applyAlignment="1" applyProtection="1">
      <alignment horizontal="right" vertical="center"/>
      <protection hidden="1"/>
    </xf>
    <xf numFmtId="0" fontId="3" fillId="0" borderId="0" xfId="0" applyFont="1" applyBorder="1" applyAlignment="1" applyProtection="1">
      <alignment horizontal="right" vertical="center" wrapText="1"/>
      <protection hidden="1"/>
    </xf>
    <xf numFmtId="39" fontId="3" fillId="0" borderId="0" xfId="2" applyNumberFormat="1" applyFont="1" applyFill="1" applyBorder="1" applyAlignment="1" applyProtection="1">
      <alignment horizontal="right" vertical="center" wrapText="1"/>
      <protection hidden="1"/>
    </xf>
    <xf numFmtId="2" fontId="5" fillId="0" borderId="13" xfId="0" applyNumberFormat="1" applyFont="1" applyBorder="1" applyAlignment="1" applyProtection="1">
      <alignment horizontal="center" vertical="center" wrapText="1"/>
      <protection locked="0"/>
    </xf>
    <xf numFmtId="2" fontId="5" fillId="0" borderId="13" xfId="0" applyNumberFormat="1" applyFont="1" applyBorder="1" applyAlignment="1" applyProtection="1">
      <alignment horizontal="right" vertical="center" wrapText="1"/>
      <protection locked="0"/>
    </xf>
    <xf numFmtId="43" fontId="5" fillId="0" borderId="13" xfId="1" applyNumberFormat="1" applyFont="1" applyBorder="1" applyAlignment="1" applyProtection="1">
      <alignment horizontal="right" vertical="center" wrapText="1"/>
      <protection locked="0"/>
    </xf>
    <xf numFmtId="2" fontId="5" fillId="0" borderId="10" xfId="0" applyNumberFormat="1" applyFont="1" applyFill="1" applyBorder="1" applyAlignment="1" applyProtection="1">
      <alignment horizontal="center" vertical="center" wrapText="1"/>
      <protection hidden="1"/>
    </xf>
    <xf numFmtId="0" fontId="5" fillId="0" borderId="13" xfId="0" applyFont="1" applyBorder="1" applyAlignment="1" applyProtection="1">
      <alignment horizontal="center" vertical="center" wrapText="1"/>
      <protection locked="0"/>
    </xf>
    <xf numFmtId="165" fontId="5" fillId="0" borderId="10" xfId="0" applyNumberFormat="1" applyFont="1" applyFill="1" applyBorder="1" applyAlignment="1" applyProtection="1">
      <alignment horizontal="center" vertical="center" wrapText="1"/>
      <protection hidden="1"/>
    </xf>
    <xf numFmtId="2" fontId="5" fillId="0" borderId="13" xfId="0" applyNumberFormat="1" applyFont="1" applyFill="1" applyBorder="1" applyAlignment="1" applyProtection="1">
      <alignment horizontal="center" vertical="center" wrapText="1"/>
      <protection hidden="1"/>
    </xf>
    <xf numFmtId="180" fontId="5" fillId="0" borderId="13" xfId="2" applyNumberFormat="1" applyFont="1" applyFill="1" applyBorder="1" applyAlignment="1" applyProtection="1">
      <alignment horizontal="center" vertical="center" wrapText="1"/>
      <protection locked="0"/>
    </xf>
    <xf numFmtId="37" fontId="5" fillId="0" borderId="13" xfId="2" applyNumberFormat="1" applyFont="1" applyFill="1" applyBorder="1" applyAlignment="1" applyProtection="1">
      <alignment horizontal="center" vertical="center" wrapText="1"/>
      <protection locked="0"/>
    </xf>
    <xf numFmtId="10" fontId="5" fillId="0" borderId="13" xfId="0" applyNumberFormat="1" applyFont="1" applyBorder="1" applyAlignment="1" applyProtection="1">
      <alignment horizontal="center" vertical="center" wrapText="1"/>
      <protection locked="0"/>
    </xf>
    <xf numFmtId="0" fontId="3" fillId="0" borderId="0" xfId="0" applyFont="1" applyBorder="1" applyAlignment="1" applyProtection="1">
      <alignment horizontal="center" wrapText="1"/>
      <protection hidden="1"/>
    </xf>
    <xf numFmtId="2" fontId="3" fillId="0" borderId="0" xfId="0" applyNumberFormat="1" applyFont="1" applyBorder="1" applyAlignment="1" applyProtection="1">
      <alignment horizontal="center" wrapText="1"/>
      <protection hidden="1"/>
    </xf>
    <xf numFmtId="0" fontId="5" fillId="0" borderId="32" xfId="0" applyNumberFormat="1" applyFont="1" applyBorder="1" applyAlignment="1" applyProtection="1">
      <alignment horizontal="center" vertical="center" wrapText="1"/>
      <protection hidden="1"/>
    </xf>
    <xf numFmtId="2" fontId="5" fillId="0" borderId="13" xfId="2" applyNumberFormat="1" applyFont="1" applyBorder="1" applyAlignment="1" applyProtection="1">
      <alignment horizontal="center" vertical="center" wrapText="1"/>
      <protection locked="0"/>
    </xf>
    <xf numFmtId="165" fontId="3" fillId="0" borderId="25" xfId="0" applyNumberFormat="1" applyFont="1" applyFill="1" applyBorder="1" applyAlignment="1" applyProtection="1">
      <alignment horizontal="center" vertical="center" wrapText="1"/>
    </xf>
    <xf numFmtId="44" fontId="5" fillId="0" borderId="13" xfId="2" applyFont="1" applyBorder="1" applyAlignment="1" applyProtection="1">
      <alignment horizontal="center" vertical="center" wrapText="1"/>
      <protection locked="0"/>
    </xf>
    <xf numFmtId="2" fontId="3" fillId="0" borderId="31" xfId="0" applyNumberFormat="1" applyFont="1" applyFill="1" applyBorder="1" applyAlignment="1" applyProtection="1">
      <alignment horizontal="left" vertical="center" wrapText="1" indent="1"/>
      <protection hidden="1"/>
    </xf>
    <xf numFmtId="2" fontId="3" fillId="0" borderId="0" xfId="0" applyNumberFormat="1" applyFont="1" applyBorder="1" applyAlignment="1" applyProtection="1">
      <alignment horizontal="left" vertical="center" wrapText="1"/>
      <protection hidden="1"/>
    </xf>
    <xf numFmtId="2" fontId="3" fillId="0" borderId="0" xfId="0" applyNumberFormat="1" applyFont="1" applyBorder="1" applyAlignment="1" applyProtection="1">
      <alignment horizontal="left" vertical="center"/>
      <protection hidden="1"/>
    </xf>
    <xf numFmtId="2" fontId="5" fillId="0" borderId="0" xfId="0" applyNumberFormat="1" applyFont="1" applyBorder="1" applyAlignment="1" applyProtection="1">
      <alignment horizontal="center" vertical="center" wrapText="1"/>
      <protection locked="0"/>
    </xf>
    <xf numFmtId="2" fontId="3" fillId="0" borderId="32" xfId="0" applyNumberFormat="1" applyFont="1" applyFill="1" applyBorder="1" applyAlignment="1" applyProtection="1">
      <alignment horizontal="center" vertical="center" wrapText="1"/>
    </xf>
    <xf numFmtId="2" fontId="5" fillId="0" borderId="0" xfId="0" applyNumberFormat="1" applyFont="1" applyFill="1" applyBorder="1" applyAlignment="1" applyProtection="1">
      <alignment horizontal="center" vertical="center" wrapText="1"/>
      <protection locked="0"/>
    </xf>
    <xf numFmtId="2" fontId="3" fillId="0" borderId="0" xfId="0" applyNumberFormat="1" applyFont="1" applyFill="1" applyBorder="1" applyAlignment="1" applyProtection="1">
      <alignment horizontal="center" vertical="center" wrapText="1"/>
      <protection hidden="1"/>
    </xf>
    <xf numFmtId="2" fontId="5" fillId="0" borderId="0" xfId="2" applyNumberFormat="1" applyFont="1" applyFill="1" applyBorder="1" applyAlignment="1" applyProtection="1">
      <alignment horizontal="center" vertical="center" wrapText="1"/>
      <protection locked="0"/>
    </xf>
    <xf numFmtId="2" fontId="3" fillId="0" borderId="0" xfId="0" applyNumberFormat="1" applyFont="1" applyFill="1" applyBorder="1" applyAlignment="1" applyProtection="1">
      <alignment horizontal="center" vertical="center" wrapText="1"/>
    </xf>
    <xf numFmtId="44" fontId="5" fillId="0" borderId="0" xfId="2" applyFont="1" applyFill="1" applyBorder="1" applyAlignment="1" applyProtection="1">
      <alignment horizontal="center" vertical="center" wrapText="1"/>
      <protection locked="0"/>
    </xf>
    <xf numFmtId="2" fontId="3" fillId="0" borderId="0" xfId="0" applyNumberFormat="1" applyFont="1" applyFill="1" applyBorder="1" applyAlignment="1" applyProtection="1">
      <alignment horizontal="left" vertical="center" wrapText="1" indent="1"/>
      <protection hidden="1"/>
    </xf>
    <xf numFmtId="2" fontId="3" fillId="0" borderId="0" xfId="2" applyNumberFormat="1" applyFont="1" applyFill="1" applyAlignment="1">
      <alignment horizontal="left"/>
    </xf>
    <xf numFmtId="2" fontId="3" fillId="0" borderId="0" xfId="0" applyNumberFormat="1" applyFont="1" applyFill="1" applyAlignment="1">
      <alignment horizontal="left"/>
    </xf>
    <xf numFmtId="0" fontId="3" fillId="0" borderId="0" xfId="0" applyFont="1" applyFill="1" applyAlignment="1">
      <alignment horizontal="left"/>
    </xf>
    <xf numFmtId="2" fontId="3" fillId="0" borderId="0" xfId="2" applyNumberFormat="1" applyFont="1" applyFill="1" applyAlignment="1" applyProtection="1">
      <alignment horizontal="left"/>
    </xf>
    <xf numFmtId="0" fontId="4" fillId="0" borderId="0" xfId="0" applyFont="1" applyFill="1" applyBorder="1" applyAlignment="1" applyProtection="1">
      <alignment horizontal="right" vertical="center" wrapText="1"/>
      <protection hidden="1"/>
    </xf>
    <xf numFmtId="0" fontId="2" fillId="0" borderId="13" xfId="0" applyFont="1" applyFill="1" applyBorder="1" applyAlignment="1" applyProtection="1">
      <alignment vertical="center" wrapText="1"/>
      <protection hidden="1"/>
    </xf>
    <xf numFmtId="165" fontId="3" fillId="0" borderId="13" xfId="0" applyNumberFormat="1" applyFont="1" applyBorder="1" applyAlignment="1" applyProtection="1">
      <alignment horizontal="center" vertical="center" wrapText="1"/>
      <protection locked="0" hidden="1"/>
    </xf>
    <xf numFmtId="1" fontId="3" fillId="0" borderId="13" xfId="0" applyNumberFormat="1" applyFont="1" applyBorder="1" applyAlignment="1" applyProtection="1">
      <alignment horizontal="center" vertical="center" wrapText="1"/>
      <protection hidden="1"/>
    </xf>
    <xf numFmtId="2" fontId="3" fillId="0" borderId="13" xfId="0" applyNumberFormat="1" applyFont="1" applyBorder="1" applyAlignment="1" applyProtection="1">
      <alignment horizontal="right" vertical="center" wrapText="1"/>
      <protection locked="0" hidden="1"/>
    </xf>
    <xf numFmtId="165" fontId="5" fillId="0" borderId="13" xfId="0" applyNumberFormat="1" applyFont="1" applyBorder="1" applyAlignment="1" applyProtection="1">
      <alignment horizontal="right" vertical="center" wrapText="1"/>
      <protection locked="0" hidden="1"/>
    </xf>
    <xf numFmtId="169" fontId="3" fillId="0" borderId="13" xfId="1" applyNumberFormat="1" applyFont="1" applyBorder="1" applyAlignment="1" applyProtection="1">
      <alignment horizontal="right" vertical="center" wrapText="1"/>
      <protection hidden="1"/>
    </xf>
    <xf numFmtId="1" fontId="5" fillId="0" borderId="13" xfId="0" applyNumberFormat="1" applyFont="1" applyBorder="1" applyAlignment="1" applyProtection="1">
      <alignment horizontal="right" vertical="center" wrapText="1"/>
      <protection locked="0" hidden="1"/>
    </xf>
    <xf numFmtId="1" fontId="3" fillId="0" borderId="13" xfId="0" applyNumberFormat="1" applyFont="1" applyBorder="1" applyAlignment="1" applyProtection="1">
      <alignment horizontal="right" vertical="center" wrapText="1"/>
      <protection hidden="1"/>
    </xf>
    <xf numFmtId="169" fontId="3" fillId="0" borderId="13" xfId="0" applyNumberFormat="1" applyFont="1" applyBorder="1" applyAlignment="1" applyProtection="1">
      <alignment horizontal="center" vertical="center" wrapText="1"/>
      <protection hidden="1"/>
    </xf>
    <xf numFmtId="169" fontId="3" fillId="0" borderId="13" xfId="0" applyNumberFormat="1" applyFont="1" applyBorder="1" applyAlignment="1" applyProtection="1">
      <alignment horizontal="center" vertical="center" wrapText="1"/>
      <protection locked="0" hidden="1"/>
    </xf>
    <xf numFmtId="10" fontId="5" fillId="0" borderId="13" xfId="0" applyNumberFormat="1" applyFont="1" applyBorder="1" applyAlignment="1" applyProtection="1">
      <alignment horizontal="center" vertical="center" wrapText="1"/>
      <protection hidden="1"/>
    </xf>
    <xf numFmtId="10" fontId="5" fillId="0" borderId="31" xfId="0" applyNumberFormat="1" applyFont="1" applyBorder="1" applyAlignment="1" applyProtection="1">
      <alignment horizontal="center" vertical="center" wrapText="1"/>
      <protection hidden="1"/>
    </xf>
    <xf numFmtId="169" fontId="5" fillId="0" borderId="13" xfId="1" applyNumberFormat="1" applyFont="1" applyBorder="1" applyAlignment="1" applyProtection="1">
      <alignment horizontal="right" vertical="center"/>
      <protection locked="0" hidden="1"/>
    </xf>
    <xf numFmtId="2" fontId="5" fillId="0" borderId="13" xfId="0" applyNumberFormat="1" applyFont="1" applyBorder="1" applyAlignment="1" applyProtection="1">
      <alignment horizontal="center" vertical="center"/>
      <protection locked="0" hidden="1"/>
    </xf>
    <xf numFmtId="49" fontId="3" fillId="3" borderId="0" xfId="0" applyNumberFormat="1" applyFont="1" applyFill="1" applyAlignment="1">
      <alignment horizontal="left"/>
    </xf>
    <xf numFmtId="49" fontId="12" fillId="3" borderId="0" xfId="0" applyNumberFormat="1" applyFont="1" applyFill="1" applyAlignment="1">
      <alignment horizontal="left"/>
    </xf>
    <xf numFmtId="49" fontId="3" fillId="0" borderId="21" xfId="2" applyNumberFormat="1" applyFont="1" applyBorder="1" applyAlignment="1" applyProtection="1">
      <alignment horizontal="left"/>
    </xf>
    <xf numFmtId="49" fontId="3" fillId="0" borderId="22" xfId="2" applyNumberFormat="1" applyFont="1" applyBorder="1" applyAlignment="1" applyProtection="1">
      <alignment horizontal="left"/>
    </xf>
    <xf numFmtId="49" fontId="3" fillId="0" borderId="22" xfId="0" applyNumberFormat="1" applyFont="1" applyBorder="1" applyAlignment="1">
      <alignment horizontal="center"/>
    </xf>
    <xf numFmtId="49" fontId="3" fillId="0" borderId="22" xfId="0" applyNumberFormat="1" applyFont="1" applyBorder="1" applyAlignment="1" applyProtection="1">
      <alignment horizontal="center" wrapText="1"/>
    </xf>
    <xf numFmtId="49" fontId="3" fillId="0" borderId="22" xfId="2" applyNumberFormat="1" applyFont="1" applyBorder="1" applyAlignment="1" applyProtection="1">
      <alignment horizontal="center"/>
    </xf>
    <xf numFmtId="49" fontId="3" fillId="0" borderId="23" xfId="2" applyNumberFormat="1" applyFont="1" applyBorder="1" applyAlignment="1" applyProtection="1">
      <alignment horizontal="center"/>
    </xf>
    <xf numFmtId="171" fontId="5" fillId="0" borderId="13" xfId="2" applyNumberFormat="1" applyFont="1" applyBorder="1" applyAlignment="1" applyProtection="1">
      <alignment horizontal="center" vertical="center" wrapText="1"/>
      <protection locked="0" hidden="1"/>
    </xf>
    <xf numFmtId="171" fontId="5" fillId="0" borderId="13" xfId="2" applyNumberFormat="1" applyFont="1" applyBorder="1" applyAlignment="1" applyProtection="1">
      <alignment horizontal="center" vertical="center" wrapText="1"/>
      <protection hidden="1"/>
    </xf>
    <xf numFmtId="2" fontId="5" fillId="0" borderId="13" xfId="0" applyNumberFormat="1" applyFont="1" applyBorder="1" applyAlignment="1" applyProtection="1">
      <alignment horizontal="center" vertical="center" wrapText="1"/>
      <protection locked="0" hidden="1"/>
    </xf>
    <xf numFmtId="169" fontId="5" fillId="0" borderId="13" xfId="1" applyNumberFormat="1" applyFont="1" applyBorder="1" applyAlignment="1" applyProtection="1">
      <alignment horizontal="right" vertical="center" wrapText="1"/>
      <protection hidden="1"/>
    </xf>
    <xf numFmtId="10" fontId="3" fillId="0" borderId="13" xfId="0" applyNumberFormat="1" applyFont="1" applyFill="1" applyBorder="1" applyAlignment="1" applyProtection="1">
      <alignment horizontal="center"/>
      <protection locked="0" hidden="1"/>
    </xf>
    <xf numFmtId="49" fontId="3" fillId="0" borderId="22" xfId="2" applyNumberFormat="1" applyFont="1" applyBorder="1" applyAlignment="1" applyProtection="1">
      <alignment horizontal="center" vertical="center"/>
    </xf>
    <xf numFmtId="39" fontId="5" fillId="0" borderId="13" xfId="2" applyNumberFormat="1" applyFont="1" applyFill="1" applyBorder="1" applyAlignment="1" applyProtection="1">
      <alignment horizontal="center" vertical="center"/>
      <protection hidden="1"/>
    </xf>
    <xf numFmtId="0" fontId="5" fillId="0" borderId="0" xfId="0" applyFont="1" applyBorder="1" applyAlignment="1" applyProtection="1">
      <alignment horizontal="center"/>
      <protection locked="0"/>
    </xf>
    <xf numFmtId="0" fontId="36" fillId="0" borderId="0" xfId="0" applyFont="1" applyBorder="1" applyAlignment="1" applyProtection="1">
      <alignment horizontal="centerContinuous"/>
      <protection hidden="1"/>
    </xf>
    <xf numFmtId="0" fontId="5" fillId="0" borderId="0" xfId="0" quotePrefix="1" applyFont="1" applyBorder="1" applyAlignment="1" applyProtection="1">
      <alignment horizontal="right"/>
      <protection hidden="1"/>
    </xf>
    <xf numFmtId="169" fontId="5" fillId="0" borderId="13" xfId="1" applyNumberFormat="1" applyFont="1" applyBorder="1" applyAlignment="1" applyProtection="1">
      <alignment horizontal="center"/>
      <protection hidden="1"/>
    </xf>
    <xf numFmtId="0" fontId="3" fillId="0" borderId="0" xfId="0" applyFont="1" applyBorder="1" applyAlignment="1" applyProtection="1">
      <alignment horizontal="left"/>
      <protection hidden="1"/>
    </xf>
    <xf numFmtId="0" fontId="38" fillId="0" borderId="0" xfId="3" applyFont="1" applyBorder="1" applyAlignment="1" applyProtection="1">
      <alignment horizontal="left"/>
      <protection hidden="1"/>
    </xf>
    <xf numFmtId="0" fontId="2" fillId="0" borderId="0" xfId="0" applyFont="1" applyFill="1" applyAlignment="1" applyProtection="1">
      <alignment horizontal="left" vertical="center" wrapText="1"/>
    </xf>
    <xf numFmtId="0" fontId="5" fillId="0" borderId="13" xfId="0" applyFont="1" applyFill="1" applyBorder="1" applyAlignment="1" applyProtection="1">
      <alignment horizontal="center" vertical="center" wrapText="1"/>
      <protection hidden="1"/>
    </xf>
    <xf numFmtId="0" fontId="2" fillId="0" borderId="13" xfId="0" applyFont="1" applyFill="1" applyBorder="1" applyAlignment="1" applyProtection="1">
      <alignment horizontal="left" vertical="center" wrapText="1"/>
      <protection hidden="1"/>
    </xf>
    <xf numFmtId="0" fontId="5" fillId="0" borderId="0" xfId="0" applyFont="1" applyFill="1" applyBorder="1" applyAlignment="1" applyProtection="1">
      <alignment horizontal="left" vertical="center" wrapText="1"/>
      <protection hidden="1"/>
    </xf>
    <xf numFmtId="0" fontId="2" fillId="0" borderId="0" xfId="0" applyFont="1" applyFill="1" applyBorder="1" applyAlignment="1" applyProtection="1">
      <alignment horizontal="right" vertical="center" wrapText="1"/>
      <protection hidden="1"/>
    </xf>
    <xf numFmtId="0" fontId="5" fillId="0" borderId="0" xfId="0" applyFont="1" applyFill="1" applyBorder="1" applyAlignment="1" applyProtection="1">
      <alignment horizontal="right" vertical="center" wrapText="1"/>
    </xf>
    <xf numFmtId="0" fontId="5" fillId="0" borderId="0" xfId="0" applyFont="1" applyFill="1" applyAlignment="1" applyProtection="1">
      <alignment horizontal="right" vertical="center" wrapText="1"/>
    </xf>
    <xf numFmtId="169" fontId="2" fillId="0" borderId="0" xfId="1" applyNumberFormat="1" applyFont="1" applyFill="1" applyBorder="1" applyAlignment="1" applyProtection="1">
      <alignment horizontal="center" vertical="center" wrapText="1"/>
      <protection hidden="1"/>
    </xf>
    <xf numFmtId="43" fontId="2" fillId="0" borderId="13" xfId="1" applyNumberFormat="1" applyFont="1" applyFill="1" applyBorder="1" applyAlignment="1" applyProtection="1">
      <alignment horizontal="center" vertical="center" wrapText="1"/>
      <protection hidden="1"/>
    </xf>
    <xf numFmtId="0" fontId="3" fillId="0" borderId="0" xfId="0" applyFont="1" applyFill="1" applyBorder="1" applyAlignment="1" applyProtection="1">
      <alignment horizontal="left" vertical="center" wrapText="1"/>
      <protection hidden="1"/>
    </xf>
    <xf numFmtId="0" fontId="2" fillId="0" borderId="13" xfId="0" applyFont="1" applyFill="1" applyBorder="1" applyAlignment="1" applyProtection="1">
      <alignment horizontal="right" vertical="center" wrapText="1"/>
      <protection hidden="1"/>
    </xf>
    <xf numFmtId="0" fontId="4" fillId="0" borderId="13" xfId="0" applyFont="1" applyFill="1" applyBorder="1" applyAlignment="1" applyProtection="1">
      <alignment horizontal="center" vertical="center" wrapText="1"/>
      <protection hidden="1"/>
    </xf>
    <xf numFmtId="49" fontId="2" fillId="0" borderId="0" xfId="0" applyNumberFormat="1" applyFont="1" applyFill="1" applyAlignment="1">
      <alignment horizontal="left" vertical="center" wrapText="1"/>
    </xf>
    <xf numFmtId="224" fontId="5" fillId="0" borderId="0" xfId="0" applyNumberFormat="1" applyFont="1" applyFill="1" applyBorder="1" applyAlignment="1" applyProtection="1">
      <alignment horizontal="left" vertical="center" wrapText="1"/>
      <protection hidden="1"/>
    </xf>
    <xf numFmtId="0" fontId="5" fillId="0" borderId="0" xfId="0" applyNumberFormat="1" applyFont="1" applyFill="1" applyBorder="1" applyAlignment="1" applyProtection="1">
      <alignment horizontal="right" vertical="center"/>
      <protection hidden="1"/>
    </xf>
    <xf numFmtId="0" fontId="2" fillId="0" borderId="0" xfId="0" applyFont="1" applyBorder="1" applyAlignment="1" applyProtection="1">
      <alignment horizontal="left" vertical="center" wrapText="1"/>
      <protection hidden="1"/>
    </xf>
    <xf numFmtId="0" fontId="3" fillId="0" borderId="0" xfId="0" applyFont="1" applyBorder="1" applyAlignment="1" applyProtection="1">
      <alignment horizontal="left" vertical="center" wrapText="1"/>
      <protection hidden="1"/>
    </xf>
    <xf numFmtId="169" fontId="2" fillId="0" borderId="0" xfId="1" applyNumberFormat="1" applyFont="1" applyBorder="1" applyAlignment="1" applyProtection="1">
      <alignment horizontal="right" vertical="center" wrapText="1"/>
      <protection hidden="1"/>
    </xf>
    <xf numFmtId="39" fontId="5" fillId="0" borderId="0" xfId="2" applyNumberFormat="1" applyFont="1" applyFill="1" applyBorder="1" applyAlignment="1" applyProtection="1">
      <alignment horizontal="center" vertical="center" wrapText="1"/>
      <protection hidden="1"/>
    </xf>
    <xf numFmtId="0" fontId="3" fillId="0" borderId="13" xfId="0" applyFont="1" applyBorder="1" applyAlignment="1" applyProtection="1">
      <alignment horizontal="right" vertical="center"/>
      <protection locked="0" hidden="1"/>
    </xf>
    <xf numFmtId="169" fontId="3" fillId="0" borderId="13" xfId="1" applyNumberFormat="1" applyFont="1" applyFill="1" applyBorder="1" applyAlignment="1" applyProtection="1">
      <alignment horizontal="center"/>
      <protection hidden="1"/>
    </xf>
    <xf numFmtId="0" fontId="2" fillId="0" borderId="0" xfId="0" applyFont="1" applyFill="1" applyBorder="1" applyAlignment="1" applyProtection="1">
      <alignment horizontal="right"/>
      <protection hidden="1"/>
    </xf>
    <xf numFmtId="10" fontId="5" fillId="0" borderId="9" xfId="6" applyNumberFormat="1" applyFont="1" applyFill="1" applyBorder="1" applyAlignment="1" applyProtection="1">
      <alignment horizontal="center" vertical="center"/>
      <protection locked="0" hidden="1"/>
    </xf>
    <xf numFmtId="2" fontId="2" fillId="0" borderId="29" xfId="0" applyNumberFormat="1" applyFont="1" applyBorder="1" applyAlignment="1" applyProtection="1">
      <alignment horizontal="center"/>
      <protection locked="0"/>
    </xf>
    <xf numFmtId="44" fontId="1" fillId="0" borderId="25" xfId="2" applyBorder="1"/>
    <xf numFmtId="179" fontId="1" fillId="0" borderId="33" xfId="2" applyNumberFormat="1" applyBorder="1"/>
    <xf numFmtId="0" fontId="0" fillId="0" borderId="34" xfId="0" applyBorder="1"/>
    <xf numFmtId="44" fontId="0" fillId="0" borderId="25" xfId="2" applyFont="1" applyBorder="1"/>
    <xf numFmtId="174" fontId="0" fillId="0" borderId="33" xfId="2" applyNumberFormat="1" applyFont="1" applyBorder="1"/>
    <xf numFmtId="179" fontId="0" fillId="0" borderId="33" xfId="2" applyNumberFormat="1" applyFont="1" applyBorder="1"/>
    <xf numFmtId="39" fontId="0" fillId="0" borderId="25" xfId="2" applyNumberFormat="1" applyFont="1" applyBorder="1"/>
    <xf numFmtId="174" fontId="2" fillId="0" borderId="0" xfId="2" applyNumberFormat="1" applyFont="1"/>
    <xf numFmtId="174" fontId="2" fillId="0" borderId="0" xfId="0" applyNumberFormat="1" applyFont="1"/>
    <xf numFmtId="174" fontId="0" fillId="0" borderId="25" xfId="2" applyNumberFormat="1" applyFont="1" applyBorder="1"/>
    <xf numFmtId="164" fontId="2" fillId="0" borderId="0" xfId="0" applyNumberFormat="1" applyFont="1"/>
    <xf numFmtId="44" fontId="1" fillId="0" borderId="25" xfId="2" applyNumberFormat="1" applyBorder="1"/>
    <xf numFmtId="39" fontId="1" fillId="0" borderId="25" xfId="2" applyNumberFormat="1" applyBorder="1"/>
    <xf numFmtId="174" fontId="1" fillId="0" borderId="25" xfId="2" applyNumberFormat="1" applyBorder="1"/>
    <xf numFmtId="174" fontId="1" fillId="0" borderId="33" xfId="2" applyNumberFormat="1" applyBorder="1"/>
    <xf numFmtId="0" fontId="26" fillId="0" borderId="0" xfId="0" applyFont="1" applyAlignment="1">
      <alignment horizontal="centerContinuous"/>
    </xf>
    <xf numFmtId="0" fontId="40" fillId="0" borderId="0" xfId="0" applyFont="1"/>
    <xf numFmtId="0" fontId="41" fillId="0" borderId="0" xfId="0" applyFont="1" applyAlignment="1">
      <alignment horizontal="center"/>
    </xf>
    <xf numFmtId="0" fontId="42" fillId="0" borderId="0" xfId="0" applyFont="1" applyAlignment="1">
      <alignment horizontal="center"/>
    </xf>
    <xf numFmtId="0" fontId="0" fillId="0" borderId="0" xfId="0" applyAlignment="1">
      <alignment horizontal="centerContinuous"/>
    </xf>
    <xf numFmtId="0" fontId="0" fillId="0" borderId="0" xfId="0" applyFill="1" applyBorder="1" applyAlignment="1">
      <alignment horizontal="centerContinuous"/>
    </xf>
    <xf numFmtId="0" fontId="43" fillId="0" borderId="0" xfId="0" applyFont="1" applyAlignment="1">
      <alignment horizontal="right"/>
    </xf>
    <xf numFmtId="0" fontId="43" fillId="0" borderId="0" xfId="0" applyFont="1" applyAlignment="1">
      <alignment horizontal="left"/>
    </xf>
    <xf numFmtId="0" fontId="43" fillId="0" borderId="0" xfId="0" applyFont="1" applyBorder="1" applyAlignment="1">
      <alignment horizontal="left"/>
    </xf>
    <xf numFmtId="0" fontId="42" fillId="0" borderId="0" xfId="0" applyFont="1" applyBorder="1"/>
    <xf numFmtId="0" fontId="42" fillId="0" borderId="0" xfId="0" applyFont="1" applyAlignment="1">
      <alignment horizontal="right"/>
    </xf>
    <xf numFmtId="0" fontId="42" fillId="0" borderId="0" xfId="0" applyFont="1"/>
    <xf numFmtId="0" fontId="44" fillId="0" borderId="0" xfId="0" applyFont="1" applyBorder="1" applyAlignment="1">
      <alignment horizontal="centerContinuous"/>
    </xf>
    <xf numFmtId="0" fontId="39" fillId="0" borderId="0" xfId="0" applyFont="1" applyBorder="1" applyAlignment="1">
      <alignment horizontal="center"/>
    </xf>
    <xf numFmtId="0" fontId="45" fillId="0" borderId="0" xfId="0" applyFont="1" applyFill="1" applyBorder="1" applyAlignment="1">
      <alignment horizontal="center"/>
    </xf>
    <xf numFmtId="0" fontId="39" fillId="0" borderId="0" xfId="0" applyFont="1" applyBorder="1" applyAlignment="1">
      <alignment horizontal="centerContinuous"/>
    </xf>
    <xf numFmtId="0" fontId="45" fillId="0" borderId="0" xfId="0" applyFont="1" applyBorder="1"/>
    <xf numFmtId="0" fontId="44" fillId="0" borderId="21" xfId="0" applyFont="1" applyBorder="1" applyAlignment="1">
      <alignment horizontal="centerContinuous"/>
    </xf>
    <xf numFmtId="0" fontId="43" fillId="0" borderId="17" xfId="0" applyFont="1" applyBorder="1"/>
    <xf numFmtId="0" fontId="44" fillId="0" borderId="17" xfId="0" applyFont="1" applyBorder="1" applyAlignment="1">
      <alignment horizontal="centerContinuous"/>
    </xf>
    <xf numFmtId="0" fontId="44" fillId="0" borderId="35" xfId="0" applyFont="1" applyBorder="1" applyAlignment="1">
      <alignment horizontal="center"/>
    </xf>
    <xf numFmtId="0" fontId="45" fillId="0" borderId="18" xfId="0" applyFont="1" applyFill="1" applyBorder="1" applyAlignment="1">
      <alignment horizontal="center"/>
    </xf>
    <xf numFmtId="0" fontId="0" fillId="0" borderId="18" xfId="0" applyBorder="1"/>
    <xf numFmtId="0" fontId="46" fillId="0" borderId="22" xfId="0" applyFont="1" applyBorder="1"/>
    <xf numFmtId="0" fontId="3" fillId="0" borderId="0" xfId="0" applyFont="1" applyBorder="1" applyAlignment="1">
      <alignment horizontal="right"/>
    </xf>
    <xf numFmtId="0" fontId="46" fillId="0" borderId="0" xfId="0" applyFont="1" applyBorder="1"/>
    <xf numFmtId="0" fontId="47" fillId="0" borderId="6" xfId="0" applyFont="1" applyBorder="1" applyAlignment="1">
      <alignment horizontal="center"/>
    </xf>
    <xf numFmtId="0" fontId="5" fillId="0" borderId="6" xfId="0" applyFont="1" applyBorder="1" applyAlignment="1">
      <alignment horizontal="center"/>
    </xf>
    <xf numFmtId="0" fontId="46" fillId="0" borderId="19" xfId="0" applyFont="1" applyFill="1" applyBorder="1" applyAlignment="1">
      <alignment horizontal="center"/>
    </xf>
    <xf numFmtId="0" fontId="46" fillId="0" borderId="0" xfId="0" applyFont="1"/>
    <xf numFmtId="0" fontId="48" fillId="0" borderId="6" xfId="0" applyFont="1" applyBorder="1"/>
    <xf numFmtId="0" fontId="46" fillId="0" borderId="6" xfId="0" applyFont="1" applyBorder="1" applyAlignment="1">
      <alignment horizontal="center"/>
    </xf>
    <xf numFmtId="0" fontId="49" fillId="0" borderId="0" xfId="0" applyFont="1" applyBorder="1" applyAlignment="1">
      <alignment horizontal="left"/>
    </xf>
    <xf numFmtId="0" fontId="50" fillId="0" borderId="0" xfId="0" applyFont="1" applyBorder="1"/>
    <xf numFmtId="0" fontId="49" fillId="0" borderId="0" xfId="0" applyFont="1" applyBorder="1" applyAlignment="1">
      <alignment horizontal="center"/>
    </xf>
    <xf numFmtId="0" fontId="49" fillId="0" borderId="19" xfId="0" applyFont="1" applyBorder="1" applyAlignment="1">
      <alignment horizontal="center"/>
    </xf>
    <xf numFmtId="0" fontId="3" fillId="0" borderId="36" xfId="0" applyFont="1" applyBorder="1" applyAlignment="1">
      <alignment horizontal="left"/>
    </xf>
    <xf numFmtId="7" fontId="51" fillId="0" borderId="36" xfId="0" applyNumberFormat="1" applyFont="1" applyBorder="1" applyAlignment="1">
      <alignment horizontal="right"/>
    </xf>
    <xf numFmtId="0" fontId="51" fillId="0" borderId="36" xfId="0" applyFont="1" applyBorder="1" applyAlignment="1">
      <alignment horizontal="right"/>
    </xf>
    <xf numFmtId="0" fontId="18" fillId="0" borderId="0" xfId="0" applyFont="1" applyBorder="1" applyAlignment="1">
      <alignment horizontal="left"/>
    </xf>
    <xf numFmtId="0" fontId="43" fillId="0" borderId="0" xfId="0" applyFont="1" applyBorder="1"/>
    <xf numFmtId="0" fontId="51" fillId="0" borderId="37" xfId="0" applyFont="1" applyBorder="1" applyAlignment="1">
      <alignment horizontal="right"/>
    </xf>
    <xf numFmtId="0" fontId="46" fillId="0" borderId="0" xfId="0" applyFont="1" applyBorder="1" applyAlignment="1">
      <alignment horizontal="left"/>
    </xf>
    <xf numFmtId="0" fontId="51" fillId="0" borderId="0" xfId="0" applyFont="1" applyBorder="1" applyAlignment="1">
      <alignment horizontal="right"/>
    </xf>
    <xf numFmtId="0" fontId="51" fillId="0" borderId="19" xfId="0" applyFont="1" applyBorder="1" applyAlignment="1">
      <alignment horizontal="right"/>
    </xf>
    <xf numFmtId="0" fontId="46" fillId="0" borderId="23" xfId="0" applyFont="1" applyBorder="1"/>
    <xf numFmtId="0" fontId="5" fillId="0" borderId="1" xfId="0" applyFont="1" applyBorder="1"/>
    <xf numFmtId="0" fontId="46" fillId="0" borderId="1" xfId="0" applyFont="1" applyBorder="1"/>
    <xf numFmtId="0" fontId="46" fillId="0" borderId="1" xfId="0" applyFont="1" applyBorder="1" applyAlignment="1">
      <alignment horizontal="center"/>
    </xf>
    <xf numFmtId="7" fontId="51" fillId="0" borderId="1" xfId="0" applyNumberFormat="1" applyFont="1" applyBorder="1" applyAlignment="1">
      <alignment horizontal="right"/>
    </xf>
    <xf numFmtId="0" fontId="46" fillId="0" borderId="20" xfId="0" applyFont="1" applyFill="1" applyBorder="1" applyAlignment="1">
      <alignment horizontal="center"/>
    </xf>
    <xf numFmtId="0" fontId="0" fillId="0" borderId="38" xfId="0" applyBorder="1"/>
    <xf numFmtId="0" fontId="5" fillId="0" borderId="39" xfId="0" applyFont="1" applyBorder="1"/>
    <xf numFmtId="0" fontId="0" fillId="0" borderId="39" xfId="0" applyBorder="1"/>
    <xf numFmtId="0" fontId="0" fillId="0" borderId="40" xfId="0" applyBorder="1"/>
    <xf numFmtId="0" fontId="0" fillId="0" borderId="21" xfId="0" applyBorder="1"/>
    <xf numFmtId="0" fontId="52" fillId="0" borderId="17" xfId="0" applyFont="1" applyBorder="1" applyAlignment="1">
      <alignment horizontal="left"/>
    </xf>
    <xf numFmtId="0" fontId="48" fillId="0" borderId="17" xfId="0" applyFont="1" applyBorder="1" applyAlignment="1">
      <alignment horizontal="left"/>
    </xf>
    <xf numFmtId="0" fontId="42" fillId="0" borderId="17" xfId="0" applyFont="1" applyBorder="1" applyAlignment="1">
      <alignment horizontal="centerContinuous"/>
    </xf>
    <xf numFmtId="0" fontId="51" fillId="0" borderId="17" xfId="0" applyFont="1" applyBorder="1" applyAlignment="1">
      <alignment horizontal="centerContinuous"/>
    </xf>
    <xf numFmtId="0" fontId="46" fillId="0" borderId="17" xfId="0" applyFont="1" applyFill="1" applyBorder="1" applyAlignment="1">
      <alignment horizontal="center"/>
    </xf>
    <xf numFmtId="0" fontId="42" fillId="0" borderId="22" xfId="0" applyFont="1" applyBorder="1"/>
    <xf numFmtId="0" fontId="42" fillId="0" borderId="0" xfId="0" applyFont="1" applyBorder="1" applyAlignment="1">
      <alignment horizontal="center"/>
    </xf>
    <xf numFmtId="0" fontId="51" fillId="0" borderId="0" xfId="0" applyFont="1" applyBorder="1" applyAlignment="1">
      <alignment horizontal="center"/>
    </xf>
    <xf numFmtId="0" fontId="46" fillId="0" borderId="0" xfId="0" applyFont="1" applyFill="1" applyBorder="1" applyAlignment="1">
      <alignment horizontal="center"/>
    </xf>
    <xf numFmtId="0" fontId="48" fillId="0" borderId="6" xfId="0" applyFont="1" applyBorder="1" applyAlignment="1"/>
    <xf numFmtId="0" fontId="42" fillId="0" borderId="6" xfId="0" applyFont="1" applyBorder="1" applyAlignment="1">
      <alignment horizontal="center"/>
    </xf>
    <xf numFmtId="0" fontId="51" fillId="0" borderId="6" xfId="0" applyFont="1" applyBorder="1" applyAlignment="1">
      <alignment horizontal="center"/>
    </xf>
    <xf numFmtId="0" fontId="0" fillId="0" borderId="27" xfId="0" applyBorder="1"/>
    <xf numFmtId="0" fontId="0" fillId="0" borderId="33" xfId="0" applyBorder="1"/>
    <xf numFmtId="7" fontId="3" fillId="0" borderId="36" xfId="0" applyNumberFormat="1" applyFont="1" applyBorder="1" applyAlignment="1"/>
    <xf numFmtId="0" fontId="0" fillId="0" borderId="4" xfId="0" applyBorder="1"/>
    <xf numFmtId="0" fontId="0" fillId="0" borderId="41" xfId="0" applyBorder="1"/>
    <xf numFmtId="0" fontId="3" fillId="0" borderId="36" xfId="0" applyFont="1" applyBorder="1"/>
    <xf numFmtId="0" fontId="16" fillId="0" borderId="22" xfId="0" applyFont="1" applyBorder="1"/>
    <xf numFmtId="7" fontId="3" fillId="0" borderId="36" xfId="0" applyNumberFormat="1" applyFont="1" applyBorder="1" applyAlignment="1">
      <alignment horizontal="left"/>
    </xf>
    <xf numFmtId="7" fontId="3" fillId="0" borderId="36" xfId="0" applyNumberFormat="1" applyFont="1" applyBorder="1" applyAlignment="1">
      <alignment horizontal="right"/>
    </xf>
    <xf numFmtId="0" fontId="53" fillId="0" borderId="0" xfId="0" applyFont="1" applyBorder="1" applyAlignment="1">
      <alignment horizontal="right"/>
    </xf>
    <xf numFmtId="0" fontId="48" fillId="0" borderId="0" xfId="0" applyFont="1" applyBorder="1" applyAlignment="1">
      <alignment horizontal="left"/>
    </xf>
    <xf numFmtId="0" fontId="48" fillId="0" borderId="0" xfId="0" applyFont="1" applyBorder="1"/>
    <xf numFmtId="7" fontId="51" fillId="0" borderId="42" xfId="0" applyNumberFormat="1" applyFont="1" applyBorder="1" applyAlignment="1">
      <alignment horizontal="right"/>
    </xf>
    <xf numFmtId="0" fontId="54" fillId="0" borderId="0" xfId="0" applyFont="1" applyBorder="1"/>
    <xf numFmtId="0" fontId="3" fillId="0" borderId="0" xfId="0" applyFont="1" applyBorder="1" applyAlignment="1">
      <alignment horizontal="center"/>
    </xf>
    <xf numFmtId="0" fontId="48" fillId="0" borderId="22" xfId="0" applyFont="1" applyBorder="1"/>
    <xf numFmtId="7" fontId="51" fillId="0" borderId="1" xfId="0" applyNumberFormat="1" applyFont="1" applyBorder="1" applyAlignment="1"/>
    <xf numFmtId="0" fontId="0" fillId="0" borderId="1" xfId="0" applyBorder="1" applyAlignment="1">
      <alignment horizontal="center"/>
    </xf>
    <xf numFmtId="0" fontId="46" fillId="0" borderId="1" xfId="0" applyFont="1" applyFill="1" applyBorder="1" applyAlignment="1">
      <alignment horizontal="center"/>
    </xf>
    <xf numFmtId="0" fontId="55" fillId="0" borderId="0" xfId="0" applyFont="1" applyBorder="1"/>
    <xf numFmtId="0" fontId="0" fillId="0" borderId="6" xfId="0" applyBorder="1" applyAlignment="1">
      <alignment horizontal="center"/>
    </xf>
    <xf numFmtId="0" fontId="0" fillId="0" borderId="6" xfId="0" applyFill="1" applyBorder="1" applyAlignment="1">
      <alignment horizontal="center"/>
    </xf>
    <xf numFmtId="199" fontId="40" fillId="0" borderId="6" xfId="0" applyNumberFormat="1" applyFont="1" applyBorder="1" applyAlignment="1">
      <alignment horizontal="right"/>
    </xf>
    <xf numFmtId="49" fontId="51" fillId="0" borderId="36" xfId="0" applyNumberFormat="1" applyFont="1" applyBorder="1" applyAlignment="1">
      <alignment horizontal="left"/>
    </xf>
    <xf numFmtId="49" fontId="0" fillId="0" borderId="6" xfId="0" applyNumberFormat="1" applyBorder="1" applyAlignment="1">
      <alignment horizontal="left" vertical="center"/>
    </xf>
    <xf numFmtId="0" fontId="46" fillId="0" borderId="13" xfId="0" applyFont="1" applyBorder="1" applyAlignment="1">
      <alignment horizontal="center"/>
    </xf>
    <xf numFmtId="2" fontId="18" fillId="0" borderId="13" xfId="0" applyNumberFormat="1" applyFont="1" applyBorder="1" applyAlignment="1">
      <alignment horizontal="center"/>
    </xf>
    <xf numFmtId="44" fontId="18" fillId="0" borderId="13" xfId="2" applyFont="1" applyBorder="1" applyAlignment="1">
      <alignment horizontal="center"/>
    </xf>
    <xf numFmtId="0" fontId="46" fillId="0" borderId="43" xfId="0" applyFont="1" applyBorder="1" applyAlignment="1">
      <alignment horizontal="center"/>
    </xf>
    <xf numFmtId="2" fontId="18" fillId="0" borderId="0" xfId="0" applyNumberFormat="1" applyFont="1" applyBorder="1" applyAlignment="1">
      <alignment horizontal="center"/>
    </xf>
    <xf numFmtId="44" fontId="18" fillId="0" borderId="0" xfId="2" applyFont="1" applyBorder="1" applyAlignment="1">
      <alignment horizontal="center"/>
    </xf>
    <xf numFmtId="0" fontId="46" fillId="0" borderId="32" xfId="0" applyFont="1" applyBorder="1" applyAlignment="1">
      <alignment horizontal="center"/>
    </xf>
    <xf numFmtId="0" fontId="3" fillId="0" borderId="0" xfId="0" applyFont="1" applyFill="1" applyBorder="1" applyAlignment="1" applyProtection="1">
      <alignment horizontal="right" vertical="center" wrapText="1"/>
    </xf>
    <xf numFmtId="0" fontId="3" fillId="0" borderId="0" xfId="0" applyFont="1" applyFill="1" applyAlignment="1" applyProtection="1">
      <alignment horizontal="right" vertical="center" wrapText="1"/>
    </xf>
    <xf numFmtId="2" fontId="3" fillId="0" borderId="13" xfId="0" applyNumberFormat="1" applyFont="1" applyFill="1" applyBorder="1" applyAlignment="1" applyProtection="1">
      <alignment horizontal="center"/>
      <protection locked="0"/>
    </xf>
    <xf numFmtId="2" fontId="5" fillId="0" borderId="13" xfId="0" applyNumberFormat="1" applyFont="1" applyBorder="1" applyAlignment="1" applyProtection="1">
      <alignment horizontal="center"/>
      <protection hidden="1"/>
    </xf>
    <xf numFmtId="0" fontId="13" fillId="0" borderId="0" xfId="0" applyFont="1" applyBorder="1" applyAlignment="1" applyProtection="1">
      <alignment horizontal="left" vertical="center"/>
      <protection hidden="1"/>
    </xf>
    <xf numFmtId="0" fontId="3" fillId="0" borderId="0" xfId="1" applyNumberFormat="1" applyFont="1" applyAlignment="1" applyProtection="1">
      <alignment horizontal="left"/>
      <protection locked="0"/>
    </xf>
    <xf numFmtId="39" fontId="15" fillId="0" borderId="10" xfId="2" applyNumberFormat="1" applyFont="1" applyFill="1" applyBorder="1" applyAlignment="1" applyProtection="1">
      <alignment horizontal="center"/>
      <protection locked="0" hidden="1"/>
    </xf>
    <xf numFmtId="49" fontId="2" fillId="0" borderId="0" xfId="0" applyNumberFormat="1" applyFont="1" applyFill="1" applyAlignment="1" applyProtection="1">
      <alignment horizontal="left" vertical="center" wrapText="1"/>
    </xf>
    <xf numFmtId="0" fontId="5" fillId="0" borderId="0" xfId="0" applyFont="1" applyFill="1" applyAlignment="1" applyProtection="1">
      <alignment horizontal="left" vertical="center" wrapText="1"/>
      <protection hidden="1"/>
    </xf>
    <xf numFmtId="0" fontId="2" fillId="0" borderId="0" xfId="0" applyFont="1" applyFill="1" applyAlignment="1" applyProtection="1">
      <alignment horizontal="left" vertical="center" wrapText="1"/>
      <protection hidden="1"/>
    </xf>
    <xf numFmtId="0" fontId="2" fillId="0" borderId="0" xfId="0" applyFont="1" applyFill="1" applyAlignment="1" applyProtection="1">
      <alignment vertical="center" wrapText="1"/>
      <protection hidden="1"/>
    </xf>
    <xf numFmtId="0" fontId="2" fillId="0" borderId="0" xfId="0" applyFont="1" applyFill="1" applyAlignment="1" applyProtection="1">
      <alignment horizontal="center" vertical="center" wrapText="1"/>
      <protection hidden="1"/>
    </xf>
    <xf numFmtId="0" fontId="4" fillId="0" borderId="0" xfId="0" applyFont="1" applyFill="1" applyAlignment="1" applyProtection="1">
      <alignment vertical="center" wrapText="1"/>
      <protection hidden="1"/>
    </xf>
    <xf numFmtId="0" fontId="5" fillId="0" borderId="13" xfId="0" applyFont="1" applyFill="1" applyBorder="1" applyAlignment="1" applyProtection="1">
      <alignment horizontal="left" vertical="center" wrapText="1"/>
      <protection hidden="1"/>
    </xf>
    <xf numFmtId="0" fontId="2" fillId="0" borderId="13" xfId="0" applyFont="1" applyFill="1" applyBorder="1" applyAlignment="1" applyProtection="1">
      <alignment horizontal="center" vertical="center" wrapText="1"/>
      <protection hidden="1"/>
    </xf>
    <xf numFmtId="165" fontId="2" fillId="0" borderId="0" xfId="0" applyNumberFormat="1" applyFont="1" applyFill="1" applyAlignment="1" applyProtection="1">
      <alignment vertical="center" wrapText="1"/>
      <protection hidden="1"/>
    </xf>
    <xf numFmtId="187" fontId="2" fillId="0" borderId="13" xfId="1" applyNumberFormat="1" applyFont="1" applyFill="1" applyBorder="1" applyAlignment="1" applyProtection="1">
      <alignment horizontal="center" vertical="center" wrapText="1"/>
      <protection hidden="1"/>
    </xf>
    <xf numFmtId="166" fontId="2" fillId="0" borderId="13" xfId="0" applyNumberFormat="1" applyFont="1" applyFill="1" applyBorder="1" applyAlignment="1" applyProtection="1">
      <alignment horizontal="center" vertical="center" wrapText="1"/>
      <protection hidden="1"/>
    </xf>
    <xf numFmtId="187" fontId="2" fillId="0" borderId="13" xfId="0" applyNumberFormat="1" applyFont="1" applyFill="1" applyBorder="1" applyAlignment="1" applyProtection="1">
      <alignment horizontal="center" vertical="center" wrapText="1"/>
      <protection hidden="1"/>
    </xf>
    <xf numFmtId="1" fontId="2" fillId="0" borderId="13" xfId="0" applyNumberFormat="1" applyFont="1" applyFill="1" applyBorder="1" applyAlignment="1" applyProtection="1">
      <alignment horizontal="center" vertical="center" wrapText="1"/>
      <protection hidden="1"/>
    </xf>
    <xf numFmtId="10" fontId="2" fillId="0" borderId="13" xfId="6" applyNumberFormat="1" applyFont="1" applyFill="1" applyBorder="1" applyAlignment="1" applyProtection="1">
      <alignment horizontal="center" vertical="center" wrapText="1"/>
      <protection hidden="1"/>
    </xf>
    <xf numFmtId="0" fontId="4" fillId="0" borderId="0" xfId="0" applyFont="1" applyFill="1" applyBorder="1" applyAlignment="1" applyProtection="1">
      <alignment horizontal="center" vertical="center" wrapText="1"/>
      <protection hidden="1"/>
    </xf>
    <xf numFmtId="2" fontId="2" fillId="0" borderId="13" xfId="0" applyNumberFormat="1" applyFont="1" applyFill="1" applyBorder="1" applyAlignment="1" applyProtection="1">
      <alignment horizontal="center" vertical="center" wrapText="1"/>
      <protection hidden="1"/>
    </xf>
    <xf numFmtId="0" fontId="2" fillId="0" borderId="0" xfId="0" applyFont="1" applyFill="1" applyBorder="1" applyAlignment="1" applyProtection="1">
      <alignment vertical="center" wrapText="1"/>
      <protection hidden="1"/>
    </xf>
    <xf numFmtId="2" fontId="2" fillId="0" borderId="0" xfId="0" applyNumberFormat="1" applyFont="1" applyFill="1" applyBorder="1" applyAlignment="1" applyProtection="1">
      <alignment horizontal="center" vertical="center" wrapText="1"/>
      <protection hidden="1"/>
    </xf>
    <xf numFmtId="165" fontId="2" fillId="0" borderId="13" xfId="0" applyNumberFormat="1" applyFont="1" applyFill="1" applyBorder="1" applyAlignment="1" applyProtection="1">
      <alignment horizontal="center" vertical="center" wrapText="1"/>
      <protection hidden="1"/>
    </xf>
    <xf numFmtId="0" fontId="2" fillId="0" borderId="0" xfId="0" applyFont="1" applyFill="1" applyBorder="1" applyAlignment="1" applyProtection="1">
      <alignment horizontal="left" vertical="center" wrapText="1"/>
      <protection hidden="1"/>
    </xf>
    <xf numFmtId="166" fontId="2" fillId="0" borderId="0" xfId="0" applyNumberFormat="1" applyFont="1" applyFill="1" applyBorder="1" applyAlignment="1" applyProtection="1">
      <alignment horizontal="left" vertical="center" wrapText="1"/>
      <protection hidden="1"/>
    </xf>
    <xf numFmtId="49" fontId="2" fillId="0" borderId="13" xfId="0" applyNumberFormat="1" applyFont="1" applyFill="1" applyBorder="1" applyAlignment="1" applyProtection="1">
      <alignment horizontal="center" vertical="center" wrapText="1"/>
      <protection hidden="1"/>
    </xf>
    <xf numFmtId="0" fontId="2" fillId="0" borderId="13" xfId="0" applyNumberFormat="1" applyFont="1" applyFill="1" applyBorder="1" applyAlignment="1" applyProtection="1">
      <alignment horizontal="center" vertical="center" wrapText="1"/>
      <protection hidden="1"/>
    </xf>
    <xf numFmtId="9" fontId="2" fillId="0" borderId="0" xfId="6" applyFont="1" applyFill="1" applyBorder="1" applyAlignment="1" applyProtection="1">
      <alignment horizontal="center" vertical="center" wrapText="1"/>
      <protection hidden="1"/>
    </xf>
    <xf numFmtId="9" fontId="2" fillId="0" borderId="13" xfId="0" applyNumberFormat="1" applyFont="1" applyFill="1" applyBorder="1" applyAlignment="1" applyProtection="1">
      <alignment horizontal="center" vertical="center" wrapText="1"/>
      <protection hidden="1"/>
    </xf>
    <xf numFmtId="0" fontId="2" fillId="0" borderId="0" xfId="0" applyFont="1" applyFill="1" applyAlignment="1" applyProtection="1">
      <alignment horizontal="right" vertical="center" wrapText="1"/>
      <protection hidden="1"/>
    </xf>
    <xf numFmtId="165" fontId="2" fillId="0" borderId="13" xfId="2" applyNumberFormat="1" applyFont="1" applyFill="1" applyBorder="1" applyAlignment="1" applyProtection="1">
      <alignment horizontal="center" vertical="center" wrapText="1"/>
      <protection hidden="1"/>
    </xf>
    <xf numFmtId="1" fontId="2" fillId="0" borderId="0" xfId="2" applyNumberFormat="1" applyFont="1" applyFill="1" applyBorder="1" applyAlignment="1" applyProtection="1">
      <alignment horizontal="right" vertical="center" wrapText="1"/>
      <protection hidden="1"/>
    </xf>
    <xf numFmtId="165" fontId="4" fillId="0" borderId="13" xfId="0" applyNumberFormat="1" applyFont="1" applyFill="1" applyBorder="1" applyAlignment="1" applyProtection="1">
      <alignment horizontal="center" vertical="center" wrapText="1"/>
      <protection hidden="1"/>
    </xf>
    <xf numFmtId="2" fontId="2" fillId="0" borderId="0" xfId="0" applyNumberFormat="1" applyFont="1" applyFill="1" applyAlignment="1" applyProtection="1">
      <alignment vertical="center" wrapText="1"/>
      <protection hidden="1"/>
    </xf>
    <xf numFmtId="0" fontId="19" fillId="0" borderId="13" xfId="0" applyFont="1" applyFill="1" applyBorder="1" applyAlignment="1" applyProtection="1">
      <alignment horizontal="center" vertical="center" wrapText="1"/>
      <protection hidden="1"/>
    </xf>
    <xf numFmtId="165" fontId="5" fillId="0" borderId="0" xfId="0" applyNumberFormat="1" applyFont="1" applyFill="1" applyBorder="1" applyAlignment="1" applyProtection="1">
      <alignment horizontal="left" vertical="center" wrapText="1"/>
      <protection hidden="1"/>
    </xf>
    <xf numFmtId="165" fontId="2" fillId="0" borderId="0" xfId="0" applyNumberFormat="1" applyFont="1" applyFill="1" applyBorder="1" applyAlignment="1" applyProtection="1">
      <alignment horizontal="right" vertical="center" wrapText="1"/>
      <protection hidden="1"/>
    </xf>
    <xf numFmtId="39" fontId="2" fillId="0" borderId="13" xfId="0" applyNumberFormat="1" applyFont="1" applyFill="1" applyBorder="1" applyAlignment="1" applyProtection="1">
      <alignment horizontal="center" vertical="center" wrapText="1"/>
      <protection hidden="1"/>
    </xf>
    <xf numFmtId="39" fontId="2" fillId="0" borderId="13" xfId="2" applyNumberFormat="1" applyFont="1" applyFill="1" applyBorder="1" applyAlignment="1" applyProtection="1">
      <alignment horizontal="center" vertical="center" wrapText="1"/>
      <protection hidden="1"/>
    </xf>
    <xf numFmtId="0" fontId="4" fillId="0" borderId="0" xfId="0" applyFont="1" applyFill="1" applyAlignment="1" applyProtection="1">
      <alignment horizontal="right" vertical="center" wrapText="1"/>
      <protection hidden="1"/>
    </xf>
    <xf numFmtId="39" fontId="4" fillId="0" borderId="13" xfId="0" applyNumberFormat="1" applyFont="1" applyFill="1" applyBorder="1" applyAlignment="1" applyProtection="1">
      <alignment horizontal="center" vertical="center" wrapText="1"/>
      <protection hidden="1"/>
    </xf>
    <xf numFmtId="174" fontId="2" fillId="0" borderId="0" xfId="0" applyNumberFormat="1" applyFont="1" applyFill="1" applyBorder="1" applyAlignment="1" applyProtection="1">
      <alignment horizontal="center" vertical="center" wrapText="1"/>
      <protection hidden="1"/>
    </xf>
    <xf numFmtId="1" fontId="2" fillId="0" borderId="13" xfId="2" applyNumberFormat="1" applyFont="1" applyFill="1" applyBorder="1" applyAlignment="1" applyProtection="1">
      <alignment horizontal="center" vertical="center" wrapText="1"/>
      <protection hidden="1"/>
    </xf>
    <xf numFmtId="0" fontId="2" fillId="0" borderId="13" xfId="2" applyNumberFormat="1" applyFont="1" applyFill="1" applyBorder="1" applyAlignment="1" applyProtection="1">
      <alignment horizontal="center" vertical="center" wrapText="1"/>
      <protection hidden="1"/>
    </xf>
    <xf numFmtId="1" fontId="4" fillId="0" borderId="13" xfId="0" applyNumberFormat="1" applyFont="1" applyFill="1" applyBorder="1" applyAlignment="1" applyProtection="1">
      <alignment horizontal="center" vertical="center" wrapText="1"/>
      <protection hidden="1"/>
    </xf>
    <xf numFmtId="180" fontId="2" fillId="0" borderId="13" xfId="2" applyNumberFormat="1" applyFont="1" applyFill="1" applyBorder="1" applyAlignment="1" applyProtection="1">
      <alignment horizontal="center" vertical="center" wrapText="1"/>
      <protection hidden="1"/>
    </xf>
    <xf numFmtId="44" fontId="2" fillId="0" borderId="0" xfId="0" applyNumberFormat="1" applyFont="1" applyFill="1" applyBorder="1" applyAlignment="1" applyProtection="1">
      <alignment horizontal="center" vertical="center" wrapText="1"/>
      <protection hidden="1"/>
    </xf>
    <xf numFmtId="2" fontId="2" fillId="0" borderId="13" xfId="2" applyNumberFormat="1" applyFont="1" applyFill="1" applyBorder="1" applyAlignment="1" applyProtection="1">
      <alignment horizontal="center" vertical="center" wrapText="1"/>
      <protection hidden="1"/>
    </xf>
    <xf numFmtId="180" fontId="2" fillId="0" borderId="13" xfId="0" applyNumberFormat="1" applyFont="1" applyFill="1" applyBorder="1" applyAlignment="1" applyProtection="1">
      <alignment horizontal="center" vertical="center" wrapText="1"/>
      <protection hidden="1"/>
    </xf>
    <xf numFmtId="207" fontId="2" fillId="0" borderId="13" xfId="0" applyNumberFormat="1" applyFont="1" applyFill="1" applyBorder="1" applyAlignment="1" applyProtection="1">
      <alignment horizontal="center" vertical="center" wrapText="1"/>
      <protection hidden="1"/>
    </xf>
    <xf numFmtId="180" fontId="2" fillId="0" borderId="10" xfId="0" applyNumberFormat="1" applyFont="1" applyFill="1" applyBorder="1" applyAlignment="1" applyProtection="1">
      <alignment horizontal="center" vertical="center" wrapText="1"/>
      <protection hidden="1"/>
    </xf>
    <xf numFmtId="10" fontId="2" fillId="0" borderId="10" xfId="6" applyNumberFormat="1" applyFont="1" applyFill="1" applyBorder="1" applyAlignment="1" applyProtection="1">
      <alignment horizontal="center" vertical="center" wrapText="1"/>
      <protection hidden="1"/>
    </xf>
    <xf numFmtId="0" fontId="19" fillId="0" borderId="0" xfId="0" applyFont="1" applyFill="1" applyBorder="1" applyAlignment="1" applyProtection="1">
      <alignment horizontal="right" vertical="center" wrapText="1"/>
      <protection hidden="1"/>
    </xf>
    <xf numFmtId="10" fontId="2" fillId="0" borderId="10" xfId="0" applyNumberFormat="1" applyFont="1" applyFill="1" applyBorder="1" applyAlignment="1" applyProtection="1">
      <alignment horizontal="center" vertical="center" wrapText="1"/>
      <protection hidden="1"/>
    </xf>
    <xf numFmtId="43" fontId="2" fillId="0" borderId="0" xfId="1" applyFont="1" applyFill="1" applyBorder="1" applyAlignment="1" applyProtection="1">
      <alignment horizontal="center" vertical="center" wrapText="1"/>
      <protection hidden="1"/>
    </xf>
    <xf numFmtId="165" fontId="2" fillId="0" borderId="13" xfId="6" applyNumberFormat="1" applyFont="1" applyFill="1" applyBorder="1" applyAlignment="1" applyProtection="1">
      <alignment vertical="center" wrapText="1"/>
      <protection hidden="1"/>
    </xf>
    <xf numFmtId="166" fontId="2" fillId="0" borderId="0" xfId="0" applyNumberFormat="1" applyFont="1" applyFill="1" applyBorder="1" applyAlignment="1" applyProtection="1">
      <alignment vertical="center" wrapText="1"/>
      <protection hidden="1"/>
    </xf>
    <xf numFmtId="165" fontId="2" fillId="0" borderId="0" xfId="0" applyNumberFormat="1" applyFont="1" applyFill="1" applyBorder="1" applyAlignment="1" applyProtection="1">
      <alignment horizontal="center" vertical="center" wrapText="1"/>
      <protection hidden="1"/>
    </xf>
    <xf numFmtId="169" fontId="2" fillId="0" borderId="13" xfId="1" applyNumberFormat="1" applyFont="1" applyFill="1" applyBorder="1" applyAlignment="1" applyProtection="1">
      <alignment horizontal="left" vertical="center" wrapText="1"/>
      <protection hidden="1"/>
    </xf>
    <xf numFmtId="169" fontId="2" fillId="0" borderId="0" xfId="1" applyNumberFormat="1" applyFont="1" applyFill="1" applyBorder="1" applyAlignment="1" applyProtection="1">
      <alignment horizontal="left" vertical="center" wrapText="1"/>
      <protection hidden="1"/>
    </xf>
    <xf numFmtId="165" fontId="2" fillId="0" borderId="13" xfId="0" applyNumberFormat="1" applyFont="1" applyFill="1" applyBorder="1" applyAlignment="1" applyProtection="1">
      <alignment horizontal="left" vertical="center" wrapText="1"/>
      <protection hidden="1"/>
    </xf>
    <xf numFmtId="165" fontId="2" fillId="0" borderId="0" xfId="0" applyNumberFormat="1" applyFont="1" applyFill="1" applyBorder="1" applyAlignment="1" applyProtection="1">
      <alignment horizontal="left" vertical="center" wrapText="1"/>
      <protection hidden="1"/>
    </xf>
    <xf numFmtId="44" fontId="2" fillId="0" borderId="13" xfId="2" applyFont="1" applyFill="1" applyBorder="1" applyAlignment="1" applyProtection="1">
      <alignment horizontal="left" vertical="center" wrapText="1"/>
      <protection hidden="1"/>
    </xf>
    <xf numFmtId="44" fontId="2" fillId="0" borderId="0" xfId="2" applyFont="1" applyFill="1" applyBorder="1" applyAlignment="1" applyProtection="1">
      <alignment horizontal="left" vertical="center" wrapText="1"/>
      <protection hidden="1"/>
    </xf>
    <xf numFmtId="0" fontId="5" fillId="0" borderId="0" xfId="0" applyFont="1" applyFill="1" applyAlignment="1" applyProtection="1">
      <alignment horizontal="right" vertical="center" wrapText="1"/>
      <protection hidden="1"/>
    </xf>
    <xf numFmtId="44" fontId="2" fillId="0" borderId="13" xfId="2" applyFont="1" applyFill="1" applyBorder="1" applyAlignment="1" applyProtection="1">
      <alignment horizontal="center" vertical="center" wrapText="1"/>
      <protection hidden="1"/>
    </xf>
    <xf numFmtId="169" fontId="2" fillId="0" borderId="13" xfId="1" applyNumberFormat="1" applyFont="1" applyFill="1" applyBorder="1" applyAlignment="1" applyProtection="1">
      <alignment horizontal="center" vertical="center" wrapText="1"/>
      <protection hidden="1"/>
    </xf>
    <xf numFmtId="43" fontId="2" fillId="0" borderId="0" xfId="1" applyNumberFormat="1" applyFont="1" applyFill="1" applyBorder="1" applyAlignment="1" applyProtection="1">
      <alignment horizontal="center" vertical="center" wrapText="1"/>
      <protection hidden="1"/>
    </xf>
    <xf numFmtId="10" fontId="2" fillId="0" borderId="0" xfId="0" applyNumberFormat="1" applyFont="1" applyFill="1" applyAlignment="1" applyProtection="1">
      <alignment horizontal="left" vertical="center" wrapText="1"/>
      <protection hidden="1"/>
    </xf>
    <xf numFmtId="43" fontId="2" fillId="0" borderId="13" xfId="1" applyFont="1" applyFill="1" applyBorder="1" applyAlignment="1" applyProtection="1">
      <alignment horizontal="left" vertical="center" wrapText="1"/>
      <protection hidden="1"/>
    </xf>
    <xf numFmtId="0" fontId="2" fillId="0" borderId="13" xfId="1" applyNumberFormat="1" applyFont="1" applyFill="1" applyBorder="1" applyAlignment="1" applyProtection="1">
      <alignment horizontal="center" vertical="center" wrapText="1"/>
      <protection hidden="1"/>
    </xf>
    <xf numFmtId="0" fontId="4" fillId="0" borderId="0" xfId="0" applyFont="1" applyFill="1" applyBorder="1" applyAlignment="1" applyProtection="1">
      <alignment horizontal="left" vertical="center" wrapText="1"/>
      <protection hidden="1"/>
    </xf>
    <xf numFmtId="165" fontId="2" fillId="0" borderId="13" xfId="0" applyNumberFormat="1" applyFont="1" applyFill="1" applyBorder="1" applyAlignment="1" applyProtection="1">
      <alignment horizontal="right" vertical="center" wrapText="1"/>
      <protection hidden="1"/>
    </xf>
    <xf numFmtId="0" fontId="6" fillId="0" borderId="0" xfId="0" applyFont="1" applyFill="1" applyBorder="1" applyAlignment="1" applyProtection="1">
      <alignment horizontal="center" vertical="center" wrapText="1"/>
      <protection hidden="1"/>
    </xf>
    <xf numFmtId="37" fontId="2" fillId="0" borderId="13" xfId="2" applyNumberFormat="1" applyFont="1" applyFill="1" applyBorder="1" applyAlignment="1" applyProtection="1">
      <alignment horizontal="center" vertical="center" wrapText="1"/>
      <protection hidden="1"/>
    </xf>
    <xf numFmtId="187" fontId="2" fillId="0" borderId="13" xfId="1" applyNumberFormat="1" applyFont="1" applyFill="1" applyBorder="1" applyAlignment="1" applyProtection="1">
      <alignment horizontal="right" vertical="center" wrapText="1"/>
      <protection hidden="1"/>
    </xf>
    <xf numFmtId="37" fontId="2" fillId="0" borderId="13" xfId="0" applyNumberFormat="1" applyFont="1" applyFill="1" applyBorder="1" applyAlignment="1" applyProtection="1">
      <alignment horizontal="center" vertical="center" wrapText="1"/>
      <protection hidden="1"/>
    </xf>
    <xf numFmtId="191" fontId="2" fillId="0" borderId="13" xfId="0" applyNumberFormat="1" applyFont="1" applyFill="1" applyBorder="1" applyAlignment="1" applyProtection="1">
      <alignment horizontal="center" vertical="center" wrapText="1"/>
      <protection hidden="1"/>
    </xf>
    <xf numFmtId="2" fontId="2" fillId="0" borderId="13" xfId="0" applyNumberFormat="1" applyFont="1" applyFill="1" applyBorder="1" applyAlignment="1" applyProtection="1">
      <alignment horizontal="left" vertical="center" wrapText="1"/>
      <protection hidden="1"/>
    </xf>
    <xf numFmtId="191" fontId="2" fillId="0" borderId="13" xfId="0" applyNumberFormat="1" applyFont="1" applyFill="1" applyBorder="1" applyAlignment="1" applyProtection="1">
      <alignment horizontal="left" vertical="center" wrapText="1"/>
      <protection hidden="1"/>
    </xf>
    <xf numFmtId="0" fontId="4" fillId="0" borderId="0" xfId="0" applyFont="1" applyFill="1" applyAlignment="1" applyProtection="1">
      <alignment horizontal="left" vertical="center" wrapText="1"/>
      <protection hidden="1"/>
    </xf>
    <xf numFmtId="1" fontId="2" fillId="0" borderId="13" xfId="0" applyNumberFormat="1" applyFont="1" applyFill="1" applyBorder="1" applyAlignment="1" applyProtection="1">
      <alignment horizontal="left" vertical="center" wrapText="1"/>
      <protection hidden="1"/>
    </xf>
    <xf numFmtId="9" fontId="2" fillId="0" borderId="13" xfId="6" applyFont="1" applyFill="1" applyBorder="1" applyAlignment="1" applyProtection="1">
      <alignment horizontal="center" vertical="center" wrapText="1"/>
      <protection hidden="1"/>
    </xf>
    <xf numFmtId="49" fontId="3" fillId="0" borderId="0" xfId="0" applyNumberFormat="1" applyFont="1" applyFill="1" applyAlignment="1" applyProtection="1">
      <alignment horizontal="left" vertical="center" wrapText="1"/>
      <protection hidden="1"/>
    </xf>
    <xf numFmtId="49" fontId="2" fillId="0" borderId="0" xfId="0" applyNumberFormat="1" applyFont="1" applyFill="1" applyAlignment="1" applyProtection="1">
      <alignment horizontal="left" vertical="center" wrapText="1"/>
      <protection hidden="1"/>
    </xf>
    <xf numFmtId="49" fontId="2" fillId="0" borderId="0" xfId="0" applyNumberFormat="1" applyFont="1" applyFill="1" applyAlignment="1" applyProtection="1">
      <alignment horizontal="right" vertical="center" wrapText="1"/>
      <protection hidden="1"/>
    </xf>
    <xf numFmtId="0" fontId="5" fillId="0" borderId="0" xfId="0" applyNumberFormat="1" applyFont="1" applyAlignment="1">
      <alignment horizontal="center"/>
    </xf>
    <xf numFmtId="39" fontId="4" fillId="0" borderId="13" xfId="2" applyNumberFormat="1" applyFont="1" applyFill="1" applyBorder="1" applyAlignment="1" applyProtection="1">
      <alignment horizontal="center" vertical="center" wrapText="1"/>
      <protection hidden="1"/>
    </xf>
    <xf numFmtId="37" fontId="4" fillId="0" borderId="13" xfId="2" applyNumberFormat="1" applyFont="1" applyFill="1" applyBorder="1" applyAlignment="1" applyProtection="1">
      <alignment horizontal="center" vertical="center" wrapText="1"/>
      <protection hidden="1"/>
    </xf>
    <xf numFmtId="1" fontId="3" fillId="0" borderId="13" xfId="0" applyNumberFormat="1" applyFont="1" applyBorder="1" applyAlignment="1" applyProtection="1">
      <alignment horizontal="right" vertical="center" wrapText="1"/>
      <protection locked="0" hidden="1"/>
    </xf>
    <xf numFmtId="180" fontId="2" fillId="4" borderId="10" xfId="0" applyNumberFormat="1" applyFont="1" applyFill="1" applyBorder="1" applyAlignment="1" applyProtection="1">
      <alignment horizontal="center" vertical="center" wrapText="1"/>
      <protection hidden="1"/>
    </xf>
    <xf numFmtId="1" fontId="13" fillId="0" borderId="0" xfId="0" applyNumberFormat="1" applyFont="1" applyFill="1" applyBorder="1" applyAlignment="1" applyProtection="1">
      <alignment horizontal="center"/>
      <protection hidden="1"/>
    </xf>
    <xf numFmtId="37" fontId="2" fillId="0" borderId="0" xfId="0" applyNumberFormat="1" applyFont="1" applyFill="1" applyAlignment="1" applyProtection="1">
      <alignment vertical="center" wrapText="1"/>
      <protection hidden="1"/>
    </xf>
    <xf numFmtId="179" fontId="2" fillId="0" borderId="0" xfId="0" applyNumberFormat="1" applyFont="1" applyFill="1" applyBorder="1" applyAlignment="1" applyProtection="1">
      <alignment horizontal="center" vertical="center" wrapText="1"/>
      <protection hidden="1"/>
    </xf>
    <xf numFmtId="0" fontId="54" fillId="0" borderId="0" xfId="0" applyFont="1" applyAlignment="1">
      <alignment horizontal="left"/>
    </xf>
    <xf numFmtId="0" fontId="54" fillId="0" borderId="0" xfId="0" applyFont="1" applyAlignment="1">
      <alignment horizontal="center"/>
    </xf>
    <xf numFmtId="0" fontId="56" fillId="0" borderId="44" xfId="0" applyFont="1" applyBorder="1" applyAlignment="1">
      <alignment horizontal="center"/>
    </xf>
    <xf numFmtId="0" fontId="56" fillId="0" borderId="45" xfId="0" applyFont="1" applyBorder="1" applyAlignment="1">
      <alignment horizontal="center"/>
    </xf>
    <xf numFmtId="0" fontId="56" fillId="0" borderId="46" xfId="0" applyFont="1" applyBorder="1" applyAlignment="1">
      <alignment horizontal="center" vertical="center"/>
    </xf>
    <xf numFmtId="0" fontId="56" fillId="0" borderId="47" xfId="0" applyFont="1" applyBorder="1" applyAlignment="1">
      <alignment horizontal="center" vertical="center"/>
    </xf>
    <xf numFmtId="0" fontId="56" fillId="0" borderId="46" xfId="0" applyFont="1" applyBorder="1" applyAlignment="1">
      <alignment horizontal="centerContinuous" vertical="center"/>
    </xf>
    <xf numFmtId="0" fontId="56" fillId="0" borderId="47" xfId="0" applyFont="1" applyBorder="1" applyAlignment="1">
      <alignment horizontal="centerContinuous" vertical="center"/>
    </xf>
    <xf numFmtId="0" fontId="56" fillId="0" borderId="48" xfId="0" applyFont="1" applyBorder="1" applyAlignment="1">
      <alignment horizontal="center"/>
    </xf>
    <xf numFmtId="0" fontId="56" fillId="0" borderId="49" xfId="0" applyFont="1" applyBorder="1" applyAlignment="1">
      <alignment horizontal="center"/>
    </xf>
    <xf numFmtId="0" fontId="56" fillId="0" borderId="30" xfId="0" applyFont="1" applyBorder="1" applyAlignment="1">
      <alignment horizontal="center"/>
    </xf>
    <xf numFmtId="0" fontId="56" fillId="0" borderId="5" xfId="0" applyFont="1" applyBorder="1" applyAlignment="1">
      <alignment horizontal="centerContinuous" vertical="center"/>
    </xf>
    <xf numFmtId="0" fontId="56" fillId="0" borderId="11" xfId="0" applyFont="1" applyBorder="1" applyAlignment="1">
      <alignment horizontal="centerContinuous" vertical="center"/>
    </xf>
    <xf numFmtId="0" fontId="56" fillId="0" borderId="5" xfId="0" applyFont="1" applyBorder="1" applyAlignment="1">
      <alignment horizontal="center"/>
    </xf>
    <xf numFmtId="0" fontId="56" fillId="0" borderId="11" xfId="0" applyFont="1" applyBorder="1" applyAlignment="1">
      <alignment horizontal="center"/>
    </xf>
    <xf numFmtId="0" fontId="56" fillId="0" borderId="30" xfId="0" quotePrefix="1" applyFont="1" applyBorder="1" applyAlignment="1">
      <alignment horizontal="center"/>
    </xf>
    <xf numFmtId="0" fontId="56" fillId="0" borderId="50" xfId="0" applyFont="1" applyBorder="1" applyAlignment="1">
      <alignment horizontal="center"/>
    </xf>
    <xf numFmtId="0" fontId="54" fillId="0" borderId="0" xfId="0" applyFont="1" applyAlignment="1">
      <alignment horizontal="center" vertical="center" wrapText="1"/>
    </xf>
    <xf numFmtId="0" fontId="56" fillId="0" borderId="49" xfId="0" applyFont="1" applyBorder="1" applyAlignment="1">
      <alignment horizontal="center" vertical="center" wrapText="1"/>
    </xf>
    <xf numFmtId="0" fontId="56" fillId="0" borderId="30" xfId="0" applyFont="1" applyBorder="1" applyAlignment="1">
      <alignment horizontal="center" vertical="center" wrapText="1"/>
    </xf>
    <xf numFmtId="0" fontId="56" fillId="0" borderId="5" xfId="0" applyFont="1" applyBorder="1" applyAlignment="1">
      <alignment horizontal="center" vertical="center" wrapText="1"/>
    </xf>
    <xf numFmtId="0" fontId="56" fillId="0" borderId="11" xfId="0" applyFont="1" applyBorder="1" applyAlignment="1">
      <alignment horizontal="center" vertical="center" wrapText="1"/>
    </xf>
    <xf numFmtId="0" fontId="56" fillId="0" borderId="50" xfId="0" applyFont="1" applyBorder="1" applyAlignment="1">
      <alignment horizontal="center" vertical="center" wrapText="1"/>
    </xf>
    <xf numFmtId="0" fontId="25" fillId="0" borderId="51" xfId="0" applyFont="1" applyBorder="1" applyAlignment="1">
      <alignment horizontal="center"/>
    </xf>
    <xf numFmtId="0" fontId="25" fillId="0" borderId="52" xfId="0" applyFont="1" applyBorder="1" applyAlignment="1">
      <alignment horizontal="center"/>
    </xf>
    <xf numFmtId="4" fontId="25" fillId="0" borderId="52" xfId="0" applyNumberFormat="1" applyFont="1" applyBorder="1" applyAlignment="1">
      <alignment horizontal="center"/>
    </xf>
    <xf numFmtId="3" fontId="25" fillId="0" borderId="52" xfId="0" applyNumberFormat="1" applyFont="1" applyBorder="1" applyAlignment="1">
      <alignment horizontal="center"/>
    </xf>
    <xf numFmtId="42" fontId="25" fillId="0" borderId="53" xfId="0" applyNumberFormat="1" applyFont="1" applyBorder="1" applyAlignment="1">
      <alignment horizontal="center"/>
    </xf>
    <xf numFmtId="0" fontId="25" fillId="0" borderId="54" xfId="0" applyFont="1" applyBorder="1" applyAlignment="1">
      <alignment horizontal="center"/>
    </xf>
    <xf numFmtId="0" fontId="25" fillId="0" borderId="13" xfId="0" applyFont="1" applyBorder="1" applyAlignment="1">
      <alignment horizontal="center"/>
    </xf>
    <xf numFmtId="4" fontId="25" fillId="0" borderId="13" xfId="0" applyNumberFormat="1" applyFont="1" applyBorder="1" applyAlignment="1">
      <alignment horizontal="center"/>
    </xf>
    <xf numFmtId="3" fontId="25" fillId="0" borderId="13" xfId="0" applyNumberFormat="1" applyFont="1" applyBorder="1" applyAlignment="1">
      <alignment horizontal="center"/>
    </xf>
    <xf numFmtId="42" fontId="25" fillId="0" borderId="43" xfId="0" applyNumberFormat="1" applyFont="1" applyBorder="1" applyAlignment="1">
      <alignment horizontal="center"/>
    </xf>
    <xf numFmtId="0" fontId="25" fillId="0" borderId="13" xfId="0" quotePrefix="1" applyFont="1" applyBorder="1" applyAlignment="1">
      <alignment horizontal="center"/>
    </xf>
    <xf numFmtId="0" fontId="25" fillId="0" borderId="54" xfId="0" applyFont="1" applyFill="1" applyBorder="1" applyAlignment="1">
      <alignment horizontal="center"/>
    </xf>
    <xf numFmtId="0" fontId="25" fillId="0" borderId="13" xfId="0" applyFont="1" applyFill="1" applyBorder="1" applyAlignment="1">
      <alignment horizontal="center"/>
    </xf>
    <xf numFmtId="0" fontId="21" fillId="0" borderId="13" xfId="0" applyFont="1" applyFill="1" applyBorder="1" applyAlignment="1">
      <alignment horizontal="center"/>
    </xf>
    <xf numFmtId="0" fontId="25" fillId="0" borderId="43" xfId="0" applyFont="1" applyBorder="1" applyAlignment="1">
      <alignment horizontal="center"/>
    </xf>
    <xf numFmtId="42" fontId="25" fillId="0" borderId="55" xfId="0" applyNumberFormat="1" applyFont="1" applyBorder="1" applyAlignment="1">
      <alignment horizontal="center"/>
    </xf>
    <xf numFmtId="0" fontId="25" fillId="0" borderId="56" xfId="0" applyFont="1" applyBorder="1" applyAlignment="1">
      <alignment horizontal="center"/>
    </xf>
    <xf numFmtId="0" fontId="25" fillId="0" borderId="57" xfId="0" applyFont="1" applyBorder="1" applyAlignment="1">
      <alignment horizontal="center"/>
    </xf>
    <xf numFmtId="4" fontId="25" fillId="0" borderId="57" xfId="0" applyNumberFormat="1" applyFont="1" applyBorder="1" applyAlignment="1">
      <alignment horizontal="center"/>
    </xf>
    <xf numFmtId="3" fontId="25" fillId="0" borderId="57" xfId="0" applyNumberFormat="1" applyFont="1" applyBorder="1" applyAlignment="1">
      <alignment horizontal="center"/>
    </xf>
    <xf numFmtId="42" fontId="25" fillId="0" borderId="58" xfId="0" applyNumberFormat="1" applyFont="1" applyBorder="1" applyAlignment="1">
      <alignment horizontal="center"/>
    </xf>
    <xf numFmtId="0" fontId="0" fillId="0" borderId="0" xfId="0" applyFill="1" applyAlignment="1">
      <alignment horizontal="center"/>
    </xf>
    <xf numFmtId="0" fontId="25" fillId="0" borderId="51" xfId="0" quotePrefix="1" applyFont="1" applyFill="1" applyBorder="1" applyAlignment="1">
      <alignment horizontal="center"/>
    </xf>
    <xf numFmtId="0" fontId="25" fillId="0" borderId="52" xfId="0" applyFont="1" applyFill="1" applyBorder="1" applyAlignment="1">
      <alignment horizontal="center"/>
    </xf>
    <xf numFmtId="3" fontId="25" fillId="0" borderId="13" xfId="0" applyNumberFormat="1" applyFont="1" applyFill="1" applyBorder="1" applyAlignment="1">
      <alignment horizontal="center"/>
    </xf>
    <xf numFmtId="0" fontId="25" fillId="0" borderId="43" xfId="0" applyFont="1" applyFill="1" applyBorder="1" applyAlignment="1">
      <alignment horizontal="center"/>
    </xf>
    <xf numFmtId="0" fontId="57" fillId="0" borderId="13" xfId="0" applyFont="1" applyBorder="1" applyAlignment="1">
      <alignment horizontal="center"/>
    </xf>
    <xf numFmtId="0" fontId="25" fillId="0" borderId="59" xfId="0" applyFont="1" applyBorder="1" applyAlignment="1">
      <alignment horizontal="center"/>
    </xf>
    <xf numFmtId="0" fontId="25" fillId="0" borderId="9" xfId="0" applyFont="1" applyBorder="1" applyAlignment="1">
      <alignment horizontal="center"/>
    </xf>
    <xf numFmtId="4" fontId="25" fillId="0" borderId="9" xfId="0" applyNumberFormat="1" applyFont="1" applyBorder="1" applyAlignment="1">
      <alignment horizontal="center"/>
    </xf>
    <xf numFmtId="3" fontId="25" fillId="0" borderId="9" xfId="0" applyNumberFormat="1" applyFont="1" applyBorder="1" applyAlignment="1">
      <alignment horizontal="center"/>
    </xf>
    <xf numFmtId="0" fontId="21" fillId="0" borderId="13" xfId="0" applyFont="1" applyBorder="1" applyAlignment="1">
      <alignment horizontal="center"/>
    </xf>
    <xf numFmtId="0" fontId="25" fillId="0" borderId="53" xfId="0" applyFont="1" applyBorder="1" applyAlignment="1">
      <alignment horizontal="center"/>
    </xf>
    <xf numFmtId="0" fontId="25" fillId="0" borderId="58" xfId="0" applyFont="1" applyBorder="1" applyAlignment="1">
      <alignment horizontal="center"/>
    </xf>
    <xf numFmtId="0" fontId="56" fillId="0" borderId="46" xfId="0" applyFont="1" applyBorder="1" applyAlignment="1">
      <alignment horizontal="center"/>
    </xf>
    <xf numFmtId="0" fontId="56" fillId="0" borderId="17" xfId="0" applyFont="1" applyBorder="1" applyAlignment="1">
      <alignment horizontal="center"/>
    </xf>
    <xf numFmtId="0" fontId="56" fillId="0" borderId="60" xfId="0" applyFont="1" applyBorder="1" applyAlignment="1">
      <alignment horizontal="center"/>
    </xf>
    <xf numFmtId="0" fontId="56" fillId="0" borderId="0" xfId="0" applyFont="1" applyBorder="1" applyAlignment="1">
      <alignment horizontal="center"/>
    </xf>
    <xf numFmtId="0" fontId="56" fillId="0" borderId="61" xfId="0" applyFont="1" applyBorder="1" applyAlignment="1">
      <alignment horizontal="center"/>
    </xf>
    <xf numFmtId="0" fontId="56" fillId="0" borderId="62" xfId="0" applyFont="1" applyBorder="1" applyAlignment="1">
      <alignment horizontal="center" vertical="center" wrapText="1"/>
    </xf>
    <xf numFmtId="0" fontId="56" fillId="0" borderId="63" xfId="0" applyFont="1" applyBorder="1" applyAlignment="1">
      <alignment horizontal="center" vertical="center" wrapText="1"/>
    </xf>
    <xf numFmtId="0" fontId="56" fillId="0" borderId="24" xfId="0" applyFont="1" applyBorder="1" applyAlignment="1">
      <alignment horizontal="center" vertical="center" wrapText="1"/>
    </xf>
    <xf numFmtId="0" fontId="56" fillId="0" borderId="1" xfId="0" applyFont="1" applyBorder="1" applyAlignment="1">
      <alignment horizontal="center" vertical="center" wrapText="1"/>
    </xf>
    <xf numFmtId="0" fontId="56" fillId="0" borderId="64" xfId="0" applyFont="1" applyBorder="1" applyAlignment="1">
      <alignment horizontal="center" vertical="center" wrapText="1"/>
    </xf>
    <xf numFmtId="0" fontId="25" fillId="0" borderId="17" xfId="0" applyFont="1" applyBorder="1" applyAlignment="1">
      <alignment horizontal="center"/>
    </xf>
    <xf numFmtId="44" fontId="2" fillId="0" borderId="18" xfId="2" applyFont="1" applyBorder="1" applyAlignment="1">
      <alignment horizontal="center"/>
    </xf>
    <xf numFmtId="0" fontId="25" fillId="0" borderId="10" xfId="0" applyFont="1" applyBorder="1" applyAlignment="1">
      <alignment horizontal="center"/>
    </xf>
    <xf numFmtId="3" fontId="25" fillId="0" borderId="10" xfId="0" applyNumberFormat="1" applyFont="1" applyBorder="1" applyAlignment="1">
      <alignment horizontal="center"/>
    </xf>
    <xf numFmtId="0" fontId="25" fillId="0" borderId="0" xfId="0" applyFont="1" applyBorder="1" applyAlignment="1">
      <alignment horizontal="center"/>
    </xf>
    <xf numFmtId="44" fontId="2" fillId="0" borderId="19" xfId="2" applyFont="1" applyBorder="1" applyAlignment="1">
      <alignment horizontal="center"/>
    </xf>
    <xf numFmtId="4" fontId="25" fillId="0" borderId="13" xfId="0" applyNumberFormat="1" applyFont="1" applyFill="1" applyBorder="1" applyAlignment="1">
      <alignment horizontal="center"/>
    </xf>
    <xf numFmtId="0" fontId="25" fillId="0" borderId="32" xfId="0" applyFont="1" applyFill="1" applyBorder="1" applyAlignment="1">
      <alignment horizontal="center"/>
    </xf>
    <xf numFmtId="0" fontId="21" fillId="0" borderId="32" xfId="0" applyFont="1" applyFill="1" applyBorder="1" applyAlignment="1">
      <alignment horizontal="center"/>
    </xf>
    <xf numFmtId="0" fontId="25" fillId="0" borderId="32" xfId="0" applyFont="1" applyBorder="1" applyAlignment="1">
      <alignment horizontal="center"/>
    </xf>
    <xf numFmtId="0" fontId="25" fillId="0" borderId="65" xfId="0" applyFont="1" applyBorder="1" applyAlignment="1">
      <alignment horizontal="center"/>
    </xf>
    <xf numFmtId="49" fontId="58" fillId="0" borderId="0" xfId="0" applyNumberFormat="1" applyFont="1" applyAlignment="1" applyProtection="1">
      <alignment horizontal="center"/>
    </xf>
    <xf numFmtId="0" fontId="58" fillId="0" borderId="0" xfId="0" applyFont="1" applyAlignment="1" applyProtection="1">
      <alignment horizontal="center"/>
    </xf>
    <xf numFmtId="0" fontId="56" fillId="0" borderId="0" xfId="0" applyFont="1" applyAlignment="1">
      <alignment horizontal="center"/>
    </xf>
    <xf numFmtId="0" fontId="58" fillId="0" borderId="0" xfId="0" applyFont="1" applyAlignment="1">
      <alignment horizontal="center"/>
    </xf>
    <xf numFmtId="0" fontId="56" fillId="0" borderId="6" xfId="0" applyFont="1" applyBorder="1" applyAlignment="1">
      <alignment horizontal="center"/>
    </xf>
    <xf numFmtId="0" fontId="58" fillId="0" borderId="6" xfId="0" applyFont="1" applyBorder="1" applyAlignment="1" applyProtection="1">
      <alignment horizontal="center"/>
    </xf>
    <xf numFmtId="0" fontId="58" fillId="0" borderId="6" xfId="0" applyFont="1" applyBorder="1" applyAlignment="1">
      <alignment horizontal="center"/>
    </xf>
    <xf numFmtId="2" fontId="58" fillId="0" borderId="0" xfId="0" applyNumberFormat="1" applyFont="1" applyAlignment="1" applyProtection="1">
      <alignment horizontal="center"/>
    </xf>
    <xf numFmtId="0" fontId="54" fillId="0" borderId="0" xfId="0" applyFont="1"/>
    <xf numFmtId="0" fontId="58" fillId="0" borderId="0" xfId="0" quotePrefix="1" applyFont="1" applyBorder="1" applyAlignment="1" applyProtection="1">
      <alignment horizontal="center"/>
    </xf>
    <xf numFmtId="2" fontId="58" fillId="0" borderId="0" xfId="0" applyNumberFormat="1" applyFont="1" applyBorder="1" applyAlignment="1" applyProtection="1">
      <alignment horizontal="center"/>
    </xf>
    <xf numFmtId="0" fontId="4" fillId="0" borderId="0" xfId="0" applyFont="1" applyAlignment="1">
      <alignment horizontal="center"/>
    </xf>
    <xf numFmtId="49" fontId="58" fillId="0" borderId="6" xfId="0" applyNumberFormat="1" applyFont="1" applyBorder="1" applyAlignment="1" applyProtection="1">
      <alignment horizontal="center"/>
    </xf>
    <xf numFmtId="0" fontId="58" fillId="0" borderId="6" xfId="0" quotePrefix="1" applyFont="1" applyBorder="1" applyAlignment="1" applyProtection="1">
      <alignment horizontal="center"/>
    </xf>
    <xf numFmtId="0" fontId="4" fillId="0" borderId="6" xfId="0" applyFont="1" applyBorder="1" applyAlignment="1">
      <alignment horizontal="center"/>
    </xf>
    <xf numFmtId="2" fontId="4" fillId="0" borderId="6" xfId="0" applyNumberFormat="1" applyFont="1" applyBorder="1" applyAlignment="1">
      <alignment horizontal="center"/>
    </xf>
    <xf numFmtId="0" fontId="22" fillId="0" borderId="0" xfId="0" applyFont="1" applyFill="1" applyAlignment="1">
      <alignment horizontal="center"/>
    </xf>
    <xf numFmtId="0" fontId="21" fillId="0" borderId="0" xfId="0" applyFont="1" applyAlignment="1">
      <alignment horizontal="center" shrinkToFit="1"/>
    </xf>
    <xf numFmtId="0" fontId="21" fillId="0" borderId="0" xfId="0" applyFont="1" applyFill="1" applyAlignment="1">
      <alignment horizontal="center" shrinkToFit="1"/>
    </xf>
    <xf numFmtId="0" fontId="2" fillId="0" borderId="0" xfId="0" applyFont="1" applyFill="1" applyAlignment="1">
      <alignment horizontal="center"/>
    </xf>
    <xf numFmtId="0" fontId="58" fillId="0" borderId="0" xfId="0" applyFont="1" applyFill="1" applyAlignment="1" applyProtection="1">
      <alignment horizontal="center"/>
    </xf>
    <xf numFmtId="0" fontId="58" fillId="0" borderId="0" xfId="0" applyFont="1" applyFill="1" applyBorder="1" applyAlignment="1" applyProtection="1">
      <alignment horizontal="center"/>
    </xf>
    <xf numFmtId="0" fontId="4" fillId="0" borderId="6" xfId="0" applyFont="1" applyFill="1" applyBorder="1" applyAlignment="1">
      <alignment horizontal="center"/>
    </xf>
    <xf numFmtId="0" fontId="28" fillId="0" borderId="0" xfId="0" applyFont="1" applyFill="1" applyAlignment="1">
      <alignment horizontal="center"/>
    </xf>
    <xf numFmtId="0" fontId="56" fillId="0" borderId="0" xfId="0" applyFont="1" applyFill="1" applyAlignment="1">
      <alignment horizontal="center"/>
    </xf>
    <xf numFmtId="0" fontId="58" fillId="0" borderId="0" xfId="0" applyFont="1" applyFill="1" applyAlignment="1">
      <alignment horizontal="center"/>
    </xf>
    <xf numFmtId="0" fontId="58" fillId="0" borderId="6" xfId="0" applyFont="1" applyFill="1" applyBorder="1" applyAlignment="1" applyProtection="1">
      <alignment horizontal="center"/>
    </xf>
    <xf numFmtId="49" fontId="22" fillId="0" borderId="13" xfId="0" applyNumberFormat="1" applyFont="1" applyFill="1" applyBorder="1" applyAlignment="1">
      <alignment horizontal="center"/>
    </xf>
    <xf numFmtId="0" fontId="22" fillId="0" borderId="13" xfId="0" applyFont="1" applyFill="1" applyBorder="1" applyAlignment="1">
      <alignment horizontal="left"/>
    </xf>
    <xf numFmtId="0" fontId="22" fillId="0" borderId="13" xfId="0" applyNumberFormat="1" applyFont="1" applyFill="1" applyBorder="1" applyAlignment="1">
      <alignment horizontal="left"/>
    </xf>
    <xf numFmtId="2" fontId="22" fillId="0" borderId="13" xfId="0" applyNumberFormat="1" applyFont="1" applyFill="1" applyBorder="1" applyAlignment="1">
      <alignment horizontal="left"/>
    </xf>
    <xf numFmtId="0" fontId="22" fillId="0" borderId="13" xfId="0" applyFont="1" applyFill="1" applyBorder="1" applyAlignment="1">
      <alignment horizontal="center"/>
    </xf>
    <xf numFmtId="0" fontId="22" fillId="0" borderId="13" xfId="0" quotePrefix="1" applyFont="1" applyFill="1" applyBorder="1" applyAlignment="1">
      <alignment horizontal="left"/>
    </xf>
    <xf numFmtId="2" fontId="22" fillId="0" borderId="13" xfId="0" quotePrefix="1" applyNumberFormat="1" applyFont="1" applyFill="1" applyBorder="1" applyAlignment="1">
      <alignment horizontal="left"/>
    </xf>
    <xf numFmtId="49" fontId="33" fillId="0" borderId="13" xfId="0" applyNumberFormat="1" applyFont="1" applyBorder="1" applyAlignment="1" applyProtection="1">
      <alignment horizontal="center"/>
    </xf>
    <xf numFmtId="0" fontId="33" fillId="0" borderId="13" xfId="0" applyFont="1" applyBorder="1" applyAlignment="1" applyProtection="1">
      <alignment horizontal="left"/>
    </xf>
    <xf numFmtId="0" fontId="33" fillId="0" borderId="13" xfId="0" applyFont="1" applyFill="1" applyBorder="1" applyAlignment="1" applyProtection="1">
      <alignment horizontal="left"/>
    </xf>
    <xf numFmtId="2" fontId="33" fillId="0" borderId="13" xfId="0" applyNumberFormat="1" applyFont="1" applyBorder="1" applyAlignment="1" applyProtection="1">
      <alignment horizontal="left"/>
    </xf>
    <xf numFmtId="0" fontId="33" fillId="0" borderId="13" xfId="0" applyFont="1" applyBorder="1" applyAlignment="1" applyProtection="1">
      <alignment horizontal="center"/>
    </xf>
    <xf numFmtId="1" fontId="33" fillId="0" borderId="13" xfId="0" quotePrefix="1" applyNumberFormat="1" applyFont="1" applyBorder="1" applyAlignment="1" applyProtection="1">
      <alignment horizontal="left"/>
    </xf>
    <xf numFmtId="2" fontId="33" fillId="0" borderId="13" xfId="0" quotePrefix="1" applyNumberFormat="1" applyFont="1" applyBorder="1" applyAlignment="1" applyProtection="1">
      <alignment horizontal="left"/>
    </xf>
    <xf numFmtId="0" fontId="33" fillId="0" borderId="13" xfId="0" quotePrefix="1" applyFont="1" applyBorder="1" applyAlignment="1" applyProtection="1">
      <alignment horizontal="left"/>
    </xf>
    <xf numFmtId="0" fontId="22" fillId="0" borderId="13" xfId="0" applyFont="1" applyBorder="1"/>
    <xf numFmtId="1" fontId="22" fillId="0" borderId="13" xfId="0" applyNumberFormat="1" applyFont="1" applyFill="1" applyBorder="1" applyAlignment="1">
      <alignment horizontal="left"/>
    </xf>
    <xf numFmtId="0" fontId="33" fillId="0" borderId="13" xfId="0" quotePrefix="1" applyFont="1" applyBorder="1" applyAlignment="1" applyProtection="1">
      <alignment horizontal="center"/>
    </xf>
    <xf numFmtId="0" fontId="22" fillId="0" borderId="13" xfId="0" applyFont="1" applyBorder="1" applyAlignment="1">
      <alignment horizontal="left"/>
    </xf>
    <xf numFmtId="0" fontId="33" fillId="0" borderId="13" xfId="0" applyFont="1" applyBorder="1" applyAlignment="1">
      <alignment horizontal="left"/>
    </xf>
    <xf numFmtId="0" fontId="33" fillId="0" borderId="13" xfId="0" applyNumberFormat="1" applyFont="1" applyBorder="1" applyAlignment="1" applyProtection="1">
      <alignment horizontal="left"/>
    </xf>
    <xf numFmtId="0" fontId="22" fillId="0" borderId="13" xfId="0" quotePrefix="1" applyFont="1" applyBorder="1" applyAlignment="1">
      <alignment horizontal="left"/>
    </xf>
    <xf numFmtId="2" fontId="33" fillId="0" borderId="13" xfId="0" applyNumberFormat="1" applyFont="1" applyFill="1" applyBorder="1" applyAlignment="1" applyProtection="1">
      <alignment horizontal="left"/>
    </xf>
    <xf numFmtId="1" fontId="33" fillId="0" borderId="13" xfId="0" applyNumberFormat="1" applyFont="1" applyBorder="1" applyAlignment="1" applyProtection="1">
      <alignment horizontal="left"/>
    </xf>
    <xf numFmtId="0" fontId="33" fillId="0" borderId="13" xfId="0" quotePrefix="1" applyFont="1" applyFill="1" applyBorder="1" applyAlignment="1" applyProtection="1">
      <alignment horizontal="left"/>
    </xf>
    <xf numFmtId="0" fontId="33" fillId="5" borderId="13" xfId="0" applyFont="1" applyFill="1" applyBorder="1" applyAlignment="1" applyProtection="1">
      <alignment horizontal="left"/>
    </xf>
    <xf numFmtId="0" fontId="33" fillId="0" borderId="13" xfId="0" applyFont="1" applyFill="1" applyBorder="1" applyAlignment="1">
      <alignment horizontal="left"/>
    </xf>
    <xf numFmtId="210" fontId="33" fillId="0" borderId="13" xfId="0" quotePrefix="1" applyNumberFormat="1" applyFont="1" applyFill="1" applyBorder="1" applyAlignment="1" applyProtection="1">
      <alignment horizontal="left"/>
    </xf>
    <xf numFmtId="49" fontId="33" fillId="0" borderId="13" xfId="0" applyNumberFormat="1" applyFont="1" applyFill="1" applyBorder="1" applyAlignment="1">
      <alignment horizontal="center"/>
    </xf>
    <xf numFmtId="0" fontId="33" fillId="0" borderId="13" xfId="0" quotePrefix="1" applyFont="1" applyFill="1" applyBorder="1" applyAlignment="1">
      <alignment horizontal="left"/>
    </xf>
    <xf numFmtId="164" fontId="33" fillId="0" borderId="13" xfId="0" quotePrefix="1" applyNumberFormat="1" applyFont="1" applyFill="1" applyBorder="1" applyAlignment="1">
      <alignment horizontal="left"/>
    </xf>
    <xf numFmtId="2" fontId="33" fillId="0" borderId="13" xfId="0" quotePrefix="1" applyNumberFormat="1" applyFont="1" applyFill="1" applyBorder="1" applyAlignment="1">
      <alignment horizontal="left"/>
    </xf>
    <xf numFmtId="0" fontId="33" fillId="0" borderId="13" xfId="0" quotePrefix="1" applyFont="1" applyFill="1" applyBorder="1" applyAlignment="1">
      <alignment horizontal="center"/>
    </xf>
    <xf numFmtId="1" fontId="33" fillId="0" borderId="13" xfId="0" quotePrefix="1" applyNumberFormat="1" applyFont="1" applyFill="1" applyBorder="1" applyAlignment="1">
      <alignment horizontal="left"/>
    </xf>
    <xf numFmtId="0" fontId="33" fillId="0" borderId="13" xfId="0" applyFont="1" applyFill="1" applyBorder="1" applyAlignment="1" applyProtection="1">
      <alignment horizontal="center"/>
    </xf>
    <xf numFmtId="49" fontId="33" fillId="0" borderId="13" xfId="0" applyNumberFormat="1" applyFont="1" applyBorder="1" applyAlignment="1">
      <alignment horizontal="center"/>
    </xf>
    <xf numFmtId="0" fontId="33" fillId="0" borderId="13" xfId="0" quotePrefix="1" applyFont="1" applyBorder="1" applyAlignment="1">
      <alignment horizontal="left"/>
    </xf>
    <xf numFmtId="164" fontId="33" fillId="0" borderId="13" xfId="0" applyNumberFormat="1" applyFont="1" applyFill="1" applyBorder="1" applyAlignment="1">
      <alignment horizontal="left"/>
    </xf>
    <xf numFmtId="2" fontId="33" fillId="0" borderId="13" xfId="0" quotePrefix="1" applyNumberFormat="1" applyFont="1" applyBorder="1" applyAlignment="1">
      <alignment horizontal="left"/>
    </xf>
    <xf numFmtId="0" fontId="33" fillId="0" borderId="13" xfId="0" applyFont="1" applyBorder="1" applyAlignment="1">
      <alignment horizontal="center"/>
    </xf>
    <xf numFmtId="1" fontId="33" fillId="0" borderId="13" xfId="0" quotePrefix="1" applyNumberFormat="1" applyFont="1" applyBorder="1" applyAlignment="1">
      <alignment horizontal="left"/>
    </xf>
    <xf numFmtId="49" fontId="2" fillId="0" borderId="13" xfId="0" applyNumberFormat="1" applyFont="1" applyBorder="1" applyAlignment="1">
      <alignment horizontal="center" shrinkToFit="1"/>
    </xf>
    <xf numFmtId="0" fontId="2" fillId="0" borderId="13" xfId="0" applyFont="1" applyBorder="1" applyAlignment="1">
      <alignment horizontal="left" shrinkToFit="1"/>
    </xf>
    <xf numFmtId="0" fontId="2" fillId="0" borderId="13" xfId="0" applyNumberFormat="1" applyFont="1" applyBorder="1" applyAlignment="1">
      <alignment horizontal="left" shrinkToFit="1"/>
    </xf>
    <xf numFmtId="0" fontId="2" fillId="0" borderId="13" xfId="0" applyFont="1" applyFill="1" applyBorder="1" applyAlignment="1">
      <alignment horizontal="left" shrinkToFit="1"/>
    </xf>
    <xf numFmtId="0" fontId="2" fillId="0" borderId="13" xfId="0" applyFont="1" applyFill="1" applyBorder="1" applyAlignment="1">
      <alignment horizontal="center" shrinkToFit="1"/>
    </xf>
    <xf numFmtId="2" fontId="2" fillId="0" borderId="13" xfId="0" applyNumberFormat="1" applyFont="1" applyBorder="1" applyAlignment="1">
      <alignment horizontal="left" shrinkToFit="1"/>
    </xf>
    <xf numFmtId="0" fontId="2" fillId="0" borderId="13" xfId="0" applyFont="1" applyBorder="1" applyAlignment="1">
      <alignment horizontal="center" shrinkToFit="1"/>
    </xf>
    <xf numFmtId="0" fontId="2" fillId="0" borderId="13" xfId="0" applyFont="1" applyBorder="1" applyAlignment="1">
      <alignment horizontal="center" wrapText="1" shrinkToFit="1"/>
    </xf>
    <xf numFmtId="49" fontId="22" fillId="0" borderId="13" xfId="0" applyNumberFormat="1" applyFont="1" applyBorder="1" applyAlignment="1">
      <alignment horizontal="center"/>
    </xf>
    <xf numFmtId="0" fontId="33" fillId="0" borderId="13" xfId="0" applyFont="1" applyFill="1" applyBorder="1" applyAlignment="1">
      <alignment horizontal="left" shrinkToFit="1"/>
    </xf>
    <xf numFmtId="0" fontId="22" fillId="0" borderId="13" xfId="0" applyNumberFormat="1" applyFont="1" applyBorder="1" applyAlignment="1">
      <alignment horizontal="left"/>
    </xf>
    <xf numFmtId="1" fontId="22" fillId="5" borderId="13" xfId="0" applyNumberFormat="1" applyFont="1" applyFill="1" applyBorder="1" applyAlignment="1">
      <alignment horizontal="left"/>
    </xf>
    <xf numFmtId="3" fontId="22" fillId="0" borderId="13" xfId="0" applyNumberFormat="1" applyFont="1" applyBorder="1" applyAlignment="1">
      <alignment horizontal="left"/>
    </xf>
    <xf numFmtId="0" fontId="22" fillId="0" borderId="13" xfId="0" applyFont="1" applyBorder="1" applyAlignment="1">
      <alignment horizontal="center"/>
    </xf>
    <xf numFmtId="16" fontId="22" fillId="0" borderId="13" xfId="0" applyNumberFormat="1" applyFont="1" applyBorder="1" applyAlignment="1">
      <alignment horizontal="left"/>
    </xf>
    <xf numFmtId="2" fontId="22" fillId="0" borderId="13" xfId="0" applyNumberFormat="1" applyFont="1" applyBorder="1" applyAlignment="1">
      <alignment horizontal="left"/>
    </xf>
    <xf numFmtId="49" fontId="2" fillId="0" borderId="13" xfId="0" applyNumberFormat="1" applyFont="1" applyFill="1" applyBorder="1" applyAlignment="1">
      <alignment horizontal="center" shrinkToFit="1"/>
    </xf>
    <xf numFmtId="0" fontId="2" fillId="0" borderId="13" xfId="0" quotePrefix="1" applyNumberFormat="1" applyFont="1" applyFill="1" applyBorder="1" applyAlignment="1">
      <alignment horizontal="left" shrinkToFit="1"/>
    </xf>
    <xf numFmtId="0" fontId="2" fillId="5" borderId="13" xfId="0" applyFont="1" applyFill="1" applyBorder="1" applyAlignment="1">
      <alignment horizontal="left" shrinkToFit="1"/>
    </xf>
    <xf numFmtId="1" fontId="2" fillId="0" borderId="13" xfId="0" applyNumberFormat="1" applyFont="1" applyFill="1" applyBorder="1" applyAlignment="1">
      <alignment horizontal="left" shrinkToFit="1"/>
    </xf>
    <xf numFmtId="2" fontId="2" fillId="0" borderId="13" xfId="0" applyNumberFormat="1" applyFont="1" applyFill="1" applyBorder="1" applyAlignment="1">
      <alignment horizontal="left" shrinkToFit="1"/>
    </xf>
    <xf numFmtId="0" fontId="2" fillId="0" borderId="13" xfId="0" applyFont="1" applyFill="1" applyBorder="1" applyAlignment="1">
      <alignment horizontal="left" wrapText="1" shrinkToFit="1"/>
    </xf>
    <xf numFmtId="164" fontId="33" fillId="0" borderId="13" xfId="0" quotePrefix="1" applyNumberFormat="1" applyFont="1" applyFill="1" applyBorder="1" applyAlignment="1" applyProtection="1">
      <alignment horizontal="left"/>
    </xf>
    <xf numFmtId="1" fontId="33" fillId="0" borderId="13" xfId="0" applyNumberFormat="1" applyFont="1" applyFill="1" applyBorder="1" applyAlignment="1" applyProtection="1">
      <alignment horizontal="left"/>
    </xf>
    <xf numFmtId="1" fontId="22" fillId="0" borderId="13" xfId="0" applyNumberFormat="1" applyFont="1" applyBorder="1" applyAlignment="1">
      <alignment horizontal="left"/>
    </xf>
    <xf numFmtId="2" fontId="22" fillId="0" borderId="13" xfId="0" quotePrefix="1" applyNumberFormat="1" applyFont="1" applyBorder="1" applyAlignment="1">
      <alignment horizontal="left"/>
    </xf>
    <xf numFmtId="2" fontId="33" fillId="0" borderId="13" xfId="0" quotePrefix="1" applyNumberFormat="1" applyFont="1" applyFill="1" applyBorder="1" applyAlignment="1" applyProtection="1">
      <alignment horizontal="left"/>
    </xf>
    <xf numFmtId="3" fontId="33" fillId="0" borderId="13" xfId="0" applyNumberFormat="1" applyFont="1" applyBorder="1" applyAlignment="1" applyProtection="1">
      <alignment horizontal="left"/>
    </xf>
    <xf numFmtId="211" fontId="33" fillId="0" borderId="13" xfId="0" quotePrefix="1" applyNumberFormat="1" applyFont="1" applyFill="1" applyBorder="1" applyAlignment="1" applyProtection="1">
      <alignment horizontal="left"/>
    </xf>
    <xf numFmtId="0" fontId="33" fillId="0" borderId="13" xfId="0" quotePrefix="1" applyFont="1" applyBorder="1" applyAlignment="1">
      <alignment horizontal="center"/>
    </xf>
    <xf numFmtId="49" fontId="2" fillId="0" borderId="13" xfId="0" applyNumberFormat="1" applyFont="1" applyBorder="1" applyAlignment="1" applyProtection="1">
      <alignment horizontal="center"/>
    </xf>
    <xf numFmtId="0" fontId="2" fillId="0" borderId="13" xfId="0" applyFont="1" applyBorder="1" applyAlignment="1" applyProtection="1">
      <alignment horizontal="left"/>
    </xf>
    <xf numFmtId="164" fontId="2" fillId="0" borderId="13" xfId="0" quotePrefix="1" applyNumberFormat="1" applyFont="1" applyFill="1" applyBorder="1" applyAlignment="1" applyProtection="1">
      <alignment horizontal="left"/>
    </xf>
    <xf numFmtId="2" fontId="2" fillId="0" borderId="13" xfId="0" applyNumberFormat="1" applyFont="1" applyBorder="1" applyAlignment="1" applyProtection="1">
      <alignment horizontal="left"/>
    </xf>
    <xf numFmtId="0" fontId="2" fillId="0" borderId="13" xfId="0" applyFont="1" applyBorder="1" applyAlignment="1" applyProtection="1">
      <alignment horizontal="center"/>
    </xf>
    <xf numFmtId="1" fontId="2" fillId="0" borderId="13" xfId="0" quotePrefix="1" applyNumberFormat="1" applyFont="1" applyBorder="1" applyAlignment="1" applyProtection="1">
      <alignment horizontal="left"/>
    </xf>
    <xf numFmtId="2" fontId="2" fillId="0" borderId="13" xfId="0" quotePrefix="1" applyNumberFormat="1" applyFont="1" applyBorder="1" applyAlignment="1" applyProtection="1">
      <alignment horizontal="left"/>
    </xf>
    <xf numFmtId="0" fontId="2" fillId="0" borderId="13" xfId="0" applyFont="1" applyFill="1" applyBorder="1" applyAlignment="1" applyProtection="1">
      <alignment horizontal="center"/>
    </xf>
    <xf numFmtId="0" fontId="2" fillId="0" borderId="13" xfId="0" applyFont="1" applyFill="1" applyBorder="1" applyAlignment="1" applyProtection="1">
      <alignment horizontal="left"/>
    </xf>
    <xf numFmtId="0" fontId="2" fillId="0" borderId="13" xfId="0" applyFont="1" applyBorder="1" applyAlignment="1">
      <alignment horizontal="center"/>
    </xf>
    <xf numFmtId="2" fontId="33" fillId="0" borderId="13" xfId="0" applyNumberFormat="1" applyFont="1" applyBorder="1" applyAlignment="1">
      <alignment horizontal="left"/>
    </xf>
    <xf numFmtId="164" fontId="33" fillId="0" borderId="13" xfId="0" applyNumberFormat="1" applyFont="1" applyBorder="1" applyAlignment="1" applyProtection="1">
      <alignment horizontal="left"/>
    </xf>
    <xf numFmtId="14" fontId="2" fillId="0" borderId="13" xfId="0" quotePrefix="1" applyNumberFormat="1" applyFont="1" applyBorder="1" applyAlignment="1">
      <alignment horizontal="left" shrinkToFit="1"/>
    </xf>
    <xf numFmtId="0" fontId="2" fillId="0" borderId="13" xfId="0" applyFont="1" applyBorder="1" applyAlignment="1">
      <alignment horizontal="left" wrapText="1" shrinkToFit="1"/>
    </xf>
    <xf numFmtId="3" fontId="2" fillId="0" borderId="13" xfId="0" applyNumberFormat="1" applyFont="1" applyBorder="1" applyAlignment="1">
      <alignment horizontal="left"/>
    </xf>
    <xf numFmtId="20" fontId="2" fillId="0" borderId="13" xfId="0" applyNumberFormat="1" applyFont="1" applyBorder="1" applyAlignment="1">
      <alignment horizontal="left" shrinkToFit="1"/>
    </xf>
    <xf numFmtId="0" fontId="21" fillId="0" borderId="13" xfId="0" applyFont="1" applyBorder="1" applyAlignment="1">
      <alignment horizontal="left" shrinkToFit="1"/>
    </xf>
    <xf numFmtId="49" fontId="2" fillId="0" borderId="13" xfId="0" applyNumberFormat="1" applyFont="1" applyBorder="1" applyAlignment="1">
      <alignment horizontal="center"/>
    </xf>
    <xf numFmtId="0" fontId="2" fillId="0" borderId="13" xfId="0" applyFont="1" applyBorder="1" applyAlignment="1">
      <alignment horizontal="left"/>
    </xf>
    <xf numFmtId="0" fontId="2" fillId="0" borderId="13" xfId="0" applyFont="1" applyFill="1" applyBorder="1" applyAlignment="1">
      <alignment horizontal="left"/>
    </xf>
    <xf numFmtId="3" fontId="2" fillId="0" borderId="13" xfId="0" applyNumberFormat="1" applyFont="1" applyBorder="1" applyAlignment="1">
      <alignment horizontal="left" shrinkToFit="1"/>
    </xf>
    <xf numFmtId="2" fontId="2" fillId="0" borderId="13" xfId="0" applyNumberFormat="1" applyFont="1" applyBorder="1" applyAlignment="1">
      <alignment horizontal="left"/>
    </xf>
    <xf numFmtId="0" fontId="21" fillId="0" borderId="13" xfId="0" applyFont="1" applyBorder="1" applyAlignment="1">
      <alignment horizontal="left"/>
    </xf>
    <xf numFmtId="0" fontId="33" fillId="0" borderId="13" xfId="0" applyFont="1" applyBorder="1" applyAlignment="1">
      <alignment horizontal="left" shrinkToFit="1"/>
    </xf>
    <xf numFmtId="0" fontId="33" fillId="0" borderId="13" xfId="0" applyFont="1" applyBorder="1" applyAlignment="1">
      <alignment horizontal="center" shrinkToFit="1"/>
    </xf>
    <xf numFmtId="2" fontId="33" fillId="0" borderId="13" xfId="0" applyNumberFormat="1" applyFont="1" applyBorder="1" applyAlignment="1">
      <alignment horizontal="left" shrinkToFit="1"/>
    </xf>
    <xf numFmtId="0" fontId="33" fillId="0" borderId="13" xfId="0" applyFont="1" applyBorder="1" applyAlignment="1">
      <alignment horizontal="left" wrapText="1" shrinkToFit="1"/>
    </xf>
    <xf numFmtId="0" fontId="33" fillId="0" borderId="13" xfId="0" quotePrefix="1" applyNumberFormat="1" applyFont="1" applyBorder="1" applyAlignment="1" applyProtection="1">
      <alignment horizontal="left"/>
    </xf>
    <xf numFmtId="0" fontId="2" fillId="0" borderId="13" xfId="0" applyNumberFormat="1" applyFont="1" applyBorder="1" applyAlignment="1" applyProtection="1">
      <alignment horizontal="left"/>
    </xf>
    <xf numFmtId="0" fontId="2" fillId="0" borderId="13" xfId="0" quotePrefix="1" applyFont="1" applyBorder="1" applyAlignment="1">
      <alignment horizontal="left"/>
    </xf>
    <xf numFmtId="164" fontId="2" fillId="0" borderId="13" xfId="0" applyNumberFormat="1" applyFont="1" applyFill="1" applyBorder="1" applyAlignment="1">
      <alignment horizontal="left"/>
    </xf>
    <xf numFmtId="49" fontId="33" fillId="0" borderId="13" xfId="0" applyNumberFormat="1" applyFont="1" applyFill="1" applyBorder="1" applyAlignment="1" applyProtection="1">
      <alignment horizontal="center"/>
    </xf>
    <xf numFmtId="0" fontId="33" fillId="0" borderId="13" xfId="0" applyNumberFormat="1" applyFont="1" applyFill="1" applyBorder="1" applyAlignment="1" applyProtection="1">
      <alignment horizontal="left"/>
    </xf>
    <xf numFmtId="49" fontId="33" fillId="0" borderId="13" xfId="0" applyNumberFormat="1" applyFont="1" applyBorder="1" applyAlignment="1">
      <alignment horizontal="center" shrinkToFit="1"/>
    </xf>
    <xf numFmtId="164" fontId="33" fillId="0" borderId="13" xfId="0" applyNumberFormat="1" applyFont="1" applyFill="1" applyBorder="1" applyAlignment="1" applyProtection="1">
      <alignment horizontal="left"/>
    </xf>
    <xf numFmtId="0" fontId="33" fillId="0" borderId="13" xfId="0" quotePrefix="1" applyFont="1" applyFill="1" applyBorder="1" applyAlignment="1" applyProtection="1">
      <alignment horizontal="center"/>
    </xf>
    <xf numFmtId="0" fontId="33" fillId="0" borderId="13" xfId="0" applyFont="1" applyFill="1" applyBorder="1" applyAlignment="1">
      <alignment horizontal="center"/>
    </xf>
    <xf numFmtId="0" fontId="2" fillId="0" borderId="13" xfId="0" applyFont="1" applyFill="1" applyBorder="1" applyAlignment="1">
      <alignment horizontal="center" wrapText="1" shrinkToFit="1"/>
    </xf>
    <xf numFmtId="0" fontId="0" fillId="0" borderId="0" xfId="0" applyAlignment="1">
      <alignment horizontal="center" wrapText="1"/>
    </xf>
    <xf numFmtId="0" fontId="56" fillId="0" borderId="0" xfId="0" applyFont="1" applyAlignment="1">
      <alignment horizontal="center" wrapText="1"/>
    </xf>
    <xf numFmtId="0" fontId="4" fillId="0" borderId="0" xfId="0" applyFont="1" applyAlignment="1">
      <alignment horizontal="center" wrapText="1"/>
    </xf>
    <xf numFmtId="0" fontId="4" fillId="0" borderId="6" xfId="0" applyFont="1" applyBorder="1" applyAlignment="1">
      <alignment horizontal="center" wrapText="1"/>
    </xf>
    <xf numFmtId="0" fontId="22" fillId="0" borderId="13" xfId="0" applyFont="1" applyFill="1" applyBorder="1" applyAlignment="1">
      <alignment horizontal="center" wrapText="1"/>
    </xf>
    <xf numFmtId="0" fontId="22" fillId="0" borderId="13" xfId="0" applyFont="1" applyBorder="1" applyAlignment="1">
      <alignment wrapText="1"/>
    </xf>
    <xf numFmtId="0" fontId="22" fillId="0" borderId="13" xfId="0" applyFont="1" applyBorder="1" applyAlignment="1">
      <alignment horizontal="left" wrapText="1"/>
    </xf>
    <xf numFmtId="0" fontId="22" fillId="0" borderId="13" xfId="0" quotePrefix="1" applyFont="1" applyBorder="1" applyAlignment="1">
      <alignment horizontal="left" wrapText="1"/>
    </xf>
    <xf numFmtId="0" fontId="22" fillId="0" borderId="13" xfId="0" applyFont="1" applyFill="1" applyBorder="1" applyAlignment="1">
      <alignment horizontal="left" wrapText="1"/>
    </xf>
    <xf numFmtId="0" fontId="22" fillId="0" borderId="13" xfId="0" applyFont="1" applyBorder="1" applyAlignment="1">
      <alignment horizontal="center" wrapText="1"/>
    </xf>
    <xf numFmtId="0" fontId="2" fillId="0" borderId="13" xfId="0" applyFont="1" applyBorder="1" applyAlignment="1">
      <alignment horizontal="center" wrapText="1"/>
    </xf>
    <xf numFmtId="0" fontId="2" fillId="0" borderId="13" xfId="0" applyFont="1" applyBorder="1" applyAlignment="1">
      <alignment wrapText="1"/>
    </xf>
    <xf numFmtId="0" fontId="2" fillId="0" borderId="13" xfId="0" applyFont="1" applyBorder="1" applyAlignment="1">
      <alignment horizontal="left" wrapText="1"/>
    </xf>
    <xf numFmtId="0" fontId="2" fillId="0" borderId="13" xfId="0" quotePrefix="1" applyFont="1" applyBorder="1" applyAlignment="1">
      <alignment horizontal="center" wrapText="1"/>
    </xf>
    <xf numFmtId="0" fontId="22" fillId="0" borderId="13" xfId="0" applyFont="1" applyFill="1" applyBorder="1" applyAlignment="1">
      <alignment wrapText="1"/>
    </xf>
    <xf numFmtId="0" fontId="33" fillId="0" borderId="13" xfId="0" applyFont="1" applyFill="1" applyBorder="1" applyAlignment="1" applyProtection="1">
      <alignment horizontal="left" wrapText="1"/>
    </xf>
    <xf numFmtId="0" fontId="27" fillId="0" borderId="13" xfId="0" applyFont="1" applyFill="1" applyBorder="1" applyAlignment="1" applyProtection="1">
      <alignment horizontal="center" wrapText="1"/>
    </xf>
    <xf numFmtId="0" fontId="27" fillId="0" borderId="0" xfId="0" applyFont="1" applyFill="1" applyBorder="1" applyAlignment="1" applyProtection="1">
      <alignment horizontal="center" wrapText="1"/>
    </xf>
    <xf numFmtId="0" fontId="27" fillId="0" borderId="0" xfId="0" applyFont="1" applyFill="1" applyBorder="1" applyAlignment="1">
      <alignment horizontal="center" wrapText="1"/>
    </xf>
    <xf numFmtId="0" fontId="28" fillId="0" borderId="0" xfId="0" applyFont="1" applyFill="1" applyBorder="1" applyAlignment="1">
      <alignment horizontal="center" wrapText="1"/>
    </xf>
    <xf numFmtId="0" fontId="0" fillId="0" borderId="0" xfId="0" applyFill="1" applyBorder="1" applyAlignment="1">
      <alignment horizontal="center" wrapText="1"/>
    </xf>
    <xf numFmtId="0" fontId="21" fillId="0" borderId="0" xfId="0" applyFont="1" applyFill="1" applyBorder="1" applyAlignment="1">
      <alignment horizontal="center" wrapText="1"/>
    </xf>
    <xf numFmtId="0" fontId="21" fillId="0" borderId="0" xfId="0" applyFont="1" applyFill="1" applyBorder="1" applyAlignment="1" applyProtection="1">
      <alignment horizontal="center" wrapText="1"/>
    </xf>
    <xf numFmtId="0" fontId="28" fillId="0" borderId="0" xfId="0" applyFont="1" applyAlignment="1">
      <alignment horizontal="center" wrapText="1"/>
    </xf>
    <xf numFmtId="0" fontId="4" fillId="0" borderId="0" xfId="0" applyFont="1" applyFill="1" applyAlignment="1">
      <alignment horizontal="center"/>
    </xf>
    <xf numFmtId="0" fontId="2" fillId="0" borderId="13" xfId="0" applyFont="1" applyFill="1" applyBorder="1" applyAlignment="1">
      <alignment horizontal="center"/>
    </xf>
    <xf numFmtId="0" fontId="33" fillId="0" borderId="13" xfId="0" applyFont="1" applyFill="1" applyBorder="1" applyAlignment="1">
      <alignment horizontal="center" shrinkToFit="1"/>
    </xf>
    <xf numFmtId="14" fontId="58" fillId="0" borderId="0" xfId="0" applyNumberFormat="1" applyFont="1" applyAlignment="1" applyProtection="1">
      <alignment horizontal="left" wrapText="1"/>
    </xf>
    <xf numFmtId="49" fontId="5" fillId="0" borderId="0" xfId="4" applyFont="1"/>
    <xf numFmtId="49" fontId="1" fillId="0" borderId="0" xfId="4"/>
    <xf numFmtId="49" fontId="2" fillId="0" borderId="60" xfId="4" applyFont="1" applyBorder="1" applyAlignment="1">
      <alignment horizontal="center"/>
    </xf>
    <xf numFmtId="49" fontId="2" fillId="0" borderId="17" xfId="4" applyFont="1" applyBorder="1" applyAlignment="1">
      <alignment horizontal="center"/>
    </xf>
    <xf numFmtId="49" fontId="2" fillId="0" borderId="21" xfId="4" applyFont="1" applyBorder="1" applyAlignment="1">
      <alignment horizontal="center"/>
    </xf>
    <xf numFmtId="49" fontId="2" fillId="0" borderId="18" xfId="4" applyFont="1" applyBorder="1" applyAlignment="1">
      <alignment horizontal="center"/>
    </xf>
    <xf numFmtId="0" fontId="2" fillId="0" borderId="17" xfId="0" applyFont="1" applyBorder="1" applyAlignment="1">
      <alignment horizontal="center"/>
    </xf>
    <xf numFmtId="0" fontId="2" fillId="0" borderId="60" xfId="0" applyFont="1" applyBorder="1" applyAlignment="1">
      <alignment horizontal="center"/>
    </xf>
    <xf numFmtId="49" fontId="2" fillId="0" borderId="61" xfId="4" applyFont="1" applyBorder="1" applyAlignment="1">
      <alignment horizontal="center"/>
    </xf>
    <xf numFmtId="49" fontId="2" fillId="0" borderId="0" xfId="4" applyFont="1" applyBorder="1" applyAlignment="1">
      <alignment horizontal="center"/>
    </xf>
    <xf numFmtId="49" fontId="2" fillId="0" borderId="22" xfId="4" applyFont="1" applyBorder="1" applyAlignment="1">
      <alignment horizontal="center"/>
    </xf>
    <xf numFmtId="49" fontId="2" fillId="0" borderId="19" xfId="4" applyFont="1" applyBorder="1" applyAlignment="1">
      <alignment horizontal="center"/>
    </xf>
    <xf numFmtId="0" fontId="2" fillId="0" borderId="0" xfId="0" applyFont="1" applyBorder="1" applyAlignment="1">
      <alignment horizontal="center"/>
    </xf>
    <xf numFmtId="0" fontId="2" fillId="0" borderId="61" xfId="0" applyFont="1" applyBorder="1" applyAlignment="1">
      <alignment horizontal="center"/>
    </xf>
    <xf numFmtId="49" fontId="2" fillId="0" borderId="64" xfId="4" applyFont="1" applyBorder="1" applyAlignment="1">
      <alignment horizontal="center"/>
    </xf>
    <xf numFmtId="49" fontId="2" fillId="0" borderId="1" xfId="4" applyFont="1" applyBorder="1" applyAlignment="1">
      <alignment horizontal="center"/>
    </xf>
    <xf numFmtId="49" fontId="2" fillId="0" borderId="23" xfId="4" applyFont="1" applyBorder="1" applyAlignment="1">
      <alignment horizontal="center"/>
    </xf>
    <xf numFmtId="49" fontId="2" fillId="0" borderId="20" xfId="4" applyFont="1" applyBorder="1" applyAlignment="1">
      <alignment horizontal="center"/>
    </xf>
    <xf numFmtId="0" fontId="2" fillId="6" borderId="1" xfId="0" applyFont="1" applyFill="1" applyBorder="1" applyAlignment="1">
      <alignment horizontal="center"/>
    </xf>
    <xf numFmtId="0" fontId="2" fillId="6" borderId="64" xfId="0" applyFont="1" applyFill="1" applyBorder="1" applyAlignment="1">
      <alignment horizontal="center"/>
    </xf>
    <xf numFmtId="0" fontId="2" fillId="6" borderId="0" xfId="0" applyFont="1" applyFill="1"/>
    <xf numFmtId="49" fontId="2" fillId="0" borderId="10" xfId="4" applyFont="1" applyFill="1" applyBorder="1" applyAlignment="1">
      <alignment horizontal="center"/>
    </xf>
    <xf numFmtId="164" fontId="2" fillId="0" borderId="10" xfId="4" applyNumberFormat="1" applyFont="1" applyFill="1" applyBorder="1" applyAlignment="1">
      <alignment horizontal="center"/>
    </xf>
    <xf numFmtId="0" fontId="2" fillId="0" borderId="10" xfId="0" applyFont="1" applyFill="1" applyBorder="1" applyAlignment="1">
      <alignment horizontal="center"/>
    </xf>
    <xf numFmtId="0" fontId="2" fillId="6" borderId="0" xfId="0" applyFont="1" applyFill="1" applyAlignment="1">
      <alignment horizontal="center"/>
    </xf>
    <xf numFmtId="49" fontId="2" fillId="0" borderId="13" xfId="4" applyFont="1" applyFill="1" applyBorder="1" applyAlignment="1">
      <alignment horizontal="center"/>
    </xf>
    <xf numFmtId="0" fontId="0" fillId="0" borderId="13" xfId="0" applyBorder="1"/>
    <xf numFmtId="0" fontId="2" fillId="6" borderId="13" xfId="0" applyFont="1" applyFill="1" applyBorder="1" applyAlignment="1">
      <alignment horizontal="center"/>
    </xf>
    <xf numFmtId="0" fontId="26" fillId="0" borderId="0" xfId="0" applyFont="1" applyBorder="1" applyAlignment="1" applyProtection="1">
      <alignment horizontal="left" vertical="center" wrapText="1"/>
      <protection hidden="1"/>
    </xf>
    <xf numFmtId="0" fontId="59" fillId="0" borderId="0" xfId="0" applyFont="1" applyBorder="1" applyAlignment="1" applyProtection="1">
      <alignment horizontal="center" vertical="center" wrapText="1"/>
      <protection hidden="1"/>
    </xf>
    <xf numFmtId="169" fontId="5" fillId="0" borderId="0" xfId="1" applyNumberFormat="1" applyFont="1" applyBorder="1" applyAlignment="1" applyProtection="1">
      <alignment horizontal="right" vertical="center"/>
      <protection locked="0" hidden="1"/>
    </xf>
    <xf numFmtId="2" fontId="5" fillId="0" borderId="0" xfId="0" applyNumberFormat="1" applyFont="1" applyBorder="1" applyAlignment="1" applyProtection="1">
      <alignment horizontal="center" vertical="center"/>
      <protection locked="0" hidden="1"/>
    </xf>
    <xf numFmtId="169" fontId="3" fillId="0" borderId="0" xfId="1" applyNumberFormat="1" applyFont="1" applyBorder="1" applyAlignment="1" applyProtection="1">
      <alignment horizontal="center" vertical="center" wrapText="1"/>
      <protection hidden="1"/>
    </xf>
    <xf numFmtId="43" fontId="5" fillId="0" borderId="13" xfId="1" applyNumberFormat="1" applyFont="1" applyFill="1" applyBorder="1" applyAlignment="1" applyProtection="1">
      <alignment horizontal="center" vertical="center" wrapText="1"/>
      <protection hidden="1"/>
    </xf>
    <xf numFmtId="49" fontId="5" fillId="0" borderId="0" xfId="0" applyNumberFormat="1" applyFont="1" applyBorder="1" applyAlignment="1" applyProtection="1">
      <alignment horizontal="left" vertical="center"/>
      <protection hidden="1"/>
    </xf>
    <xf numFmtId="14" fontId="3" fillId="0" borderId="0" xfId="2" applyNumberFormat="1" applyFont="1" applyBorder="1" applyAlignment="1" applyProtection="1">
      <alignment horizontal="left" vertical="center"/>
      <protection hidden="1"/>
    </xf>
    <xf numFmtId="0" fontId="3" fillId="0" borderId="0" xfId="0" applyFont="1" applyBorder="1" applyAlignment="1" applyProtection="1">
      <alignment horizontal="left" vertical="center"/>
      <protection locked="0"/>
    </xf>
    <xf numFmtId="0" fontId="3" fillId="0" borderId="9" xfId="0" applyFont="1" applyBorder="1" applyAlignment="1" applyProtection="1">
      <alignment horizontal="center"/>
      <protection hidden="1"/>
    </xf>
    <xf numFmtId="165" fontId="3" fillId="0" borderId="0" xfId="0" applyNumberFormat="1" applyFont="1" applyBorder="1" applyAlignment="1" applyProtection="1">
      <alignment horizontal="center" vertical="center" wrapText="1"/>
      <protection hidden="1"/>
    </xf>
    <xf numFmtId="180" fontId="3" fillId="0" borderId="0" xfId="2" applyNumberFormat="1" applyFont="1" applyFill="1" applyBorder="1" applyAlignment="1" applyProtection="1">
      <alignment horizontal="center" vertical="center" wrapText="1"/>
      <protection hidden="1"/>
    </xf>
    <xf numFmtId="37" fontId="3" fillId="0" borderId="0" xfId="2" applyNumberFormat="1" applyFont="1" applyFill="1" applyBorder="1" applyAlignment="1" applyProtection="1">
      <alignment horizontal="center" vertical="center" wrapText="1"/>
      <protection hidden="1"/>
    </xf>
    <xf numFmtId="39" fontId="3" fillId="0" borderId="0" xfId="2" applyNumberFormat="1" applyFont="1" applyFill="1" applyBorder="1" applyAlignment="1" applyProtection="1">
      <alignment horizontal="center" vertical="center" wrapText="1"/>
      <protection hidden="1"/>
    </xf>
    <xf numFmtId="166" fontId="3" fillId="0" borderId="0" xfId="0" applyNumberFormat="1" applyFont="1" applyBorder="1" applyAlignment="1" applyProtection="1">
      <alignment horizontal="center" vertical="center"/>
      <protection hidden="1"/>
    </xf>
    <xf numFmtId="44" fontId="3" fillId="0" borderId="0" xfId="2" applyFont="1" applyBorder="1" applyAlignment="1" applyProtection="1">
      <alignment horizontal="left" vertical="center"/>
      <protection hidden="1"/>
    </xf>
    <xf numFmtId="44" fontId="3" fillId="0" borderId="0" xfId="2" applyFont="1" applyBorder="1" applyAlignment="1" applyProtection="1">
      <alignment horizontal="center" vertical="center"/>
      <protection hidden="1"/>
    </xf>
    <xf numFmtId="1" fontId="3" fillId="0" borderId="13" xfId="0" applyNumberFormat="1" applyFont="1" applyBorder="1" applyAlignment="1" applyProtection="1">
      <alignment horizontal="right" vertical="center"/>
      <protection hidden="1"/>
    </xf>
    <xf numFmtId="169" fontId="3" fillId="0" borderId="13" xfId="1" applyNumberFormat="1" applyFont="1" applyBorder="1" applyAlignment="1" applyProtection="1">
      <alignment horizontal="center" vertical="center"/>
      <protection hidden="1"/>
    </xf>
    <xf numFmtId="165" fontId="3" fillId="0" borderId="0" xfId="0" applyNumberFormat="1" applyFont="1" applyBorder="1" applyAlignment="1" applyProtection="1">
      <alignment horizontal="left" vertical="center"/>
      <protection hidden="1"/>
    </xf>
    <xf numFmtId="164" fontId="3" fillId="0" borderId="0" xfId="2" applyNumberFormat="1" applyFont="1" applyBorder="1" applyAlignment="1" applyProtection="1">
      <alignment horizontal="center" vertical="center"/>
      <protection hidden="1"/>
    </xf>
    <xf numFmtId="165" fontId="55" fillId="0" borderId="0" xfId="0" applyNumberFormat="1" applyFont="1" applyBorder="1" applyAlignment="1" applyProtection="1">
      <alignment horizontal="left" vertical="center"/>
      <protection hidden="1"/>
    </xf>
    <xf numFmtId="1" fontId="3" fillId="0" borderId="0" xfId="0" applyNumberFormat="1" applyFont="1" applyBorder="1" applyAlignment="1" applyProtection="1">
      <alignment horizontal="center" vertical="center"/>
      <protection hidden="1"/>
    </xf>
    <xf numFmtId="2" fontId="3" fillId="0" borderId="0" xfId="1" applyNumberFormat="1" applyFont="1" applyBorder="1" applyAlignment="1" applyProtection="1">
      <alignment horizontal="center" vertical="center"/>
      <protection hidden="1"/>
    </xf>
    <xf numFmtId="1" fontId="34" fillId="0" borderId="0" xfId="1" applyNumberFormat="1" applyFont="1" applyBorder="1" applyAlignment="1" applyProtection="1">
      <alignment horizontal="center" vertical="center"/>
      <protection hidden="1"/>
    </xf>
    <xf numFmtId="1" fontId="3" fillId="0" borderId="0" xfId="0" applyNumberFormat="1" applyFont="1" applyBorder="1" applyAlignment="1" applyProtection="1">
      <alignment horizontal="center" vertical="center" wrapText="1"/>
      <protection hidden="1"/>
    </xf>
    <xf numFmtId="37" fontId="3" fillId="0" borderId="0" xfId="2" applyNumberFormat="1" applyFont="1" applyFill="1" applyBorder="1" applyAlignment="1" applyProtection="1">
      <alignment horizontal="center" vertical="center"/>
      <protection hidden="1"/>
    </xf>
    <xf numFmtId="37" fontId="3" fillId="0" borderId="0" xfId="0" applyNumberFormat="1" applyFont="1" applyFill="1" applyBorder="1" applyAlignment="1" applyProtection="1">
      <alignment horizontal="center" vertical="center"/>
      <protection hidden="1"/>
    </xf>
    <xf numFmtId="39" fontId="3" fillId="0" borderId="0" xfId="2" applyNumberFormat="1" applyFont="1" applyFill="1" applyBorder="1" applyAlignment="1" applyProtection="1">
      <alignment horizontal="center" vertical="center"/>
      <protection hidden="1"/>
    </xf>
    <xf numFmtId="0" fontId="4" fillId="0" borderId="0" xfId="0" applyFont="1" applyFill="1" applyAlignment="1" applyProtection="1">
      <alignment horizontal="center" wrapText="1"/>
    </xf>
    <xf numFmtId="165" fontId="51" fillId="0" borderId="0" xfId="0" applyNumberFormat="1" applyFont="1" applyBorder="1" applyAlignment="1" applyProtection="1">
      <alignment horizontal="left" vertical="center"/>
      <protection hidden="1"/>
    </xf>
    <xf numFmtId="0" fontId="51" fillId="0" borderId="0" xfId="0" applyFont="1" applyBorder="1" applyAlignment="1" applyProtection="1">
      <alignment horizontal="left" vertical="center"/>
      <protection hidden="1"/>
    </xf>
    <xf numFmtId="0" fontId="3" fillId="0" borderId="0" xfId="0" applyFont="1" applyAlignment="1">
      <alignment vertical="center" wrapText="1"/>
    </xf>
    <xf numFmtId="0" fontId="3" fillId="0" borderId="0" xfId="0" applyFont="1" applyAlignment="1">
      <alignment horizontal="right" vertical="center" wrapText="1"/>
    </xf>
    <xf numFmtId="0" fontId="5" fillId="0" borderId="0" xfId="0" applyFont="1" applyAlignment="1">
      <alignment horizontal="left" vertical="center"/>
    </xf>
    <xf numFmtId="0" fontId="3" fillId="0" borderId="0" xfId="0" applyFont="1" applyAlignment="1">
      <alignment horizontal="left" vertical="center"/>
    </xf>
    <xf numFmtId="0" fontId="3" fillId="0" borderId="0" xfId="0" applyFont="1" applyAlignment="1">
      <alignment horizontal="right" vertical="center"/>
    </xf>
    <xf numFmtId="0" fontId="3" fillId="0" borderId="0" xfId="0" applyFont="1" applyAlignment="1">
      <alignment vertical="center"/>
    </xf>
    <xf numFmtId="0" fontId="3" fillId="0" borderId="0" xfId="0" applyFont="1" applyAlignment="1">
      <alignment horizontal="center" vertical="center" wrapText="1"/>
    </xf>
    <xf numFmtId="165" fontId="3" fillId="0" borderId="10" xfId="0" applyNumberFormat="1" applyFont="1" applyFill="1" applyBorder="1" applyAlignment="1" applyProtection="1">
      <alignment horizontal="center"/>
      <protection locked="0" hidden="1"/>
    </xf>
    <xf numFmtId="2" fontId="3" fillId="0" borderId="10" xfId="6" applyNumberFormat="1" applyFont="1" applyFill="1" applyBorder="1" applyAlignment="1" applyProtection="1">
      <alignment horizontal="center"/>
      <protection hidden="1"/>
    </xf>
    <xf numFmtId="169" fontId="3" fillId="0" borderId="30" xfId="1" applyNumberFormat="1" applyFont="1" applyFill="1" applyBorder="1" applyAlignment="1" applyProtection="1">
      <alignment horizontal="center"/>
      <protection hidden="1"/>
    </xf>
    <xf numFmtId="0" fontId="3" fillId="0" borderId="0" xfId="0" applyFont="1" applyFill="1" applyAlignment="1" applyProtection="1">
      <alignment horizontal="right" vertical="center" wrapText="1"/>
      <protection hidden="1"/>
    </xf>
    <xf numFmtId="39" fontId="3" fillId="0" borderId="9" xfId="1" applyNumberFormat="1" applyFont="1" applyFill="1" applyBorder="1" applyAlignment="1" applyProtection="1">
      <alignment horizontal="center"/>
      <protection hidden="1"/>
    </xf>
    <xf numFmtId="37" fontId="3" fillId="0" borderId="9" xfId="1" applyNumberFormat="1" applyFont="1" applyFill="1" applyBorder="1" applyAlignment="1" applyProtection="1">
      <alignment horizontal="center"/>
      <protection hidden="1"/>
    </xf>
    <xf numFmtId="226" fontId="3" fillId="0" borderId="9" xfId="1" applyNumberFormat="1" applyFont="1" applyFill="1" applyBorder="1" applyAlignment="1" applyProtection="1">
      <alignment horizontal="center"/>
      <protection hidden="1"/>
    </xf>
    <xf numFmtId="226" fontId="2" fillId="0" borderId="13" xfId="1" applyNumberFormat="1" applyFont="1" applyFill="1" applyBorder="1" applyAlignment="1" applyProtection="1">
      <alignment horizontal="center"/>
      <protection locked="0" hidden="1"/>
    </xf>
    <xf numFmtId="226" fontId="3" fillId="0" borderId="0" xfId="0" applyNumberFormat="1" applyFont="1" applyFill="1" applyBorder="1" applyAlignment="1" applyProtection="1">
      <alignment horizontal="center"/>
      <protection hidden="1"/>
    </xf>
    <xf numFmtId="3" fontId="3" fillId="0" borderId="13" xfId="1" applyNumberFormat="1" applyFont="1" applyFill="1" applyBorder="1" applyAlignment="1" applyProtection="1">
      <alignment horizontal="center" wrapText="1"/>
      <protection hidden="1"/>
    </xf>
    <xf numFmtId="4" fontId="3" fillId="0" borderId="13" xfId="0" applyNumberFormat="1" applyFont="1" applyFill="1" applyBorder="1" applyAlignment="1" applyProtection="1">
      <alignment horizontal="center" vertical="center"/>
      <protection hidden="1"/>
    </xf>
    <xf numFmtId="4" fontId="3" fillId="0" borderId="13" xfId="2" applyNumberFormat="1" applyFont="1" applyFill="1" applyBorder="1" applyAlignment="1" applyProtection="1">
      <alignment horizontal="center" vertical="center"/>
      <protection hidden="1"/>
    </xf>
    <xf numFmtId="4" fontId="3" fillId="0" borderId="13" xfId="0" applyNumberFormat="1" applyFont="1" applyFill="1" applyBorder="1" applyAlignment="1" applyProtection="1">
      <alignment horizontal="center"/>
      <protection hidden="1"/>
    </xf>
    <xf numFmtId="4" fontId="3" fillId="0" borderId="9" xfId="2" applyNumberFormat="1" applyFont="1" applyFill="1" applyBorder="1" applyAlignment="1" applyProtection="1">
      <alignment horizontal="center" vertical="center"/>
      <protection hidden="1"/>
    </xf>
    <xf numFmtId="4" fontId="3" fillId="0" borderId="10" xfId="2" applyNumberFormat="1" applyFont="1" applyFill="1" applyBorder="1" applyAlignment="1" applyProtection="1">
      <alignment horizontal="center" vertical="center"/>
      <protection hidden="1"/>
    </xf>
    <xf numFmtId="4" fontId="3" fillId="0" borderId="0" xfId="0" applyNumberFormat="1" applyFont="1" applyFill="1" applyBorder="1" applyAlignment="1" applyProtection="1">
      <alignment horizontal="center"/>
      <protection hidden="1"/>
    </xf>
    <xf numFmtId="4" fontId="5" fillId="0" borderId="0" xfId="0" applyNumberFormat="1" applyFont="1" applyFill="1" applyBorder="1" applyAlignment="1" applyProtection="1">
      <alignment horizontal="center"/>
      <protection hidden="1"/>
    </xf>
    <xf numFmtId="4" fontId="5" fillId="0" borderId="30" xfId="2" applyNumberFormat="1" applyFont="1" applyFill="1" applyBorder="1" applyAlignment="1" applyProtection="1">
      <alignment horizontal="center" vertical="center"/>
      <protection hidden="1"/>
    </xf>
    <xf numFmtId="4" fontId="3" fillId="0" borderId="0" xfId="1" applyNumberFormat="1" applyFont="1" applyFill="1" applyBorder="1" applyAlignment="1" applyProtection="1">
      <alignment horizontal="center"/>
      <protection hidden="1"/>
    </xf>
    <xf numFmtId="4" fontId="5" fillId="0" borderId="10" xfId="0" applyNumberFormat="1" applyFont="1" applyFill="1" applyBorder="1" applyAlignment="1" applyProtection="1">
      <alignment horizontal="center" vertical="center"/>
      <protection hidden="1"/>
    </xf>
    <xf numFmtId="4" fontId="3" fillId="0" borderId="9" xfId="0" applyNumberFormat="1" applyFont="1" applyFill="1" applyBorder="1" applyAlignment="1" applyProtection="1">
      <alignment horizontal="center"/>
      <protection hidden="1"/>
    </xf>
    <xf numFmtId="1" fontId="3" fillId="0" borderId="0" xfId="0" applyNumberFormat="1" applyFont="1" applyFill="1" applyBorder="1" applyAlignment="1" applyProtection="1">
      <alignment horizontal="center"/>
      <protection locked="0" hidden="1"/>
    </xf>
    <xf numFmtId="3" fontId="5" fillId="0" borderId="0" xfId="1" applyNumberFormat="1" applyFont="1" applyFill="1" applyBorder="1" applyAlignment="1" applyProtection="1">
      <alignment horizontal="center" wrapText="1"/>
      <protection hidden="1"/>
    </xf>
    <xf numFmtId="3" fontId="3" fillId="0" borderId="0" xfId="0" applyNumberFormat="1" applyFont="1" applyFill="1" applyBorder="1" applyAlignment="1" applyProtection="1">
      <alignment horizontal="center" wrapText="1"/>
      <protection hidden="1"/>
    </xf>
    <xf numFmtId="0" fontId="13" fillId="0" borderId="0" xfId="0" applyFont="1" applyBorder="1" applyAlignment="1" applyProtection="1">
      <protection hidden="1"/>
    </xf>
    <xf numFmtId="0" fontId="18" fillId="0" borderId="0" xfId="0" applyFont="1" applyBorder="1" applyAlignment="1" applyProtection="1">
      <alignment horizontal="center" vertical="center"/>
      <protection hidden="1"/>
    </xf>
    <xf numFmtId="0" fontId="13" fillId="0" borderId="0" xfId="0" applyFont="1" applyBorder="1" applyAlignment="1" applyProtection="1">
      <alignment horizontal="center" vertical="center"/>
      <protection hidden="1"/>
    </xf>
    <xf numFmtId="0" fontId="13" fillId="0" borderId="0" xfId="0" applyFont="1" applyBorder="1" applyAlignment="1" applyProtection="1">
      <alignment horizontal="center"/>
      <protection hidden="1"/>
    </xf>
    <xf numFmtId="0" fontId="36" fillId="0" borderId="0" xfId="0" applyFont="1" applyBorder="1" applyAlignment="1" applyProtection="1">
      <alignment horizontal="right" wrapText="1"/>
      <protection hidden="1"/>
    </xf>
    <xf numFmtId="0" fontId="35" fillId="0" borderId="0" xfId="0" applyFont="1" applyBorder="1" applyAlignment="1" applyProtection="1">
      <alignment horizontal="left" wrapText="1"/>
      <protection hidden="1"/>
    </xf>
    <xf numFmtId="0" fontId="3" fillId="0" borderId="13" xfId="0" applyFont="1" applyBorder="1" applyAlignment="1" applyProtection="1">
      <alignment horizontal="center" vertical="center"/>
      <protection locked="0"/>
    </xf>
    <xf numFmtId="0" fontId="3" fillId="0" borderId="13" xfId="0" applyFont="1" applyBorder="1" applyAlignment="1" applyProtection="1">
      <alignment horizontal="center" vertical="center"/>
      <protection locked="0" hidden="1"/>
    </xf>
    <xf numFmtId="169" fontId="3" fillId="0" borderId="13" xfId="1" applyNumberFormat="1" applyFont="1" applyBorder="1" applyAlignment="1" applyProtection="1">
      <alignment horizontal="center" vertical="center"/>
      <protection locked="0"/>
    </xf>
    <xf numFmtId="0" fontId="3" fillId="0" borderId="13" xfId="0" applyFont="1" applyBorder="1" applyAlignment="1" applyProtection="1">
      <alignment horizontal="center" vertical="center"/>
      <protection hidden="1"/>
    </xf>
    <xf numFmtId="39" fontId="2" fillId="0" borderId="13" xfId="1" applyNumberFormat="1" applyFont="1" applyFill="1" applyBorder="1" applyAlignment="1" applyProtection="1">
      <alignment horizontal="center" vertical="center" wrapText="1"/>
      <protection hidden="1"/>
    </xf>
    <xf numFmtId="227" fontId="2" fillId="0" borderId="13" xfId="2" applyNumberFormat="1" applyFont="1" applyFill="1" applyBorder="1" applyAlignment="1" applyProtection="1">
      <alignment horizontal="center" vertical="center" wrapText="1"/>
      <protection hidden="1"/>
    </xf>
    <xf numFmtId="227" fontId="4" fillId="0" borderId="13" xfId="0" applyNumberFormat="1" applyFont="1" applyFill="1" applyBorder="1" applyAlignment="1" applyProtection="1">
      <alignment horizontal="center" vertical="center" wrapText="1"/>
      <protection hidden="1"/>
    </xf>
    <xf numFmtId="227" fontId="4" fillId="0" borderId="13" xfId="1" applyNumberFormat="1" applyFont="1" applyFill="1" applyBorder="1" applyAlignment="1" applyProtection="1">
      <alignment horizontal="center" vertical="center" wrapText="1"/>
      <protection hidden="1"/>
    </xf>
    <xf numFmtId="180" fontId="2" fillId="0" borderId="13" xfId="1" applyNumberFormat="1" applyFont="1" applyFill="1" applyBorder="1" applyAlignment="1" applyProtection="1">
      <alignment horizontal="center" vertical="center" wrapText="1"/>
      <protection hidden="1"/>
    </xf>
    <xf numFmtId="10" fontId="2" fillId="0" borderId="13" xfId="0" applyNumberFormat="1" applyFont="1" applyFill="1" applyBorder="1" applyAlignment="1" applyProtection="1">
      <alignment horizontal="center" vertical="center" wrapText="1"/>
      <protection hidden="1"/>
    </xf>
    <xf numFmtId="227" fontId="2" fillId="0" borderId="13" xfId="1" applyNumberFormat="1" applyFont="1" applyFill="1" applyBorder="1" applyAlignment="1" applyProtection="1">
      <alignment horizontal="center" vertical="center" wrapText="1"/>
      <protection hidden="1"/>
    </xf>
    <xf numFmtId="227" fontId="2" fillId="0" borderId="13" xfId="0" applyNumberFormat="1" applyFont="1" applyFill="1" applyBorder="1" applyAlignment="1" applyProtection="1">
      <alignment horizontal="center" vertical="center" wrapText="1"/>
      <protection hidden="1"/>
    </xf>
    <xf numFmtId="227" fontId="2" fillId="0" borderId="13" xfId="0" applyNumberFormat="1" applyFont="1" applyFill="1" applyBorder="1" applyAlignment="1" applyProtection="1">
      <alignment horizontal="left" vertical="center" wrapText="1"/>
      <protection hidden="1"/>
    </xf>
    <xf numFmtId="49" fontId="4" fillId="0" borderId="0" xfId="0" applyNumberFormat="1" applyFont="1" applyAlignment="1">
      <alignment horizontal="center"/>
    </xf>
    <xf numFmtId="49" fontId="20" fillId="0" borderId="0" xfId="3" applyNumberFormat="1" applyFont="1" applyBorder="1" applyAlignment="1" applyProtection="1">
      <alignment horizontal="left"/>
    </xf>
    <xf numFmtId="49" fontId="2" fillId="0" borderId="0" xfId="0" applyNumberFormat="1" applyFont="1" applyAlignment="1">
      <alignment horizontal="left"/>
    </xf>
    <xf numFmtId="9" fontId="5" fillId="0" borderId="0" xfId="0" applyNumberFormat="1" applyFont="1" applyAlignment="1">
      <alignment horizontal="center"/>
    </xf>
    <xf numFmtId="9" fontId="3" fillId="0" borderId="0" xfId="0" applyNumberFormat="1" applyFont="1" applyAlignment="1">
      <alignment horizontal="center"/>
    </xf>
    <xf numFmtId="169" fontId="3" fillId="0" borderId="30" xfId="1" applyNumberFormat="1" applyFont="1" applyFill="1" applyBorder="1" applyAlignment="1" applyProtection="1">
      <alignment horizontal="center"/>
      <protection locked="0" hidden="1"/>
    </xf>
    <xf numFmtId="0" fontId="5" fillId="0" borderId="0" xfId="0" applyFont="1" applyBorder="1" applyAlignment="1">
      <alignment horizontal="center" vertical="center" wrapText="1"/>
    </xf>
    <xf numFmtId="0" fontId="61" fillId="0" borderId="0" xfId="0" applyFont="1" applyBorder="1" applyAlignment="1">
      <alignment horizontal="center" vertical="top" wrapText="1"/>
    </xf>
    <xf numFmtId="0" fontId="60" fillId="0" borderId="0" xfId="0" applyFont="1" applyBorder="1" applyAlignment="1">
      <alignment horizontal="center" vertical="top" wrapText="1"/>
    </xf>
    <xf numFmtId="0" fontId="62" fillId="0" borderId="0" xfId="0" applyFont="1" applyBorder="1" applyAlignment="1">
      <alignment vertical="top" wrapText="1"/>
    </xf>
    <xf numFmtId="49" fontId="2" fillId="0" borderId="66" xfId="0" applyNumberFormat="1" applyFont="1" applyBorder="1" applyAlignment="1" applyProtection="1">
      <alignment horizontal="left"/>
      <protection hidden="1"/>
    </xf>
    <xf numFmtId="49" fontId="2" fillId="0" borderId="6" xfId="3" applyNumberFormat="1" applyFont="1" applyBorder="1" applyAlignment="1" applyProtection="1">
      <alignment vertical="center"/>
      <protection hidden="1"/>
    </xf>
    <xf numFmtId="49" fontId="2" fillId="0" borderId="66" xfId="0" applyNumberFormat="1" applyFont="1" applyBorder="1" applyAlignment="1" applyProtection="1">
      <alignment horizontal="left" vertical="center"/>
      <protection hidden="1"/>
    </xf>
    <xf numFmtId="49" fontId="2" fillId="0" borderId="6" xfId="0" applyNumberFormat="1" applyFont="1" applyBorder="1" applyAlignment="1" applyProtection="1">
      <alignment horizontal="left" vertical="center"/>
      <protection hidden="1"/>
    </xf>
    <xf numFmtId="49" fontId="2" fillId="0" borderId="8" xfId="0" applyNumberFormat="1" applyFont="1" applyBorder="1" applyAlignment="1" applyProtection="1">
      <alignment horizontal="left" vertical="center"/>
      <protection hidden="1"/>
    </xf>
    <xf numFmtId="39" fontId="3" fillId="0" borderId="30" xfId="2" applyNumberFormat="1" applyFont="1" applyFill="1" applyBorder="1" applyAlignment="1" applyProtection="1">
      <alignment horizontal="center"/>
      <protection hidden="1"/>
    </xf>
    <xf numFmtId="0" fontId="3" fillId="0" borderId="0" xfId="0" applyNumberFormat="1" applyFont="1" applyFill="1" applyBorder="1" applyProtection="1">
      <protection locked="0"/>
    </xf>
    <xf numFmtId="0" fontId="3" fillId="0" borderId="0" xfId="0" applyNumberFormat="1" applyFont="1" applyFill="1" applyBorder="1" applyAlignment="1" applyProtection="1">
      <alignment horizontal="center"/>
      <protection locked="0"/>
    </xf>
    <xf numFmtId="0" fontId="3" fillId="0" borderId="0" xfId="2" applyNumberFormat="1" applyFont="1" applyFill="1" applyBorder="1" applyAlignment="1" applyProtection="1">
      <alignment horizontal="center"/>
      <protection locked="0"/>
    </xf>
    <xf numFmtId="0" fontId="3" fillId="0" borderId="0" xfId="0" applyNumberFormat="1" applyFont="1" applyFill="1" applyBorder="1" applyAlignment="1" applyProtection="1">
      <alignment horizontal="right"/>
      <protection locked="0"/>
    </xf>
    <xf numFmtId="3" fontId="25" fillId="7" borderId="13" xfId="0" applyNumberFormat="1" applyFont="1" applyFill="1" applyBorder="1" applyAlignment="1">
      <alignment horizontal="center"/>
    </xf>
    <xf numFmtId="0" fontId="25" fillId="7" borderId="54" xfId="0" applyFont="1" applyFill="1" applyBorder="1" applyAlignment="1">
      <alignment horizontal="center"/>
    </xf>
    <xf numFmtId="0" fontId="25" fillId="7" borderId="13" xfId="0" applyFont="1" applyFill="1" applyBorder="1" applyAlignment="1">
      <alignment horizontal="center"/>
    </xf>
    <xf numFmtId="4" fontId="25" fillId="7" borderId="13" xfId="0" applyNumberFormat="1" applyFont="1" applyFill="1" applyBorder="1" applyAlignment="1">
      <alignment horizontal="center"/>
    </xf>
    <xf numFmtId="42" fontId="25" fillId="7" borderId="43" xfId="0" applyNumberFormat="1" applyFont="1" applyFill="1" applyBorder="1" applyAlignment="1">
      <alignment horizontal="center"/>
    </xf>
    <xf numFmtId="0" fontId="25" fillId="8" borderId="13" xfId="0" applyFont="1" applyFill="1" applyBorder="1" applyAlignment="1">
      <alignment horizontal="center"/>
    </xf>
    <xf numFmtId="4" fontId="25" fillId="8" borderId="13" xfId="0" applyNumberFormat="1" applyFont="1" applyFill="1" applyBorder="1" applyAlignment="1">
      <alignment horizontal="center"/>
    </xf>
    <xf numFmtId="3" fontId="25" fillId="8" borderId="13" xfId="0" applyNumberFormat="1" applyFont="1" applyFill="1" applyBorder="1" applyAlignment="1">
      <alignment horizontal="center"/>
    </xf>
    <xf numFmtId="174" fontId="0" fillId="0" borderId="6" xfId="2" applyNumberFormat="1" applyFont="1" applyBorder="1"/>
    <xf numFmtId="39" fontId="2" fillId="0" borderId="0" xfId="1" applyNumberFormat="1" applyFont="1" applyFill="1" applyBorder="1" applyAlignment="1" applyProtection="1">
      <alignment horizontal="center" vertical="center" wrapText="1"/>
      <protection hidden="1"/>
    </xf>
    <xf numFmtId="187" fontId="2" fillId="0" borderId="0" xfId="0" applyNumberFormat="1" applyFont="1" applyFill="1" applyBorder="1" applyAlignment="1" applyProtection="1">
      <alignment horizontal="center" vertical="center" wrapText="1"/>
      <protection hidden="1"/>
    </xf>
    <xf numFmtId="39" fontId="4" fillId="0" borderId="0" xfId="1" applyNumberFormat="1" applyFont="1" applyFill="1" applyBorder="1" applyAlignment="1" applyProtection="1">
      <alignment horizontal="center" vertical="center" wrapText="1"/>
      <protection hidden="1"/>
    </xf>
    <xf numFmtId="39" fontId="4" fillId="0" borderId="13" xfId="1" applyNumberFormat="1" applyFont="1" applyFill="1" applyBorder="1" applyAlignment="1" applyProtection="1">
      <alignment horizontal="center" vertical="center" wrapText="1"/>
      <protection hidden="1"/>
    </xf>
    <xf numFmtId="173" fontId="2" fillId="0" borderId="0" xfId="2" applyNumberFormat="1" applyFont="1" applyFill="1" applyBorder="1" applyAlignment="1" applyProtection="1">
      <alignment horizontal="left" vertical="center" wrapText="1"/>
      <protection hidden="1"/>
    </xf>
    <xf numFmtId="37" fontId="3" fillId="0" borderId="9" xfId="2" applyNumberFormat="1" applyFont="1" applyFill="1" applyBorder="1" applyAlignment="1" applyProtection="1">
      <alignment horizontal="center"/>
      <protection hidden="1"/>
    </xf>
    <xf numFmtId="4" fontId="2" fillId="0" borderId="13" xfId="2" applyNumberFormat="1" applyFont="1" applyFill="1" applyBorder="1" applyAlignment="1" applyProtection="1">
      <alignment horizontal="left" vertical="center" wrapText="1"/>
      <protection hidden="1"/>
    </xf>
    <xf numFmtId="165" fontId="63" fillId="0" borderId="66" xfId="0" applyNumberFormat="1" applyFont="1" applyBorder="1" applyAlignment="1" applyProtection="1">
      <alignment horizontal="left" vertical="center"/>
      <protection hidden="1"/>
    </xf>
    <xf numFmtId="0" fontId="5" fillId="0" borderId="67" xfId="0" applyFont="1" applyFill="1" applyBorder="1" applyAlignment="1" applyProtection="1">
      <alignment horizontal="center"/>
      <protection locked="0"/>
    </xf>
    <xf numFmtId="49" fontId="5" fillId="0" borderId="67" xfId="0" applyNumberFormat="1" applyFont="1" applyFill="1" applyBorder="1" applyAlignment="1" applyProtection="1">
      <alignment horizontal="left"/>
      <protection locked="0"/>
    </xf>
    <xf numFmtId="14" fontId="5" fillId="0" borderId="67" xfId="0" applyNumberFormat="1" applyFont="1" applyFill="1" applyBorder="1" applyAlignment="1" applyProtection="1">
      <alignment horizontal="left"/>
      <protection locked="0"/>
    </xf>
    <xf numFmtId="0" fontId="5" fillId="0" borderId="67" xfId="0" applyFont="1" applyFill="1" applyBorder="1" applyAlignment="1" applyProtection="1">
      <alignment horizontal="left"/>
      <protection locked="0"/>
    </xf>
    <xf numFmtId="0" fontId="3" fillId="0" borderId="67" xfId="0" applyFont="1" applyFill="1" applyBorder="1" applyAlignment="1" applyProtection="1">
      <alignment horizontal="center"/>
      <protection locked="0"/>
    </xf>
    <xf numFmtId="10" fontId="5" fillId="0" borderId="67" xfId="6" applyNumberFormat="1" applyFont="1" applyFill="1" applyBorder="1" applyAlignment="1" applyProtection="1">
      <alignment horizontal="center"/>
      <protection locked="0"/>
    </xf>
    <xf numFmtId="169" fontId="3" fillId="0" borderId="67" xfId="1" applyNumberFormat="1" applyFont="1" applyFill="1" applyBorder="1" applyAlignment="1" applyProtection="1">
      <alignment horizontal="left"/>
      <protection locked="0"/>
    </xf>
    <xf numFmtId="0" fontId="5" fillId="0" borderId="67" xfId="0" applyNumberFormat="1" applyFont="1" applyFill="1" applyBorder="1" applyAlignment="1" applyProtection="1">
      <alignment horizontal="center"/>
      <protection locked="0"/>
    </xf>
    <xf numFmtId="1" fontId="5" fillId="0" borderId="67" xfId="0" applyNumberFormat="1" applyFont="1" applyFill="1" applyBorder="1" applyAlignment="1" applyProtection="1">
      <alignment horizontal="center"/>
      <protection locked="0" hidden="1"/>
    </xf>
    <xf numFmtId="2" fontId="5" fillId="0" borderId="67" xfId="0" applyNumberFormat="1" applyFont="1" applyFill="1" applyBorder="1" applyAlignment="1" applyProtection="1">
      <alignment horizontal="center"/>
      <protection locked="0" hidden="1"/>
    </xf>
    <xf numFmtId="9" fontId="5" fillId="0" borderId="67" xfId="6" applyNumberFormat="1" applyFont="1" applyFill="1" applyBorder="1" applyAlignment="1" applyProtection="1">
      <alignment horizontal="center"/>
      <protection locked="0" hidden="1"/>
    </xf>
    <xf numFmtId="165" fontId="5" fillId="0" borderId="67" xfId="0" applyNumberFormat="1" applyFont="1" applyFill="1" applyBorder="1" applyAlignment="1" applyProtection="1">
      <alignment horizontal="center"/>
      <protection hidden="1"/>
    </xf>
    <xf numFmtId="0" fontId="5" fillId="0" borderId="67" xfId="0" applyFont="1" applyFill="1" applyBorder="1" applyAlignment="1" applyProtection="1">
      <alignment horizontal="center"/>
      <protection locked="0" hidden="1"/>
    </xf>
    <xf numFmtId="165" fontId="5" fillId="0" borderId="67" xfId="0" applyNumberFormat="1" applyFont="1" applyFill="1" applyBorder="1" applyAlignment="1" applyProtection="1">
      <alignment horizontal="center"/>
      <protection locked="0" hidden="1"/>
    </xf>
    <xf numFmtId="2" fontId="5" fillId="0" borderId="67" xfId="2" applyNumberFormat="1" applyFont="1" applyFill="1" applyBorder="1" applyAlignment="1" applyProtection="1">
      <alignment horizontal="center"/>
      <protection locked="0" hidden="1"/>
    </xf>
    <xf numFmtId="2" fontId="37" fillId="0" borderId="67" xfId="0" applyNumberFormat="1" applyFont="1" applyFill="1" applyBorder="1" applyAlignment="1" applyProtection="1">
      <alignment horizontal="center"/>
      <protection locked="0" hidden="1"/>
    </xf>
    <xf numFmtId="9" fontId="5" fillId="0" borderId="67" xfId="6" applyNumberFormat="1" applyFont="1" applyFill="1" applyBorder="1" applyAlignment="1" applyProtection="1">
      <alignment horizontal="center"/>
      <protection locked="0"/>
    </xf>
    <xf numFmtId="165" fontId="5" fillId="0" borderId="67" xfId="0" applyNumberFormat="1" applyFont="1" applyFill="1" applyBorder="1" applyAlignment="1" applyProtection="1">
      <alignment horizontal="center"/>
      <protection locked="0"/>
    </xf>
    <xf numFmtId="2" fontId="11" fillId="0" borderId="67" xfId="2" applyNumberFormat="1" applyFont="1" applyFill="1" applyBorder="1" applyAlignment="1" applyProtection="1">
      <alignment horizontal="center"/>
      <protection locked="0" hidden="1"/>
    </xf>
    <xf numFmtId="0" fontId="5" fillId="0" borderId="67" xfId="0" applyFont="1" applyFill="1" applyBorder="1" applyAlignment="1" applyProtection="1">
      <alignment horizontal="center"/>
      <protection hidden="1"/>
    </xf>
    <xf numFmtId="2" fontId="15" fillId="0" borderId="67" xfId="2" applyNumberFormat="1" applyFont="1" applyFill="1" applyBorder="1" applyAlignment="1" applyProtection="1">
      <alignment horizontal="center"/>
      <protection locked="0" hidden="1"/>
    </xf>
    <xf numFmtId="0" fontId="5" fillId="0" borderId="67" xfId="0" applyFont="1" applyFill="1" applyBorder="1" applyAlignment="1" applyProtection="1">
      <alignment horizontal="center" vertical="center" wrapText="1"/>
      <protection locked="0"/>
    </xf>
    <xf numFmtId="2" fontId="5" fillId="0" borderId="67" xfId="0" applyNumberFormat="1" applyFont="1" applyFill="1" applyBorder="1" applyAlignment="1" applyProtection="1">
      <alignment horizontal="center"/>
      <protection locked="0"/>
    </xf>
    <xf numFmtId="169" fontId="5" fillId="0" borderId="67" xfId="1" applyNumberFormat="1" applyFont="1" applyFill="1" applyBorder="1" applyAlignment="1" applyProtection="1">
      <alignment horizontal="center"/>
      <protection locked="0"/>
    </xf>
    <xf numFmtId="0" fontId="5" fillId="0" borderId="67" xfId="0" applyFont="1" applyFill="1" applyBorder="1" applyAlignment="1" applyProtection="1">
      <alignment horizontal="center" wrapText="1"/>
      <protection locked="0" hidden="1"/>
    </xf>
    <xf numFmtId="0" fontId="5" fillId="0" borderId="67" xfId="0" applyFont="1" applyFill="1" applyBorder="1" applyAlignment="1" applyProtection="1">
      <alignment horizontal="center" vertical="center"/>
      <protection locked="0"/>
    </xf>
    <xf numFmtId="169" fontId="3" fillId="0" borderId="67" xfId="1" applyNumberFormat="1" applyFont="1" applyFill="1" applyBorder="1" applyAlignment="1" applyProtection="1">
      <alignment horizontal="center"/>
      <protection locked="0" hidden="1"/>
    </xf>
    <xf numFmtId="1" fontId="3" fillId="0" borderId="67" xfId="0" applyNumberFormat="1" applyFont="1" applyFill="1" applyBorder="1" applyAlignment="1" applyProtection="1">
      <alignment horizontal="center"/>
      <protection locked="0" hidden="1"/>
    </xf>
    <xf numFmtId="1" fontId="13" fillId="2" borderId="67" xfId="2" applyNumberFormat="1" applyFont="1" applyFill="1" applyBorder="1" applyAlignment="1" applyProtection="1">
      <alignment horizontal="center" vertical="center"/>
      <protection locked="0"/>
    </xf>
    <xf numFmtId="4" fontId="3" fillId="0" borderId="67" xfId="2" applyNumberFormat="1" applyFont="1" applyFill="1" applyBorder="1" applyAlignment="1" applyProtection="1">
      <alignment horizontal="center" vertical="center"/>
      <protection locked="0" hidden="1"/>
    </xf>
    <xf numFmtId="4" fontId="3" fillId="0" borderId="67" xfId="1" applyNumberFormat="1" applyFont="1" applyFill="1" applyBorder="1" applyAlignment="1" applyProtection="1">
      <alignment horizontal="center" vertical="center"/>
      <protection locked="0" hidden="1"/>
    </xf>
    <xf numFmtId="10" fontId="5" fillId="0" borderId="67" xfId="6" applyNumberFormat="1" applyFont="1" applyFill="1" applyBorder="1" applyAlignment="1" applyProtection="1">
      <alignment horizontal="center" vertical="center"/>
      <protection locked="0" hidden="1"/>
    </xf>
    <xf numFmtId="49" fontId="5" fillId="0" borderId="68" xfId="0" applyNumberFormat="1" applyFont="1" applyFill="1" applyBorder="1" applyAlignment="1" applyProtection="1">
      <alignment horizontal="left"/>
      <protection locked="0"/>
    </xf>
    <xf numFmtId="49" fontId="5" fillId="0" borderId="69" xfId="0" applyNumberFormat="1" applyFont="1" applyFill="1" applyBorder="1" applyAlignment="1" applyProtection="1">
      <alignment horizontal="left"/>
      <protection locked="0"/>
    </xf>
    <xf numFmtId="49" fontId="5" fillId="0" borderId="70" xfId="0" applyNumberFormat="1" applyFont="1" applyFill="1" applyBorder="1" applyAlignment="1" applyProtection="1">
      <alignment horizontal="left"/>
      <protection locked="0"/>
    </xf>
    <xf numFmtId="0" fontId="13" fillId="0" borderId="0" xfId="0" applyFont="1" applyAlignment="1">
      <alignment horizontal="center"/>
    </xf>
    <xf numFmtId="49" fontId="2" fillId="0" borderId="60" xfId="4" applyFont="1" applyBorder="1" applyAlignment="1">
      <alignment horizontal="center"/>
    </xf>
    <xf numFmtId="49" fontId="2" fillId="0" borderId="61" xfId="4" applyFont="1" applyBorder="1" applyAlignment="1">
      <alignment horizontal="center"/>
    </xf>
    <xf numFmtId="49" fontId="2" fillId="0" borderId="21" xfId="4" applyFont="1" applyBorder="1" applyAlignment="1">
      <alignment horizontal="center"/>
    </xf>
    <xf numFmtId="49" fontId="2" fillId="0" borderId="18" xfId="4" applyFont="1" applyBorder="1" applyAlignment="1">
      <alignment horizontal="center"/>
    </xf>
    <xf numFmtId="49" fontId="2" fillId="0" borderId="22" xfId="4" applyFont="1" applyBorder="1" applyAlignment="1">
      <alignment horizontal="center"/>
    </xf>
    <xf numFmtId="49" fontId="2" fillId="0" borderId="19" xfId="4" applyFont="1" applyBorder="1" applyAlignment="1">
      <alignment horizontal="center"/>
    </xf>
    <xf numFmtId="0" fontId="5" fillId="0" borderId="21" xfId="0" applyFont="1" applyBorder="1" applyAlignment="1">
      <alignment horizontal="center" vertical="center" textRotation="90" wrapText="1"/>
    </xf>
    <xf numFmtId="0" fontId="5" fillId="0" borderId="22" xfId="0" applyFont="1" applyBorder="1" applyAlignment="1">
      <alignment horizontal="center" vertical="center" textRotation="90" wrapText="1"/>
    </xf>
    <xf numFmtId="0" fontId="5" fillId="0" borderId="23" xfId="0" applyFont="1" applyBorder="1" applyAlignment="1">
      <alignment horizontal="center" vertical="center" textRotation="90" wrapText="1"/>
    </xf>
    <xf numFmtId="0" fontId="5" fillId="0" borderId="60" xfId="0" applyFont="1" applyBorder="1" applyAlignment="1">
      <alignment horizontal="center" vertical="center" textRotation="90" wrapText="1"/>
    </xf>
    <xf numFmtId="0" fontId="5" fillId="0" borderId="61" xfId="0" applyFont="1" applyBorder="1" applyAlignment="1">
      <alignment horizontal="center" vertical="center" textRotation="90" wrapText="1"/>
    </xf>
    <xf numFmtId="0" fontId="5" fillId="0" borderId="64" xfId="0" applyFont="1" applyBorder="1" applyAlignment="1">
      <alignment horizontal="center" vertical="center" textRotation="90" wrapText="1"/>
    </xf>
    <xf numFmtId="49" fontId="5" fillId="0" borderId="66" xfId="0" applyNumberFormat="1" applyFont="1" applyBorder="1" applyAlignment="1" applyProtection="1">
      <alignment horizontal="center" vertical="center"/>
      <protection hidden="1"/>
    </xf>
    <xf numFmtId="49" fontId="5" fillId="0" borderId="8" xfId="0" applyNumberFormat="1" applyFont="1" applyBorder="1" applyAlignment="1" applyProtection="1">
      <alignment horizontal="center" vertical="center"/>
      <protection hidden="1"/>
    </xf>
    <xf numFmtId="0" fontId="5" fillId="0" borderId="4" xfId="0" applyFont="1" applyBorder="1" applyAlignment="1" applyProtection="1">
      <alignment horizontal="center" vertical="center"/>
      <protection hidden="1"/>
    </xf>
    <xf numFmtId="0" fontId="13" fillId="0" borderId="0" xfId="0" applyFont="1" applyBorder="1" applyAlignment="1" applyProtection="1">
      <alignment horizontal="center" vertical="center"/>
      <protection hidden="1"/>
    </xf>
  </cellXfs>
  <cellStyles count="7">
    <cellStyle name="Comma" xfId="1" builtinId="3"/>
    <cellStyle name="Currency" xfId="2" builtinId="4"/>
    <cellStyle name="Hyperlink" xfId="3" builtinId="8"/>
    <cellStyle name="Normal" xfId="0" builtinId="0"/>
    <cellStyle name="Normal_EQUIPMENT" xfId="4"/>
    <cellStyle name="Normal_Mexico Press" xfId="5"/>
    <cellStyle name="Percent" xfId="6"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00.xml><?xml version="1.0" encoding="utf-8"?>
<formControlPr xmlns="http://schemas.microsoft.com/office/spreadsheetml/2009/9/main" objectType="Button" lockText="1"/>
</file>

<file path=xl/ctrlProps/ctrlProp101.xml><?xml version="1.0" encoding="utf-8"?>
<formControlPr xmlns="http://schemas.microsoft.com/office/spreadsheetml/2009/9/main" objectType="Button" lockText="1"/>
</file>

<file path=xl/ctrlProps/ctrlProp102.xml><?xml version="1.0" encoding="utf-8"?>
<formControlPr xmlns="http://schemas.microsoft.com/office/spreadsheetml/2009/9/main" objectType="Button" lockText="1"/>
</file>

<file path=xl/ctrlProps/ctrlProp103.xml><?xml version="1.0" encoding="utf-8"?>
<formControlPr xmlns="http://schemas.microsoft.com/office/spreadsheetml/2009/9/main" objectType="Button" lockText="1"/>
</file>

<file path=xl/ctrlProps/ctrlProp104.xml><?xml version="1.0" encoding="utf-8"?>
<formControlPr xmlns="http://schemas.microsoft.com/office/spreadsheetml/2009/9/main" objectType="Button" lockText="1"/>
</file>

<file path=xl/ctrlProps/ctrlProp105.xml><?xml version="1.0" encoding="utf-8"?>
<formControlPr xmlns="http://schemas.microsoft.com/office/spreadsheetml/2009/9/main" objectType="Button" lockText="1"/>
</file>

<file path=xl/ctrlProps/ctrlProp106.xml><?xml version="1.0" encoding="utf-8"?>
<formControlPr xmlns="http://schemas.microsoft.com/office/spreadsheetml/2009/9/main" objectType="Button" lockText="1"/>
</file>

<file path=xl/ctrlProps/ctrlProp107.xml><?xml version="1.0" encoding="utf-8"?>
<formControlPr xmlns="http://schemas.microsoft.com/office/spreadsheetml/2009/9/main" objectType="Button" lockText="1"/>
</file>

<file path=xl/ctrlProps/ctrlProp108.xml><?xml version="1.0" encoding="utf-8"?>
<formControlPr xmlns="http://schemas.microsoft.com/office/spreadsheetml/2009/9/main" objectType="Button" lockText="1"/>
</file>

<file path=xl/ctrlProps/ctrlProp109.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10.xml><?xml version="1.0" encoding="utf-8"?>
<formControlPr xmlns="http://schemas.microsoft.com/office/spreadsheetml/2009/9/main" objectType="Button" lockText="1"/>
</file>

<file path=xl/ctrlProps/ctrlProp111.xml><?xml version="1.0" encoding="utf-8"?>
<formControlPr xmlns="http://schemas.microsoft.com/office/spreadsheetml/2009/9/main" objectType="Button" lockText="1"/>
</file>

<file path=xl/ctrlProps/ctrlProp112.xml><?xml version="1.0" encoding="utf-8"?>
<formControlPr xmlns="http://schemas.microsoft.com/office/spreadsheetml/2009/9/main" objectType="Button" lockText="1"/>
</file>

<file path=xl/ctrlProps/ctrlProp113.xml><?xml version="1.0" encoding="utf-8"?>
<formControlPr xmlns="http://schemas.microsoft.com/office/spreadsheetml/2009/9/main" objectType="Button" lockText="1"/>
</file>

<file path=xl/ctrlProps/ctrlProp114.xml><?xml version="1.0" encoding="utf-8"?>
<formControlPr xmlns="http://schemas.microsoft.com/office/spreadsheetml/2009/9/main" objectType="Button" lockText="1"/>
</file>

<file path=xl/ctrlProps/ctrlProp115.xml><?xml version="1.0" encoding="utf-8"?>
<formControlPr xmlns="http://schemas.microsoft.com/office/spreadsheetml/2009/9/main" objectType="Button" lockText="1"/>
</file>

<file path=xl/ctrlProps/ctrlProp116.xml><?xml version="1.0" encoding="utf-8"?>
<formControlPr xmlns="http://schemas.microsoft.com/office/spreadsheetml/2009/9/main" objectType="Button" lockText="1"/>
</file>

<file path=xl/ctrlProps/ctrlProp117.xml><?xml version="1.0" encoding="utf-8"?>
<formControlPr xmlns="http://schemas.microsoft.com/office/spreadsheetml/2009/9/main" objectType="Button" lockText="1"/>
</file>

<file path=xl/ctrlProps/ctrlProp118.xml><?xml version="1.0" encoding="utf-8"?>
<formControlPr xmlns="http://schemas.microsoft.com/office/spreadsheetml/2009/9/main" objectType="Button" lockText="1"/>
</file>

<file path=xl/ctrlProps/ctrlProp119.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20.xml><?xml version="1.0" encoding="utf-8"?>
<formControlPr xmlns="http://schemas.microsoft.com/office/spreadsheetml/2009/9/main" objectType="Button" lockText="1"/>
</file>

<file path=xl/ctrlProps/ctrlProp121.xml><?xml version="1.0" encoding="utf-8"?>
<formControlPr xmlns="http://schemas.microsoft.com/office/spreadsheetml/2009/9/main" objectType="Label" lockText="1"/>
</file>

<file path=xl/ctrlProps/ctrlProp122.xml><?xml version="1.0" encoding="utf-8"?>
<formControlPr xmlns="http://schemas.microsoft.com/office/spreadsheetml/2009/9/main" objectType="Button" lockText="1"/>
</file>

<file path=xl/ctrlProps/ctrlProp123.xml><?xml version="1.0" encoding="utf-8"?>
<formControlPr xmlns="http://schemas.microsoft.com/office/spreadsheetml/2009/9/main" objectType="Button" lockText="1"/>
</file>

<file path=xl/ctrlProps/ctrlProp124.xml><?xml version="1.0" encoding="utf-8"?>
<formControlPr xmlns="http://schemas.microsoft.com/office/spreadsheetml/2009/9/main" objectType="Button" lockText="1"/>
</file>

<file path=xl/ctrlProps/ctrlProp125.xml><?xml version="1.0" encoding="utf-8"?>
<formControlPr xmlns="http://schemas.microsoft.com/office/spreadsheetml/2009/9/main" objectType="Button" lockText="1"/>
</file>

<file path=xl/ctrlProps/ctrlProp126.xml><?xml version="1.0" encoding="utf-8"?>
<formControlPr xmlns="http://schemas.microsoft.com/office/spreadsheetml/2009/9/main" objectType="Button" lockText="1"/>
</file>

<file path=xl/ctrlProps/ctrlProp127.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33.xml><?xml version="1.0" encoding="utf-8"?>
<formControlPr xmlns="http://schemas.microsoft.com/office/spreadsheetml/2009/9/main" objectType="Button" lockText="1"/>
</file>

<file path=xl/ctrlProps/ctrlProp34.xml><?xml version="1.0" encoding="utf-8"?>
<formControlPr xmlns="http://schemas.microsoft.com/office/spreadsheetml/2009/9/main" objectType="Button" lockText="1"/>
</file>

<file path=xl/ctrlProps/ctrlProp35.xml><?xml version="1.0" encoding="utf-8"?>
<formControlPr xmlns="http://schemas.microsoft.com/office/spreadsheetml/2009/9/main" objectType="Button" lockText="1"/>
</file>

<file path=xl/ctrlProps/ctrlProp36.xml><?xml version="1.0" encoding="utf-8"?>
<formControlPr xmlns="http://schemas.microsoft.com/office/spreadsheetml/2009/9/main" objectType="Button" lockText="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Button"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Button" lockText="1"/>
</file>

<file path=xl/ctrlProps/ctrlProp42.xml><?xml version="1.0" encoding="utf-8"?>
<formControlPr xmlns="http://schemas.microsoft.com/office/spreadsheetml/2009/9/main" objectType="Button" lockText="1"/>
</file>

<file path=xl/ctrlProps/ctrlProp43.xml><?xml version="1.0" encoding="utf-8"?>
<formControlPr xmlns="http://schemas.microsoft.com/office/spreadsheetml/2009/9/main" objectType="Button" lockText="1"/>
</file>

<file path=xl/ctrlProps/ctrlProp44.xml><?xml version="1.0" encoding="utf-8"?>
<formControlPr xmlns="http://schemas.microsoft.com/office/spreadsheetml/2009/9/main" objectType="Button" lockText="1"/>
</file>

<file path=xl/ctrlProps/ctrlProp45.xml><?xml version="1.0" encoding="utf-8"?>
<formControlPr xmlns="http://schemas.microsoft.com/office/spreadsheetml/2009/9/main" objectType="Button" lockText="1"/>
</file>

<file path=xl/ctrlProps/ctrlProp46.xml><?xml version="1.0" encoding="utf-8"?>
<formControlPr xmlns="http://schemas.microsoft.com/office/spreadsheetml/2009/9/main" objectType="Button" lockText="1"/>
</file>

<file path=xl/ctrlProps/ctrlProp47.xml><?xml version="1.0" encoding="utf-8"?>
<formControlPr xmlns="http://schemas.microsoft.com/office/spreadsheetml/2009/9/main" objectType="Button" lockText="1"/>
</file>

<file path=xl/ctrlProps/ctrlProp48.xml><?xml version="1.0" encoding="utf-8"?>
<formControlPr xmlns="http://schemas.microsoft.com/office/spreadsheetml/2009/9/main" objectType="Button" lockText="1"/>
</file>

<file path=xl/ctrlProps/ctrlProp49.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Button" lockText="1"/>
</file>

<file path=xl/ctrlProps/ctrlProp51.xml><?xml version="1.0" encoding="utf-8"?>
<formControlPr xmlns="http://schemas.microsoft.com/office/spreadsheetml/2009/9/main" objectType="Button"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6.xml><?xml version="1.0" encoding="utf-8"?>
<formControlPr xmlns="http://schemas.microsoft.com/office/spreadsheetml/2009/9/main" objectType="Button" lockText="1"/>
</file>

<file path=xl/ctrlProps/ctrlProp57.xml><?xml version="1.0" encoding="utf-8"?>
<formControlPr xmlns="http://schemas.microsoft.com/office/spreadsheetml/2009/9/main" objectType="Button" lockText="1"/>
</file>

<file path=xl/ctrlProps/ctrlProp58.xml><?xml version="1.0" encoding="utf-8"?>
<formControlPr xmlns="http://schemas.microsoft.com/office/spreadsheetml/2009/9/main" objectType="Button" lockText="1"/>
</file>

<file path=xl/ctrlProps/ctrlProp59.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60.xml><?xml version="1.0" encoding="utf-8"?>
<formControlPr xmlns="http://schemas.microsoft.com/office/spreadsheetml/2009/9/main" objectType="Button" lockText="1"/>
</file>

<file path=xl/ctrlProps/ctrlProp61.xml><?xml version="1.0" encoding="utf-8"?>
<formControlPr xmlns="http://schemas.microsoft.com/office/spreadsheetml/2009/9/main" objectType="Button" lockText="1"/>
</file>

<file path=xl/ctrlProps/ctrlProp62.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5.xml><?xml version="1.0" encoding="utf-8"?>
<formControlPr xmlns="http://schemas.microsoft.com/office/spreadsheetml/2009/9/main" objectType="Button" lockText="1"/>
</file>

<file path=xl/ctrlProps/ctrlProp66.xml><?xml version="1.0" encoding="utf-8"?>
<formControlPr xmlns="http://schemas.microsoft.com/office/spreadsheetml/2009/9/main" objectType="Button" lockText="1"/>
</file>

<file path=xl/ctrlProps/ctrlProp67.xml><?xml version="1.0" encoding="utf-8"?>
<formControlPr xmlns="http://schemas.microsoft.com/office/spreadsheetml/2009/9/main" objectType="Button" lockText="1"/>
</file>

<file path=xl/ctrlProps/ctrlProp68.xml><?xml version="1.0" encoding="utf-8"?>
<formControlPr xmlns="http://schemas.microsoft.com/office/spreadsheetml/2009/9/main" objectType="Button" lockText="1"/>
</file>

<file path=xl/ctrlProps/ctrlProp69.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70.xml><?xml version="1.0" encoding="utf-8"?>
<formControlPr xmlns="http://schemas.microsoft.com/office/spreadsheetml/2009/9/main" objectType="Button" lockText="1"/>
</file>

<file path=xl/ctrlProps/ctrlProp71.xml><?xml version="1.0" encoding="utf-8"?>
<formControlPr xmlns="http://schemas.microsoft.com/office/spreadsheetml/2009/9/main" objectType="Button" lockText="1"/>
</file>

<file path=xl/ctrlProps/ctrlProp72.xml><?xml version="1.0" encoding="utf-8"?>
<formControlPr xmlns="http://schemas.microsoft.com/office/spreadsheetml/2009/9/main" objectType="Button" lockText="1"/>
</file>

<file path=xl/ctrlProps/ctrlProp73.xml><?xml version="1.0" encoding="utf-8"?>
<formControlPr xmlns="http://schemas.microsoft.com/office/spreadsheetml/2009/9/main" objectType="Button" lockText="1"/>
</file>

<file path=xl/ctrlProps/ctrlProp74.xml><?xml version="1.0" encoding="utf-8"?>
<formControlPr xmlns="http://schemas.microsoft.com/office/spreadsheetml/2009/9/main" objectType="Button" lockText="1"/>
</file>

<file path=xl/ctrlProps/ctrlProp75.xml><?xml version="1.0" encoding="utf-8"?>
<formControlPr xmlns="http://schemas.microsoft.com/office/spreadsheetml/2009/9/main" objectType="Button" lockText="1"/>
</file>

<file path=xl/ctrlProps/ctrlProp76.xml><?xml version="1.0" encoding="utf-8"?>
<formControlPr xmlns="http://schemas.microsoft.com/office/spreadsheetml/2009/9/main" objectType="Button" lockText="1"/>
</file>

<file path=xl/ctrlProps/ctrlProp77.xml><?xml version="1.0" encoding="utf-8"?>
<formControlPr xmlns="http://schemas.microsoft.com/office/spreadsheetml/2009/9/main" objectType="Button" lockText="1"/>
</file>

<file path=xl/ctrlProps/ctrlProp78.xml><?xml version="1.0" encoding="utf-8"?>
<formControlPr xmlns="http://schemas.microsoft.com/office/spreadsheetml/2009/9/main" objectType="Button" lockText="1"/>
</file>

<file path=xl/ctrlProps/ctrlProp79.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80.xml><?xml version="1.0" encoding="utf-8"?>
<formControlPr xmlns="http://schemas.microsoft.com/office/spreadsheetml/2009/9/main" objectType="Button" lockText="1"/>
</file>

<file path=xl/ctrlProps/ctrlProp81.xml><?xml version="1.0" encoding="utf-8"?>
<formControlPr xmlns="http://schemas.microsoft.com/office/spreadsheetml/2009/9/main" objectType="Button" lockText="1"/>
</file>

<file path=xl/ctrlProps/ctrlProp82.xml><?xml version="1.0" encoding="utf-8"?>
<formControlPr xmlns="http://schemas.microsoft.com/office/spreadsheetml/2009/9/main" objectType="Button" lockText="1"/>
</file>

<file path=xl/ctrlProps/ctrlProp83.xml><?xml version="1.0" encoding="utf-8"?>
<formControlPr xmlns="http://schemas.microsoft.com/office/spreadsheetml/2009/9/main" objectType="Button" lockText="1"/>
</file>

<file path=xl/ctrlProps/ctrlProp84.xml><?xml version="1.0" encoding="utf-8"?>
<formControlPr xmlns="http://schemas.microsoft.com/office/spreadsheetml/2009/9/main" objectType="Button" lockText="1"/>
</file>

<file path=xl/ctrlProps/ctrlProp85.xml><?xml version="1.0" encoding="utf-8"?>
<formControlPr xmlns="http://schemas.microsoft.com/office/spreadsheetml/2009/9/main" objectType="Button" lockText="1"/>
</file>

<file path=xl/ctrlProps/ctrlProp86.xml><?xml version="1.0" encoding="utf-8"?>
<formControlPr xmlns="http://schemas.microsoft.com/office/spreadsheetml/2009/9/main" objectType="Button" lockText="1"/>
</file>

<file path=xl/ctrlProps/ctrlProp87.xml><?xml version="1.0" encoding="utf-8"?>
<formControlPr xmlns="http://schemas.microsoft.com/office/spreadsheetml/2009/9/main" objectType="Button" lockText="1"/>
</file>

<file path=xl/ctrlProps/ctrlProp88.xml><?xml version="1.0" encoding="utf-8"?>
<formControlPr xmlns="http://schemas.microsoft.com/office/spreadsheetml/2009/9/main" objectType="Button" lockText="1"/>
</file>

<file path=xl/ctrlProps/ctrlProp89.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ctrlProps/ctrlProp90.xml><?xml version="1.0" encoding="utf-8"?>
<formControlPr xmlns="http://schemas.microsoft.com/office/spreadsheetml/2009/9/main" objectType="Button" lockText="1"/>
</file>

<file path=xl/ctrlProps/ctrlProp91.xml><?xml version="1.0" encoding="utf-8"?>
<formControlPr xmlns="http://schemas.microsoft.com/office/spreadsheetml/2009/9/main" objectType="Button" lockText="1"/>
</file>

<file path=xl/ctrlProps/ctrlProp92.xml><?xml version="1.0" encoding="utf-8"?>
<formControlPr xmlns="http://schemas.microsoft.com/office/spreadsheetml/2009/9/main" objectType="Button" lockText="1"/>
</file>

<file path=xl/ctrlProps/ctrlProp93.xml><?xml version="1.0" encoding="utf-8"?>
<formControlPr xmlns="http://schemas.microsoft.com/office/spreadsheetml/2009/9/main" objectType="Button" lockText="1"/>
</file>

<file path=xl/ctrlProps/ctrlProp94.xml><?xml version="1.0" encoding="utf-8"?>
<formControlPr xmlns="http://schemas.microsoft.com/office/spreadsheetml/2009/9/main" objectType="Button" lockText="1"/>
</file>

<file path=xl/ctrlProps/ctrlProp95.xml><?xml version="1.0" encoding="utf-8"?>
<formControlPr xmlns="http://schemas.microsoft.com/office/spreadsheetml/2009/9/main" objectType="Button" lockText="1"/>
</file>

<file path=xl/ctrlProps/ctrlProp96.xml><?xml version="1.0" encoding="utf-8"?>
<formControlPr xmlns="http://schemas.microsoft.com/office/spreadsheetml/2009/9/main" objectType="Button" lockText="1"/>
</file>

<file path=xl/ctrlProps/ctrlProp97.xml><?xml version="1.0" encoding="utf-8"?>
<formControlPr xmlns="http://schemas.microsoft.com/office/spreadsheetml/2009/9/main" objectType="Button" lockText="1"/>
</file>

<file path=xl/ctrlProps/ctrlProp98.xml><?xml version="1.0" encoding="utf-8"?>
<formControlPr xmlns="http://schemas.microsoft.com/office/spreadsheetml/2009/9/main" objectType="Button" lockText="1"/>
</file>

<file path=xl/ctrlProps/ctrlProp99.xml><?xml version="1.0" encoding="utf-8"?>
<formControlPr xmlns="http://schemas.microsoft.com/office/spreadsheetml/2009/9/main" objectType="Button" lockText="1"/>
</file>

<file path=xl/drawings/_rels/vmlDrawing17.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8.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84</xdr:row>
          <xdr:rowOff>76200</xdr:rowOff>
        </xdr:from>
        <xdr:to>
          <xdr:col>3</xdr:col>
          <xdr:colOff>742950</xdr:colOff>
          <xdr:row>85</xdr:row>
          <xdr:rowOff>142875</xdr:rowOff>
        </xdr:to>
        <xdr:sp macro="" textlink="">
          <xdr:nvSpPr>
            <xdr:cNvPr id="1048" name="Button 24" hidden="1">
              <a:extLst>
                <a:ext uri="{63B3BB69-23CF-44E3-9099-C40C66FF867C}">
                  <a14:compatExt spid="_x0000_s1048"/>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FF0000"/>
                  </a:solidFill>
                  <a:latin typeface="Arial"/>
                  <a:cs typeface="Arial"/>
                </a:rPr>
                <a:t>Update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742950</xdr:colOff>
          <xdr:row>84</xdr:row>
          <xdr:rowOff>76200</xdr:rowOff>
        </xdr:from>
        <xdr:to>
          <xdr:col>4</xdr:col>
          <xdr:colOff>561975</xdr:colOff>
          <xdr:row>85</xdr:row>
          <xdr:rowOff>142875</xdr:rowOff>
        </xdr:to>
        <xdr:sp macro="" textlink="">
          <xdr:nvSpPr>
            <xdr:cNvPr id="1052" name="Button 28" hidden="1">
              <a:extLst>
                <a:ext uri="{63B3BB69-23CF-44E3-9099-C40C66FF867C}">
                  <a14:compatExt spid="_x0000_s1052"/>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PressRate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162</xdr:row>
          <xdr:rowOff>0</xdr:rowOff>
        </xdr:from>
        <xdr:to>
          <xdr:col>0</xdr:col>
          <xdr:colOff>914400</xdr:colOff>
          <xdr:row>163</xdr:row>
          <xdr:rowOff>66675</xdr:rowOff>
        </xdr:to>
        <xdr:sp macro="" textlink="">
          <xdr:nvSpPr>
            <xdr:cNvPr id="1061" name="Button 37" hidden="1">
              <a:extLst>
                <a:ext uri="{63B3BB69-23CF-44E3-9099-C40C66FF867C}">
                  <a14:compatExt spid="_x0000_s1061"/>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Notes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390525</xdr:colOff>
          <xdr:row>0</xdr:row>
          <xdr:rowOff>0</xdr:rowOff>
        </xdr:from>
        <xdr:to>
          <xdr:col>3</xdr:col>
          <xdr:colOff>238125</xdr:colOff>
          <xdr:row>0</xdr:row>
          <xdr:rowOff>180975</xdr:rowOff>
        </xdr:to>
        <xdr:sp macro="" textlink="">
          <xdr:nvSpPr>
            <xdr:cNvPr id="1066" name="Button 42" hidden="1">
              <a:extLst>
                <a:ext uri="{63B3BB69-23CF-44E3-9099-C40C66FF867C}">
                  <a14:compatExt spid="_x0000_s1066"/>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Sales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84</xdr:row>
          <xdr:rowOff>76200</xdr:rowOff>
        </xdr:from>
        <xdr:to>
          <xdr:col>5</xdr:col>
          <xdr:colOff>476250</xdr:colOff>
          <xdr:row>85</xdr:row>
          <xdr:rowOff>142875</xdr:rowOff>
        </xdr:to>
        <xdr:sp macro="" textlink="">
          <xdr:nvSpPr>
            <xdr:cNvPr id="1071" name="Button 47" hidden="1">
              <a:extLst>
                <a:ext uri="{63B3BB69-23CF-44E3-9099-C40C66FF867C}">
                  <a14:compatExt spid="_x0000_s1071"/>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Automation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xdr:row>
          <xdr:rowOff>9525</xdr:rowOff>
        </xdr:from>
        <xdr:to>
          <xdr:col>12</xdr:col>
          <xdr:colOff>828675</xdr:colOff>
          <xdr:row>8</xdr:row>
          <xdr:rowOff>28575</xdr:rowOff>
        </xdr:to>
        <xdr:sp macro="" textlink="">
          <xdr:nvSpPr>
            <xdr:cNvPr id="1073" name="Button 49" hidden="1">
              <a:extLst>
                <a:ext uri="{63B3BB69-23CF-44E3-9099-C40C66FF867C}">
                  <a14:compatExt spid="_x0000_s1073"/>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Volume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92</xdr:row>
          <xdr:rowOff>123825</xdr:rowOff>
        </xdr:from>
        <xdr:to>
          <xdr:col>13</xdr:col>
          <xdr:colOff>466725</xdr:colOff>
          <xdr:row>94</xdr:row>
          <xdr:rowOff>9525</xdr:rowOff>
        </xdr:to>
        <xdr:sp macro="" textlink="">
          <xdr:nvSpPr>
            <xdr:cNvPr id="1081" name="Button 57" hidden="1">
              <a:extLst>
                <a:ext uri="{63B3BB69-23CF-44E3-9099-C40C66FF867C}">
                  <a14:compatExt spid="_x0000_s1081"/>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GFL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xdr:row>
          <xdr:rowOff>66675</xdr:rowOff>
        </xdr:from>
        <xdr:to>
          <xdr:col>12</xdr:col>
          <xdr:colOff>819150</xdr:colOff>
          <xdr:row>11</xdr:row>
          <xdr:rowOff>47625</xdr:rowOff>
        </xdr:to>
        <xdr:sp macro="" textlink="">
          <xdr:nvSpPr>
            <xdr:cNvPr id="1082" name="Button 58" hidden="1">
              <a:extLst>
                <a:ext uri="{63B3BB69-23CF-44E3-9099-C40C66FF867C}">
                  <a14:compatExt spid="_x0000_s1082"/>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Reset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723900</xdr:colOff>
          <xdr:row>41</xdr:row>
          <xdr:rowOff>0</xdr:rowOff>
        </xdr:from>
        <xdr:to>
          <xdr:col>3</xdr:col>
          <xdr:colOff>438150</xdr:colOff>
          <xdr:row>42</xdr:row>
          <xdr:rowOff>28575</xdr:rowOff>
        </xdr:to>
        <xdr:sp macro="" textlink="">
          <xdr:nvSpPr>
            <xdr:cNvPr id="1083" name="Button 59" hidden="1">
              <a:extLst>
                <a:ext uri="{63B3BB69-23CF-44E3-9099-C40C66FF867C}">
                  <a14:compatExt spid="_x0000_s1083"/>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MuCell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184</xdr:row>
          <xdr:rowOff>66675</xdr:rowOff>
        </xdr:from>
        <xdr:to>
          <xdr:col>4</xdr:col>
          <xdr:colOff>47625</xdr:colOff>
          <xdr:row>185</xdr:row>
          <xdr:rowOff>152400</xdr:rowOff>
        </xdr:to>
        <xdr:sp macro="" textlink="">
          <xdr:nvSpPr>
            <xdr:cNvPr id="1088" name="Button 64" hidden="1">
              <a:extLst>
                <a:ext uri="{63B3BB69-23CF-44E3-9099-C40C66FF867C}">
                  <a14:compatExt spid="_x0000_s1088"/>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900" b="1" i="0" u="none" strike="noStrike" baseline="0">
                  <a:solidFill>
                    <a:srgbClr val="0000FF"/>
                  </a:solidFill>
                  <a:latin typeface="Arial"/>
                  <a:cs typeface="Arial"/>
                </a:rPr>
                <a:t>Quote Entry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184</xdr:row>
          <xdr:rowOff>66675</xdr:rowOff>
        </xdr:from>
        <xdr:to>
          <xdr:col>5</xdr:col>
          <xdr:colOff>28575</xdr:colOff>
          <xdr:row>185</xdr:row>
          <xdr:rowOff>152400</xdr:rowOff>
        </xdr:to>
        <xdr:sp macro="" textlink="">
          <xdr:nvSpPr>
            <xdr:cNvPr id="1091" name="Button 67" hidden="1">
              <a:extLst>
                <a:ext uri="{63B3BB69-23CF-44E3-9099-C40C66FF867C}">
                  <a14:compatExt spid="_x0000_s1091"/>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900" b="1" i="0" u="none" strike="noStrike" baseline="0">
                  <a:solidFill>
                    <a:srgbClr val="0000FF"/>
                  </a:solidFill>
                  <a:latin typeface="Arial"/>
                  <a:cs typeface="Arial"/>
                </a:rPr>
                <a:t>Cust. Quote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91</xdr:row>
          <xdr:rowOff>47625</xdr:rowOff>
        </xdr:from>
        <xdr:to>
          <xdr:col>13</xdr:col>
          <xdr:colOff>466725</xdr:colOff>
          <xdr:row>92</xdr:row>
          <xdr:rowOff>114300</xdr:rowOff>
        </xdr:to>
        <xdr:sp macro="" textlink="">
          <xdr:nvSpPr>
            <xdr:cNvPr id="1098" name="Button 74" hidden="1">
              <a:extLst>
                <a:ext uri="{63B3BB69-23CF-44E3-9099-C40C66FF867C}">
                  <a14:compatExt spid="_x0000_s1098"/>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Reset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1323975</xdr:colOff>
          <xdr:row>0</xdr:row>
          <xdr:rowOff>0</xdr:rowOff>
        </xdr:from>
        <xdr:to>
          <xdr:col>1</xdr:col>
          <xdr:colOff>800100</xdr:colOff>
          <xdr:row>0</xdr:row>
          <xdr:rowOff>180975</xdr:rowOff>
        </xdr:to>
        <xdr:sp macro="" textlink="">
          <xdr:nvSpPr>
            <xdr:cNvPr id="1102" name="Button 78" hidden="1">
              <a:extLst>
                <a:ext uri="{63B3BB69-23CF-44E3-9099-C40C66FF867C}">
                  <a14:compatExt spid="_x0000_s1102"/>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Clear Sheet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5</xdr:row>
          <xdr:rowOff>314325</xdr:rowOff>
        </xdr:from>
        <xdr:to>
          <xdr:col>6</xdr:col>
          <xdr:colOff>523875</xdr:colOff>
          <xdr:row>7</xdr:row>
          <xdr:rowOff>19050</xdr:rowOff>
        </xdr:to>
        <xdr:sp macro="" textlink="">
          <xdr:nvSpPr>
            <xdr:cNvPr id="1106" name="Button 82" hidden="1">
              <a:extLst>
                <a:ext uri="{63B3BB69-23CF-44E3-9099-C40C66FF867C}">
                  <a14:compatExt spid="_x0000_s1106"/>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FF0000"/>
                  </a:solidFill>
                  <a:latin typeface="Arial"/>
                  <a:cs typeface="Arial"/>
                </a:rPr>
                <a:t>Update</a:t>
              </a:r>
              <a:r>
                <a:rPr lang="en-US" sz="1200" b="1" i="0" u="none" strike="noStrike" baseline="0">
                  <a:solidFill>
                    <a:srgbClr val="FF0000"/>
                  </a:solidFill>
                  <a:latin typeface="Arial"/>
                  <a:cs typeface="Arial"/>
                </a:rPr>
                <a:t>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238125</xdr:colOff>
          <xdr:row>0</xdr:row>
          <xdr:rowOff>0</xdr:rowOff>
        </xdr:from>
        <xdr:to>
          <xdr:col>4</xdr:col>
          <xdr:colOff>76200</xdr:colOff>
          <xdr:row>0</xdr:row>
          <xdr:rowOff>180975</xdr:rowOff>
        </xdr:to>
        <xdr:sp macro="" textlink="">
          <xdr:nvSpPr>
            <xdr:cNvPr id="1107" name="Button 83" hidden="1">
              <a:extLst>
                <a:ext uri="{63B3BB69-23CF-44E3-9099-C40C66FF867C}">
                  <a14:compatExt spid="_x0000_s1107"/>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Customer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84</xdr:row>
          <xdr:rowOff>76200</xdr:rowOff>
        </xdr:from>
        <xdr:to>
          <xdr:col>6</xdr:col>
          <xdr:colOff>390525</xdr:colOff>
          <xdr:row>85</xdr:row>
          <xdr:rowOff>142875</xdr:rowOff>
        </xdr:to>
        <xdr:sp macro="" textlink="">
          <xdr:nvSpPr>
            <xdr:cNvPr id="1108" name="Button 84" hidden="1">
              <a:extLst>
                <a:ext uri="{63B3BB69-23CF-44E3-9099-C40C66FF867C}">
                  <a14:compatExt spid="_x0000_s1108"/>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Button List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184</xdr:row>
          <xdr:rowOff>66675</xdr:rowOff>
        </xdr:from>
        <xdr:to>
          <xdr:col>6</xdr:col>
          <xdr:colOff>9525</xdr:colOff>
          <xdr:row>185</xdr:row>
          <xdr:rowOff>152400</xdr:rowOff>
        </xdr:to>
        <xdr:sp macro="" textlink="">
          <xdr:nvSpPr>
            <xdr:cNvPr id="1116" name="Button 92" hidden="1">
              <a:extLst>
                <a:ext uri="{63B3BB69-23CF-44E3-9099-C40C66FF867C}">
                  <a14:compatExt spid="_x0000_s1116"/>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900" b="1" i="0" u="none" strike="noStrike" baseline="0">
                  <a:solidFill>
                    <a:srgbClr val="0000FF"/>
                  </a:solidFill>
                  <a:latin typeface="Arial"/>
                  <a:cs typeface="Arial"/>
                </a:rPr>
                <a:t>Full  Quote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189</xdr:row>
          <xdr:rowOff>95250</xdr:rowOff>
        </xdr:from>
        <xdr:to>
          <xdr:col>0</xdr:col>
          <xdr:colOff>895350</xdr:colOff>
          <xdr:row>191</xdr:row>
          <xdr:rowOff>9525</xdr:rowOff>
        </xdr:to>
        <xdr:sp macro="" textlink="">
          <xdr:nvSpPr>
            <xdr:cNvPr id="1117" name="Button 93" hidden="1">
              <a:extLst>
                <a:ext uri="{63B3BB69-23CF-44E3-9099-C40C66FF867C}">
                  <a14:compatExt spid="_x0000_s1117"/>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Notes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191</xdr:row>
          <xdr:rowOff>9525</xdr:rowOff>
        </xdr:from>
        <xdr:to>
          <xdr:col>0</xdr:col>
          <xdr:colOff>895350</xdr:colOff>
          <xdr:row>192</xdr:row>
          <xdr:rowOff>76200</xdr:rowOff>
        </xdr:to>
        <xdr:sp macro="" textlink="">
          <xdr:nvSpPr>
            <xdr:cNvPr id="1122" name="Button 98" hidden="1">
              <a:extLst>
                <a:ext uri="{63B3BB69-23CF-44E3-9099-C40C66FF867C}">
                  <a14:compatExt spid="_x0000_s1122"/>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Standard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192</xdr:row>
          <xdr:rowOff>85725</xdr:rowOff>
        </xdr:from>
        <xdr:to>
          <xdr:col>0</xdr:col>
          <xdr:colOff>895350</xdr:colOff>
          <xdr:row>193</xdr:row>
          <xdr:rowOff>152400</xdr:rowOff>
        </xdr:to>
        <xdr:sp macro="" textlink="">
          <xdr:nvSpPr>
            <xdr:cNvPr id="1123" name="Button 99" hidden="1">
              <a:extLst>
                <a:ext uri="{63B3BB69-23CF-44E3-9099-C40C66FF867C}">
                  <a14:compatExt spid="_x0000_s1123"/>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Insert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193</xdr:row>
          <xdr:rowOff>152400</xdr:rowOff>
        </xdr:from>
        <xdr:to>
          <xdr:col>0</xdr:col>
          <xdr:colOff>895350</xdr:colOff>
          <xdr:row>195</xdr:row>
          <xdr:rowOff>57150</xdr:rowOff>
        </xdr:to>
        <xdr:sp macro="" textlink="">
          <xdr:nvSpPr>
            <xdr:cNvPr id="1124" name="Button 100" hidden="1">
              <a:extLst>
                <a:ext uri="{63B3BB69-23CF-44E3-9099-C40C66FF867C}">
                  <a14:compatExt spid="_x0000_s1124"/>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CF Tool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16</xdr:row>
          <xdr:rowOff>161925</xdr:rowOff>
        </xdr:from>
        <xdr:to>
          <xdr:col>11</xdr:col>
          <xdr:colOff>466725</xdr:colOff>
          <xdr:row>42</xdr:row>
          <xdr:rowOff>19050</xdr:rowOff>
        </xdr:to>
        <xdr:sp macro="" textlink="">
          <xdr:nvSpPr>
            <xdr:cNvPr id="1125" name="Button 101" hidden="1">
              <a:extLst>
                <a:ext uri="{63B3BB69-23CF-44E3-9099-C40C66FF867C}">
                  <a14:compatExt spid="_x0000_s1125"/>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8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14</xdr:row>
          <xdr:rowOff>161925</xdr:rowOff>
        </xdr:from>
        <xdr:to>
          <xdr:col>11</xdr:col>
          <xdr:colOff>466725</xdr:colOff>
          <xdr:row>42</xdr:row>
          <xdr:rowOff>19050</xdr:rowOff>
        </xdr:to>
        <xdr:sp macro="" textlink="">
          <xdr:nvSpPr>
            <xdr:cNvPr id="1126" name="Button 102" hidden="1">
              <a:extLst>
                <a:ext uri="{63B3BB69-23CF-44E3-9099-C40C66FF867C}">
                  <a14:compatExt spid="_x0000_s1126"/>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8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12</xdr:row>
          <xdr:rowOff>161925</xdr:rowOff>
        </xdr:from>
        <xdr:to>
          <xdr:col>11</xdr:col>
          <xdr:colOff>466725</xdr:colOff>
          <xdr:row>42</xdr:row>
          <xdr:rowOff>0</xdr:rowOff>
        </xdr:to>
        <xdr:sp macro="" textlink="">
          <xdr:nvSpPr>
            <xdr:cNvPr id="1127" name="Button 103" hidden="1">
              <a:extLst>
                <a:ext uri="{63B3BB69-23CF-44E3-9099-C40C66FF867C}">
                  <a14:compatExt spid="_x0000_s1127"/>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8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10</xdr:row>
          <xdr:rowOff>190500</xdr:rowOff>
        </xdr:from>
        <xdr:to>
          <xdr:col>11</xdr:col>
          <xdr:colOff>466725</xdr:colOff>
          <xdr:row>11</xdr:row>
          <xdr:rowOff>161925</xdr:rowOff>
        </xdr:to>
        <xdr:sp macro="" textlink="">
          <xdr:nvSpPr>
            <xdr:cNvPr id="1128" name="Button 104" hidden="1">
              <a:extLst>
                <a:ext uri="{63B3BB69-23CF-44E3-9099-C40C66FF867C}">
                  <a14:compatExt spid="_x0000_s1128"/>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8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163</xdr:row>
          <xdr:rowOff>66675</xdr:rowOff>
        </xdr:from>
        <xdr:to>
          <xdr:col>0</xdr:col>
          <xdr:colOff>914400</xdr:colOff>
          <xdr:row>164</xdr:row>
          <xdr:rowOff>142875</xdr:rowOff>
        </xdr:to>
        <xdr:sp macro="" textlink="">
          <xdr:nvSpPr>
            <xdr:cNvPr id="1129" name="Button 105" hidden="1">
              <a:extLst>
                <a:ext uri="{63B3BB69-23CF-44E3-9099-C40C66FF867C}">
                  <a14:compatExt spid="_x0000_s1129"/>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Project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127</xdr:row>
          <xdr:rowOff>152400</xdr:rowOff>
        </xdr:from>
        <xdr:to>
          <xdr:col>6</xdr:col>
          <xdr:colOff>466725</xdr:colOff>
          <xdr:row>128</xdr:row>
          <xdr:rowOff>152400</xdr:rowOff>
        </xdr:to>
        <xdr:sp macro="" textlink="">
          <xdr:nvSpPr>
            <xdr:cNvPr id="1132" name="Button 108" hidden="1">
              <a:extLst>
                <a:ext uri="{63B3BB69-23CF-44E3-9099-C40C66FF867C}">
                  <a14:compatExt spid="_x0000_s1132"/>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129</xdr:row>
          <xdr:rowOff>161925</xdr:rowOff>
        </xdr:from>
        <xdr:to>
          <xdr:col>6</xdr:col>
          <xdr:colOff>466725</xdr:colOff>
          <xdr:row>130</xdr:row>
          <xdr:rowOff>161925</xdr:rowOff>
        </xdr:to>
        <xdr:sp macro="" textlink="">
          <xdr:nvSpPr>
            <xdr:cNvPr id="1133" name="Button 109" hidden="1">
              <a:extLst>
                <a:ext uri="{63B3BB69-23CF-44E3-9099-C40C66FF867C}">
                  <a14:compatExt spid="_x0000_s1133"/>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18</xdr:row>
          <xdr:rowOff>161925</xdr:rowOff>
        </xdr:from>
        <xdr:to>
          <xdr:col>11</xdr:col>
          <xdr:colOff>466725</xdr:colOff>
          <xdr:row>42</xdr:row>
          <xdr:rowOff>9525</xdr:rowOff>
        </xdr:to>
        <xdr:sp macro="" textlink="">
          <xdr:nvSpPr>
            <xdr:cNvPr id="1134" name="Button 110" hidden="1">
              <a:extLst>
                <a:ext uri="{63B3BB69-23CF-44E3-9099-C40C66FF867C}">
                  <a14:compatExt spid="_x0000_s1134"/>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8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128</xdr:row>
          <xdr:rowOff>9525</xdr:rowOff>
        </xdr:from>
        <xdr:to>
          <xdr:col>12</xdr:col>
          <xdr:colOff>466725</xdr:colOff>
          <xdr:row>129</xdr:row>
          <xdr:rowOff>9525</xdr:rowOff>
        </xdr:to>
        <xdr:sp macro="" textlink="">
          <xdr:nvSpPr>
            <xdr:cNvPr id="1135" name="Button 111" hidden="1">
              <a:extLst>
                <a:ext uri="{63B3BB69-23CF-44E3-9099-C40C66FF867C}">
                  <a14:compatExt spid="_x0000_s1135"/>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130</xdr:row>
          <xdr:rowOff>9525</xdr:rowOff>
        </xdr:from>
        <xdr:to>
          <xdr:col>12</xdr:col>
          <xdr:colOff>466725</xdr:colOff>
          <xdr:row>131</xdr:row>
          <xdr:rowOff>9525</xdr:rowOff>
        </xdr:to>
        <xdr:sp macro="" textlink="">
          <xdr:nvSpPr>
            <xdr:cNvPr id="1136" name="Button 112" hidden="1">
              <a:extLst>
                <a:ext uri="{63B3BB69-23CF-44E3-9099-C40C66FF867C}">
                  <a14:compatExt spid="_x0000_s1136"/>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85725</xdr:colOff>
          <xdr:row>0</xdr:row>
          <xdr:rowOff>0</xdr:rowOff>
        </xdr:from>
        <xdr:to>
          <xdr:col>4</xdr:col>
          <xdr:colOff>476250</xdr:colOff>
          <xdr:row>0</xdr:row>
          <xdr:rowOff>180975</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Rev</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164</xdr:row>
          <xdr:rowOff>142875</xdr:rowOff>
        </xdr:from>
        <xdr:to>
          <xdr:col>0</xdr:col>
          <xdr:colOff>914400</xdr:colOff>
          <xdr:row>166</xdr:row>
          <xdr:rowOff>47625</xdr:rowOff>
        </xdr:to>
        <xdr:sp macro="" textlink="">
          <xdr:nvSpPr>
            <xdr:cNvPr id="1234" name="Button 210" hidden="1">
              <a:extLst>
                <a:ext uri="{63B3BB69-23CF-44E3-9099-C40C66FF867C}">
                  <a14:compatExt spid="_x0000_s1234"/>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Gear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184</xdr:row>
          <xdr:rowOff>66675</xdr:rowOff>
        </xdr:from>
        <xdr:to>
          <xdr:col>6</xdr:col>
          <xdr:colOff>895350</xdr:colOff>
          <xdr:row>185</xdr:row>
          <xdr:rowOff>152400</xdr:rowOff>
        </xdr:to>
        <xdr:sp macro="" textlink="">
          <xdr:nvSpPr>
            <xdr:cNvPr id="1240" name="Button 216" hidden="1">
              <a:extLst>
                <a:ext uri="{63B3BB69-23CF-44E3-9099-C40C66FF867C}">
                  <a14:compatExt spid="_x0000_s1240"/>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900" b="1" i="0" u="none" strike="noStrike" baseline="0">
                  <a:solidFill>
                    <a:srgbClr val="0000FF"/>
                  </a:solidFill>
                  <a:latin typeface="Arial"/>
                  <a:cs typeface="Arial"/>
                </a:rPr>
                <a:t>View Quote</a:t>
              </a:r>
            </a:p>
            <a:p>
              <a:pPr algn="ctr" rtl="0">
                <a:defRPr sz="1000"/>
              </a:pPr>
              <a:endParaRPr lang="en-US" sz="900" b="1" i="0" u="none" strike="noStrike" baseline="0">
                <a:solidFill>
                  <a:srgbClr val="0000FF"/>
                </a:solidFill>
                <a:latin typeface="Arial"/>
                <a:cs typeface="Arial"/>
              </a:endParaRP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195</xdr:row>
          <xdr:rowOff>57150</xdr:rowOff>
        </xdr:from>
        <xdr:to>
          <xdr:col>0</xdr:col>
          <xdr:colOff>895350</xdr:colOff>
          <xdr:row>196</xdr:row>
          <xdr:rowOff>123825</xdr:rowOff>
        </xdr:to>
        <xdr:sp macro="" textlink="">
          <xdr:nvSpPr>
            <xdr:cNvPr id="1407" name="Button 383" hidden="1">
              <a:extLst>
                <a:ext uri="{63B3BB69-23CF-44E3-9099-C40C66FF867C}">
                  <a14:compatExt spid="_x0000_s1407"/>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Prototype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199</xdr:row>
          <xdr:rowOff>123825</xdr:rowOff>
        </xdr:from>
        <xdr:to>
          <xdr:col>0</xdr:col>
          <xdr:colOff>895350</xdr:colOff>
          <xdr:row>201</xdr:row>
          <xdr:rowOff>28575</xdr:rowOff>
        </xdr:to>
        <xdr:sp macro="" textlink="">
          <xdr:nvSpPr>
            <xdr:cNvPr id="1417" name="Button 393" hidden="1">
              <a:extLst>
                <a:ext uri="{63B3BB69-23CF-44E3-9099-C40C66FF867C}">
                  <a14:compatExt spid="_x0000_s1417"/>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Spell Check</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800100</xdr:colOff>
          <xdr:row>0</xdr:row>
          <xdr:rowOff>0</xdr:rowOff>
        </xdr:from>
        <xdr:to>
          <xdr:col>2</xdr:col>
          <xdr:colOff>381000</xdr:colOff>
          <xdr:row>0</xdr:row>
          <xdr:rowOff>180975</xdr:rowOff>
        </xdr:to>
        <xdr:sp macro="" textlink="">
          <xdr:nvSpPr>
            <xdr:cNvPr id="1479" name="Button 455" hidden="1">
              <a:extLst>
                <a:ext uri="{63B3BB69-23CF-44E3-9099-C40C66FF867C}">
                  <a14:compatExt spid="_x0000_s1479"/>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New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201</xdr:row>
          <xdr:rowOff>28575</xdr:rowOff>
        </xdr:from>
        <xdr:to>
          <xdr:col>0</xdr:col>
          <xdr:colOff>895350</xdr:colOff>
          <xdr:row>202</xdr:row>
          <xdr:rowOff>95250</xdr:rowOff>
        </xdr:to>
        <xdr:sp macro="" textlink="">
          <xdr:nvSpPr>
            <xdr:cNvPr id="1532" name="Button 508" hidden="1">
              <a:extLst>
                <a:ext uri="{63B3BB69-23CF-44E3-9099-C40C66FF867C}">
                  <a14:compatExt spid="_x0000_s1532"/>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Delete Line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41</xdr:row>
          <xdr:rowOff>0</xdr:rowOff>
        </xdr:from>
        <xdr:to>
          <xdr:col>2</xdr:col>
          <xdr:colOff>723900</xdr:colOff>
          <xdr:row>42</xdr:row>
          <xdr:rowOff>28575</xdr:rowOff>
        </xdr:to>
        <xdr:sp macro="" textlink="">
          <xdr:nvSpPr>
            <xdr:cNvPr id="1816" name="Button 792" hidden="1">
              <a:extLst>
                <a:ext uri="{63B3BB69-23CF-44E3-9099-C40C66FF867C}">
                  <a14:compatExt spid="_x0000_s1816"/>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Add Matl.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22</xdr:row>
          <xdr:rowOff>152400</xdr:rowOff>
        </xdr:from>
        <xdr:to>
          <xdr:col>11</xdr:col>
          <xdr:colOff>466725</xdr:colOff>
          <xdr:row>42</xdr:row>
          <xdr:rowOff>9525</xdr:rowOff>
        </xdr:to>
        <xdr:sp macro="" textlink="">
          <xdr:nvSpPr>
            <xdr:cNvPr id="1823" name="Button 799" hidden="1">
              <a:extLst>
                <a:ext uri="{63B3BB69-23CF-44E3-9099-C40C66FF867C}">
                  <a14:compatExt spid="_x0000_s1823"/>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8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20</xdr:row>
          <xdr:rowOff>152400</xdr:rowOff>
        </xdr:from>
        <xdr:to>
          <xdr:col>11</xdr:col>
          <xdr:colOff>466725</xdr:colOff>
          <xdr:row>42</xdr:row>
          <xdr:rowOff>9525</xdr:rowOff>
        </xdr:to>
        <xdr:sp macro="" textlink="">
          <xdr:nvSpPr>
            <xdr:cNvPr id="1824" name="Button 800" hidden="1">
              <a:extLst>
                <a:ext uri="{63B3BB69-23CF-44E3-9099-C40C66FF867C}">
                  <a14:compatExt spid="_x0000_s1824"/>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8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24</xdr:row>
          <xdr:rowOff>152400</xdr:rowOff>
        </xdr:from>
        <xdr:to>
          <xdr:col>11</xdr:col>
          <xdr:colOff>466725</xdr:colOff>
          <xdr:row>42</xdr:row>
          <xdr:rowOff>9525</xdr:rowOff>
        </xdr:to>
        <xdr:sp macro="" textlink="">
          <xdr:nvSpPr>
            <xdr:cNvPr id="1825" name="Button 801" hidden="1">
              <a:extLst>
                <a:ext uri="{63B3BB69-23CF-44E3-9099-C40C66FF867C}">
                  <a14:compatExt spid="_x0000_s1825"/>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8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26</xdr:row>
          <xdr:rowOff>152400</xdr:rowOff>
        </xdr:from>
        <xdr:to>
          <xdr:col>11</xdr:col>
          <xdr:colOff>466725</xdr:colOff>
          <xdr:row>42</xdr:row>
          <xdr:rowOff>9525</xdr:rowOff>
        </xdr:to>
        <xdr:sp macro="" textlink="">
          <xdr:nvSpPr>
            <xdr:cNvPr id="1826" name="Button 802" hidden="1">
              <a:extLst>
                <a:ext uri="{63B3BB69-23CF-44E3-9099-C40C66FF867C}">
                  <a14:compatExt spid="_x0000_s1826"/>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8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28</xdr:row>
          <xdr:rowOff>152400</xdr:rowOff>
        </xdr:from>
        <xdr:to>
          <xdr:col>11</xdr:col>
          <xdr:colOff>466725</xdr:colOff>
          <xdr:row>42</xdr:row>
          <xdr:rowOff>9525</xdr:rowOff>
        </xdr:to>
        <xdr:sp macro="" textlink="">
          <xdr:nvSpPr>
            <xdr:cNvPr id="1827" name="Button 803" hidden="1">
              <a:extLst>
                <a:ext uri="{63B3BB69-23CF-44E3-9099-C40C66FF867C}">
                  <a14:compatExt spid="_x0000_s1827"/>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8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390525</xdr:colOff>
          <xdr:row>84</xdr:row>
          <xdr:rowOff>76200</xdr:rowOff>
        </xdr:from>
        <xdr:to>
          <xdr:col>7</xdr:col>
          <xdr:colOff>285750</xdr:colOff>
          <xdr:row>85</xdr:row>
          <xdr:rowOff>142875</xdr:rowOff>
        </xdr:to>
        <xdr:sp macro="" textlink="">
          <xdr:nvSpPr>
            <xdr:cNvPr id="1840" name="Button 816" hidden="1">
              <a:extLst>
                <a:ext uri="{63B3BB69-23CF-44E3-9099-C40C66FF867C}">
                  <a14:compatExt spid="_x0000_s1840"/>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Add Press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198</xdr:row>
          <xdr:rowOff>47625</xdr:rowOff>
        </xdr:from>
        <xdr:to>
          <xdr:col>0</xdr:col>
          <xdr:colOff>895350</xdr:colOff>
          <xdr:row>199</xdr:row>
          <xdr:rowOff>114300</xdr:rowOff>
        </xdr:to>
        <xdr:sp macro="" textlink="">
          <xdr:nvSpPr>
            <xdr:cNvPr id="1895" name="Button 871" hidden="1">
              <a:extLst>
                <a:ext uri="{63B3BB69-23CF-44E3-9099-C40C66FF867C}">
                  <a14:compatExt spid="_x0000_s1895"/>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Tool Amort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5</xdr:row>
          <xdr:rowOff>295275</xdr:rowOff>
        </xdr:from>
        <xdr:to>
          <xdr:col>9</xdr:col>
          <xdr:colOff>771525</xdr:colOff>
          <xdr:row>7</xdr:row>
          <xdr:rowOff>19050</xdr:rowOff>
        </xdr:to>
        <xdr:sp macro="" textlink="">
          <xdr:nvSpPr>
            <xdr:cNvPr id="1939" name="Button 915" hidden="1">
              <a:extLst>
                <a:ext uri="{63B3BB69-23CF-44E3-9099-C40C66FF867C}">
                  <a14:compatExt spid="_x0000_s1939"/>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900" b="1" i="0" u="none" strike="noStrike" baseline="0">
                  <a:solidFill>
                    <a:srgbClr val="0000FF"/>
                  </a:solidFill>
                  <a:latin typeface="Arial"/>
                  <a:cs typeface="Arial"/>
                </a:rPr>
                <a:t>Print RFQ</a:t>
              </a:r>
            </a:p>
            <a:p>
              <a:pPr algn="ctr" rtl="0">
                <a:defRPr sz="1000"/>
              </a:pPr>
              <a:endParaRPr lang="en-US" sz="900" b="1" i="0" u="none" strike="noStrike" baseline="0">
                <a:solidFill>
                  <a:srgbClr val="0000FF"/>
                </a:solidFill>
                <a:latin typeface="Arial"/>
                <a:cs typeface="Arial"/>
              </a:endParaRP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166</xdr:row>
          <xdr:rowOff>47625</xdr:rowOff>
        </xdr:from>
        <xdr:to>
          <xdr:col>0</xdr:col>
          <xdr:colOff>914400</xdr:colOff>
          <xdr:row>167</xdr:row>
          <xdr:rowOff>114300</xdr:rowOff>
        </xdr:to>
        <xdr:sp macro="" textlink="">
          <xdr:nvSpPr>
            <xdr:cNvPr id="1944" name="Button 920" hidden="1">
              <a:extLst>
                <a:ext uri="{63B3BB69-23CF-44E3-9099-C40C66FF867C}">
                  <a14:compatExt spid="_x0000_s1944"/>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Print RFQ</a:t>
              </a:r>
            </a:p>
            <a:p>
              <a:pPr algn="ctr" rtl="0">
                <a:defRPr sz="1000"/>
              </a:pPr>
              <a:endParaRPr lang="en-US" sz="1200" b="1" i="0" u="none" strike="noStrike" baseline="0">
                <a:solidFill>
                  <a:srgbClr val="0000FF"/>
                </a:solidFill>
                <a:latin typeface="Arial"/>
                <a:cs typeface="Arial"/>
              </a:endParaRP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542925</xdr:colOff>
          <xdr:row>6</xdr:row>
          <xdr:rowOff>9525</xdr:rowOff>
        </xdr:from>
        <xdr:to>
          <xdr:col>11</xdr:col>
          <xdr:colOff>85725</xdr:colOff>
          <xdr:row>6</xdr:row>
          <xdr:rowOff>161925</xdr:rowOff>
        </xdr:to>
        <xdr:sp macro="" textlink="">
          <xdr:nvSpPr>
            <xdr:cNvPr id="2036" name="Button 1012" hidden="1">
              <a:extLst>
                <a:ext uri="{63B3BB69-23CF-44E3-9099-C40C66FF867C}">
                  <a14:compatExt spid="_x0000_s2036"/>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8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157</xdr:row>
          <xdr:rowOff>9525</xdr:rowOff>
        </xdr:from>
        <xdr:to>
          <xdr:col>6</xdr:col>
          <xdr:colOff>466725</xdr:colOff>
          <xdr:row>158</xdr:row>
          <xdr:rowOff>28575</xdr:rowOff>
        </xdr:to>
        <xdr:sp macro="" textlink="">
          <xdr:nvSpPr>
            <xdr:cNvPr id="44113" name="Button 1105" hidden="1">
              <a:extLst>
                <a:ext uri="{63B3BB69-23CF-44E3-9099-C40C66FF867C}">
                  <a14:compatExt spid="_x0000_s44113"/>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146</xdr:row>
          <xdr:rowOff>142875</xdr:rowOff>
        </xdr:from>
        <xdr:to>
          <xdr:col>6</xdr:col>
          <xdr:colOff>466725</xdr:colOff>
          <xdr:row>157</xdr:row>
          <xdr:rowOff>0</xdr:rowOff>
        </xdr:to>
        <xdr:sp macro="" textlink="">
          <xdr:nvSpPr>
            <xdr:cNvPr id="44138" name="Button 1130" hidden="1">
              <a:extLst>
                <a:ext uri="{63B3BB69-23CF-44E3-9099-C40C66FF867C}">
                  <a14:compatExt spid="_x0000_s44138"/>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xdr:row>
          <xdr:rowOff>28575</xdr:rowOff>
        </xdr:from>
        <xdr:to>
          <xdr:col>12</xdr:col>
          <xdr:colOff>828675</xdr:colOff>
          <xdr:row>9</xdr:row>
          <xdr:rowOff>38100</xdr:rowOff>
        </xdr:to>
        <xdr:sp macro="" textlink="">
          <xdr:nvSpPr>
            <xdr:cNvPr id="44390" name="Button 1382" hidden="1">
              <a:extLst>
                <a:ext uri="{63B3BB69-23CF-44E3-9099-C40C66FF867C}">
                  <a14:compatExt spid="_x0000_s44390"/>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Tooling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895350</xdr:colOff>
          <xdr:row>184</xdr:row>
          <xdr:rowOff>66675</xdr:rowOff>
        </xdr:from>
        <xdr:to>
          <xdr:col>7</xdr:col>
          <xdr:colOff>876300</xdr:colOff>
          <xdr:row>185</xdr:row>
          <xdr:rowOff>152400</xdr:rowOff>
        </xdr:to>
        <xdr:sp macro="" textlink="">
          <xdr:nvSpPr>
            <xdr:cNvPr id="44453" name="Button 1445" hidden="1">
              <a:extLst>
                <a:ext uri="{63B3BB69-23CF-44E3-9099-C40C66FF867C}">
                  <a14:compatExt spid="_x0000_s44453"/>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E-Quote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119</xdr:row>
          <xdr:rowOff>0</xdr:rowOff>
        </xdr:from>
        <xdr:to>
          <xdr:col>6</xdr:col>
          <xdr:colOff>466725</xdr:colOff>
          <xdr:row>120</xdr:row>
          <xdr:rowOff>0</xdr:rowOff>
        </xdr:to>
        <xdr:sp macro="" textlink="">
          <xdr:nvSpPr>
            <xdr:cNvPr id="44544" name="Button 1536" hidden="1">
              <a:extLst>
                <a:ext uri="{63B3BB69-23CF-44E3-9099-C40C66FF867C}">
                  <a14:compatExt spid="_x0000_s44544"/>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xdr:row>
          <xdr:rowOff>38100</xdr:rowOff>
        </xdr:from>
        <xdr:to>
          <xdr:col>12</xdr:col>
          <xdr:colOff>828675</xdr:colOff>
          <xdr:row>10</xdr:row>
          <xdr:rowOff>57150</xdr:rowOff>
        </xdr:to>
        <xdr:sp macro="" textlink="">
          <xdr:nvSpPr>
            <xdr:cNvPr id="44601" name="Button 1593" hidden="1">
              <a:extLst>
                <a:ext uri="{63B3BB69-23CF-44E3-9099-C40C66FF867C}">
                  <a14:compatExt spid="_x0000_s44601"/>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Automation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30</xdr:row>
          <xdr:rowOff>152400</xdr:rowOff>
        </xdr:from>
        <xdr:to>
          <xdr:col>11</xdr:col>
          <xdr:colOff>466725</xdr:colOff>
          <xdr:row>42</xdr:row>
          <xdr:rowOff>9525</xdr:rowOff>
        </xdr:to>
        <xdr:sp macro="" textlink="">
          <xdr:nvSpPr>
            <xdr:cNvPr id="44633" name="Button 1625" hidden="1">
              <a:extLst>
                <a:ext uri="{63B3BB69-23CF-44E3-9099-C40C66FF867C}">
                  <a14:compatExt spid="_x0000_s44633"/>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8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32</xdr:row>
          <xdr:rowOff>152400</xdr:rowOff>
        </xdr:from>
        <xdr:to>
          <xdr:col>11</xdr:col>
          <xdr:colOff>466725</xdr:colOff>
          <xdr:row>42</xdr:row>
          <xdr:rowOff>9525</xdr:rowOff>
        </xdr:to>
        <xdr:sp macro="" textlink="">
          <xdr:nvSpPr>
            <xdr:cNvPr id="44634" name="Button 1626" hidden="1">
              <a:extLst>
                <a:ext uri="{63B3BB69-23CF-44E3-9099-C40C66FF867C}">
                  <a14:compatExt spid="_x0000_s44634"/>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8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34</xdr:row>
          <xdr:rowOff>161925</xdr:rowOff>
        </xdr:from>
        <xdr:to>
          <xdr:col>11</xdr:col>
          <xdr:colOff>466725</xdr:colOff>
          <xdr:row>42</xdr:row>
          <xdr:rowOff>9525</xdr:rowOff>
        </xdr:to>
        <xdr:sp macro="" textlink="">
          <xdr:nvSpPr>
            <xdr:cNvPr id="44635" name="Button 1627" hidden="1">
              <a:extLst>
                <a:ext uri="{63B3BB69-23CF-44E3-9099-C40C66FF867C}">
                  <a14:compatExt spid="_x0000_s44635"/>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8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34</xdr:row>
          <xdr:rowOff>152400</xdr:rowOff>
        </xdr:from>
        <xdr:to>
          <xdr:col>11</xdr:col>
          <xdr:colOff>466725</xdr:colOff>
          <xdr:row>42</xdr:row>
          <xdr:rowOff>9525</xdr:rowOff>
        </xdr:to>
        <xdr:sp macro="" textlink="">
          <xdr:nvSpPr>
            <xdr:cNvPr id="44636" name="Button 1628" hidden="1">
              <a:extLst>
                <a:ext uri="{63B3BB69-23CF-44E3-9099-C40C66FF867C}">
                  <a14:compatExt spid="_x0000_s44636"/>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8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36</xdr:row>
          <xdr:rowOff>161925</xdr:rowOff>
        </xdr:from>
        <xdr:to>
          <xdr:col>11</xdr:col>
          <xdr:colOff>466725</xdr:colOff>
          <xdr:row>42</xdr:row>
          <xdr:rowOff>9525</xdr:rowOff>
        </xdr:to>
        <xdr:sp macro="" textlink="">
          <xdr:nvSpPr>
            <xdr:cNvPr id="44637" name="Button 1629" hidden="1">
              <a:extLst>
                <a:ext uri="{63B3BB69-23CF-44E3-9099-C40C66FF867C}">
                  <a14:compatExt spid="_x0000_s44637"/>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8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36</xdr:row>
          <xdr:rowOff>152400</xdr:rowOff>
        </xdr:from>
        <xdr:to>
          <xdr:col>11</xdr:col>
          <xdr:colOff>466725</xdr:colOff>
          <xdr:row>42</xdr:row>
          <xdr:rowOff>9525</xdr:rowOff>
        </xdr:to>
        <xdr:sp macro="" textlink="">
          <xdr:nvSpPr>
            <xdr:cNvPr id="44638" name="Button 1630" hidden="1">
              <a:extLst>
                <a:ext uri="{63B3BB69-23CF-44E3-9099-C40C66FF867C}">
                  <a14:compatExt spid="_x0000_s44638"/>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8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38</xdr:row>
          <xdr:rowOff>161925</xdr:rowOff>
        </xdr:from>
        <xdr:to>
          <xdr:col>11</xdr:col>
          <xdr:colOff>466725</xdr:colOff>
          <xdr:row>42</xdr:row>
          <xdr:rowOff>9525</xdr:rowOff>
        </xdr:to>
        <xdr:sp macro="" textlink="">
          <xdr:nvSpPr>
            <xdr:cNvPr id="44639" name="Button 1631" hidden="1">
              <a:extLst>
                <a:ext uri="{63B3BB69-23CF-44E3-9099-C40C66FF867C}">
                  <a14:compatExt spid="_x0000_s44639"/>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8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38</xdr:row>
          <xdr:rowOff>152400</xdr:rowOff>
        </xdr:from>
        <xdr:to>
          <xdr:col>11</xdr:col>
          <xdr:colOff>466725</xdr:colOff>
          <xdr:row>42</xdr:row>
          <xdr:rowOff>9525</xdr:rowOff>
        </xdr:to>
        <xdr:sp macro="" textlink="">
          <xdr:nvSpPr>
            <xdr:cNvPr id="44640" name="Button 1632" hidden="1">
              <a:extLst>
                <a:ext uri="{63B3BB69-23CF-44E3-9099-C40C66FF867C}">
                  <a14:compatExt spid="_x0000_s44640"/>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800" b="0"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285750</xdr:colOff>
          <xdr:row>84</xdr:row>
          <xdr:rowOff>76200</xdr:rowOff>
        </xdr:from>
        <xdr:to>
          <xdr:col>8</xdr:col>
          <xdr:colOff>200025</xdr:colOff>
          <xdr:row>85</xdr:row>
          <xdr:rowOff>142875</xdr:rowOff>
        </xdr:to>
        <xdr:sp macro="" textlink="">
          <xdr:nvSpPr>
            <xdr:cNvPr id="44696" name="Button 1688" hidden="1">
              <a:extLst>
                <a:ext uri="{63B3BB69-23CF-44E3-9099-C40C66FF867C}">
                  <a14:compatExt spid="_x0000_s44696"/>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Reset Cav</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202</xdr:row>
          <xdr:rowOff>95250</xdr:rowOff>
        </xdr:from>
        <xdr:to>
          <xdr:col>0</xdr:col>
          <xdr:colOff>895350</xdr:colOff>
          <xdr:row>204</xdr:row>
          <xdr:rowOff>0</xdr:rowOff>
        </xdr:to>
        <xdr:sp macro="" textlink="">
          <xdr:nvSpPr>
            <xdr:cNvPr id="44825" name="Button 1817" hidden="1">
              <a:extLst>
                <a:ext uri="{63B3BB69-23CF-44E3-9099-C40C66FF867C}">
                  <a14:compatExt spid="_x0000_s44825"/>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Price Dev</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196</xdr:row>
          <xdr:rowOff>142875</xdr:rowOff>
        </xdr:from>
        <xdr:to>
          <xdr:col>0</xdr:col>
          <xdr:colOff>895350</xdr:colOff>
          <xdr:row>198</xdr:row>
          <xdr:rowOff>47625</xdr:rowOff>
        </xdr:to>
        <xdr:sp macro="" textlink="">
          <xdr:nvSpPr>
            <xdr:cNvPr id="44912" name="Button 1904" hidden="1">
              <a:extLst>
                <a:ext uri="{63B3BB69-23CF-44E3-9099-C40C66FF867C}">
                  <a14:compatExt spid="_x0000_s44912"/>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Family</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485775</xdr:colOff>
          <xdr:row>0</xdr:row>
          <xdr:rowOff>0</xdr:rowOff>
        </xdr:from>
        <xdr:to>
          <xdr:col>2</xdr:col>
          <xdr:colOff>942975</xdr:colOff>
          <xdr:row>0</xdr:row>
          <xdr:rowOff>228600</xdr:rowOff>
        </xdr:to>
        <xdr:sp macro="" textlink="">
          <xdr:nvSpPr>
            <xdr:cNvPr id="31745" name="Button 1" hidden="1">
              <a:extLst>
                <a:ext uri="{63B3BB69-23CF-44E3-9099-C40C66FF867C}">
                  <a14:compatExt spid="_x0000_s31745"/>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Back</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638175</xdr:colOff>
          <xdr:row>0</xdr:row>
          <xdr:rowOff>0</xdr:rowOff>
        </xdr:from>
        <xdr:to>
          <xdr:col>1</xdr:col>
          <xdr:colOff>1095375</xdr:colOff>
          <xdr:row>0</xdr:row>
          <xdr:rowOff>228600</xdr:rowOff>
        </xdr:to>
        <xdr:sp macro="" textlink="">
          <xdr:nvSpPr>
            <xdr:cNvPr id="31746" name="Button 2" hidden="1">
              <a:extLst>
                <a:ext uri="{63B3BB69-23CF-44E3-9099-C40C66FF867C}">
                  <a14:compatExt spid="_x0000_s31746"/>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Add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1085850</xdr:colOff>
          <xdr:row>0</xdr:row>
          <xdr:rowOff>0</xdr:rowOff>
        </xdr:from>
        <xdr:to>
          <xdr:col>1</xdr:col>
          <xdr:colOff>1543050</xdr:colOff>
          <xdr:row>0</xdr:row>
          <xdr:rowOff>228600</xdr:rowOff>
        </xdr:to>
        <xdr:sp macro="" textlink="">
          <xdr:nvSpPr>
            <xdr:cNvPr id="31747" name="Button 3" hidden="1">
              <a:extLst>
                <a:ext uri="{63B3BB69-23CF-44E3-9099-C40C66FF867C}">
                  <a14:compatExt spid="_x0000_s31747"/>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933450</xdr:colOff>
          <xdr:row>0</xdr:row>
          <xdr:rowOff>0</xdr:rowOff>
        </xdr:from>
        <xdr:to>
          <xdr:col>2</xdr:col>
          <xdr:colOff>1390650</xdr:colOff>
          <xdr:row>0</xdr:row>
          <xdr:rowOff>228600</xdr:rowOff>
        </xdr:to>
        <xdr:sp macro="" textlink="">
          <xdr:nvSpPr>
            <xdr:cNvPr id="31748" name="Button 4" hidden="1">
              <a:extLst>
                <a:ext uri="{63B3BB69-23CF-44E3-9099-C40C66FF867C}">
                  <a14:compatExt spid="_x0000_s31748"/>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1543050</xdr:colOff>
          <xdr:row>0</xdr:row>
          <xdr:rowOff>0</xdr:rowOff>
        </xdr:from>
        <xdr:to>
          <xdr:col>2</xdr:col>
          <xdr:colOff>47625</xdr:colOff>
          <xdr:row>0</xdr:row>
          <xdr:rowOff>228600</xdr:rowOff>
        </xdr:to>
        <xdr:sp macro="" textlink="">
          <xdr:nvSpPr>
            <xdr:cNvPr id="31769" name="Button 25" hidden="1">
              <a:extLst>
                <a:ext uri="{63B3BB69-23CF-44E3-9099-C40C66FF867C}">
                  <a14:compatExt spid="_x0000_s31769"/>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Sort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0</xdr:row>
          <xdr:rowOff>0</xdr:rowOff>
        </xdr:from>
        <xdr:to>
          <xdr:col>2</xdr:col>
          <xdr:colOff>504825</xdr:colOff>
          <xdr:row>0</xdr:row>
          <xdr:rowOff>228600</xdr:rowOff>
        </xdr:to>
        <xdr:sp macro="" textlink="">
          <xdr:nvSpPr>
            <xdr:cNvPr id="31780" name="Button 36" hidden="1">
              <a:extLst>
                <a:ext uri="{63B3BB69-23CF-44E3-9099-C40C66FF867C}">
                  <a14:compatExt spid="_x0000_s31780"/>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UnSort</a:t>
              </a:r>
            </a:p>
          </xdr:txBody>
        </xdr:sp>
        <xdr:clientData fPrintsWithSheet="0"/>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0</xdr:rowOff>
        </xdr:from>
        <xdr:to>
          <xdr:col>0</xdr:col>
          <xdr:colOff>923925</xdr:colOff>
          <xdr:row>0</xdr:row>
          <xdr:rowOff>228600</xdr:rowOff>
        </xdr:to>
        <xdr:sp macro="" textlink="">
          <xdr:nvSpPr>
            <xdr:cNvPr id="32769" name="Button 1" hidden="1">
              <a:extLst>
                <a:ext uri="{63B3BB69-23CF-44E3-9099-C40C66FF867C}">
                  <a14:compatExt spid="_x0000_s32769"/>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Back</a:t>
              </a:r>
              <a:r>
                <a:rPr lang="en-US" sz="1000" b="0" i="0" u="none" strike="noStrike" baseline="0">
                  <a:solidFill>
                    <a:srgbClr val="0000FF"/>
                  </a:solidFill>
                  <a:latin typeface="Arial"/>
                  <a:cs typeface="Arial"/>
                </a:rPr>
                <a:t>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923925</xdr:colOff>
          <xdr:row>0</xdr:row>
          <xdr:rowOff>0</xdr:rowOff>
        </xdr:from>
        <xdr:to>
          <xdr:col>2</xdr:col>
          <xdr:colOff>438150</xdr:colOff>
          <xdr:row>0</xdr:row>
          <xdr:rowOff>228600</xdr:rowOff>
        </xdr:to>
        <xdr:sp macro="" textlink="">
          <xdr:nvSpPr>
            <xdr:cNvPr id="32772" name="Button 4" hidden="1">
              <a:extLst>
                <a:ext uri="{63B3BB69-23CF-44E3-9099-C40C66FF867C}">
                  <a14:compatExt spid="_x0000_s32772"/>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Add 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447675</xdr:colOff>
          <xdr:row>0</xdr:row>
          <xdr:rowOff>0</xdr:rowOff>
        </xdr:from>
        <xdr:to>
          <xdr:col>3</xdr:col>
          <xdr:colOff>285750</xdr:colOff>
          <xdr:row>0</xdr:row>
          <xdr:rowOff>228600</xdr:rowOff>
        </xdr:to>
        <xdr:sp macro="" textlink="">
          <xdr:nvSpPr>
            <xdr:cNvPr id="32775" name="Button 7" hidden="1">
              <a:extLst>
                <a:ext uri="{63B3BB69-23CF-44E3-9099-C40C66FF867C}">
                  <a14:compatExt spid="_x0000_s32775"/>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End Change</a:t>
              </a:r>
            </a:p>
          </xdr:txBody>
        </xdr:sp>
        <xdr:clientData fPrintsWithSheet="0"/>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85725</xdr:colOff>
          <xdr:row>0</xdr:row>
          <xdr:rowOff>0</xdr:rowOff>
        </xdr:from>
        <xdr:to>
          <xdr:col>1</xdr:col>
          <xdr:colOff>542925</xdr:colOff>
          <xdr:row>0</xdr:row>
          <xdr:rowOff>228600</xdr:rowOff>
        </xdr:to>
        <xdr:sp macro="" textlink="">
          <xdr:nvSpPr>
            <xdr:cNvPr id="34817" name="Button 1" hidden="1">
              <a:extLst>
                <a:ext uri="{63B3BB69-23CF-44E3-9099-C40C66FF867C}">
                  <a14:compatExt spid="_x0000_s34817"/>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Back</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0</xdr:row>
          <xdr:rowOff>0</xdr:rowOff>
        </xdr:from>
        <xdr:to>
          <xdr:col>0</xdr:col>
          <xdr:colOff>466725</xdr:colOff>
          <xdr:row>0</xdr:row>
          <xdr:rowOff>228600</xdr:rowOff>
        </xdr:to>
        <xdr:sp macro="" textlink="">
          <xdr:nvSpPr>
            <xdr:cNvPr id="34818" name="Button 2" hidden="1">
              <a:extLst>
                <a:ext uri="{63B3BB69-23CF-44E3-9099-C40C66FF867C}">
                  <a14:compatExt spid="_x0000_s34818"/>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Add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466725</xdr:colOff>
          <xdr:row>0</xdr:row>
          <xdr:rowOff>0</xdr:rowOff>
        </xdr:from>
        <xdr:to>
          <xdr:col>1</xdr:col>
          <xdr:colOff>76200</xdr:colOff>
          <xdr:row>0</xdr:row>
          <xdr:rowOff>228600</xdr:rowOff>
        </xdr:to>
        <xdr:sp macro="" textlink="">
          <xdr:nvSpPr>
            <xdr:cNvPr id="34819" name="Button 3" hidden="1">
              <a:extLst>
                <a:ext uri="{63B3BB69-23CF-44E3-9099-C40C66FF867C}">
                  <a14:compatExt spid="_x0000_s34819"/>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Edit</a:t>
              </a:r>
            </a:p>
          </xdr:txBody>
        </xdr:sp>
        <xdr:clientData fPrintsWithSheet="0"/>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0</xdr:row>
          <xdr:rowOff>28575</xdr:rowOff>
        </xdr:from>
        <xdr:to>
          <xdr:col>3</xdr:col>
          <xdr:colOff>466725</xdr:colOff>
          <xdr:row>1</xdr:row>
          <xdr:rowOff>9525</xdr:rowOff>
        </xdr:to>
        <xdr:sp macro="" textlink="">
          <xdr:nvSpPr>
            <xdr:cNvPr id="30721" name="Button 1" hidden="1">
              <a:extLst>
                <a:ext uri="{63B3BB69-23CF-44E3-9099-C40C66FF867C}">
                  <a14:compatExt spid="_x0000_s30721"/>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Back </a:t>
              </a:r>
            </a:p>
          </xdr:txBody>
        </xdr:sp>
        <xdr:clientData fPrintsWithSheet="0"/>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0</xdr:row>
          <xdr:rowOff>9525</xdr:rowOff>
        </xdr:from>
        <xdr:to>
          <xdr:col>1</xdr:col>
          <xdr:colOff>114300</xdr:colOff>
          <xdr:row>1</xdr:row>
          <xdr:rowOff>0</xdr:rowOff>
        </xdr:to>
        <xdr:sp macro="" textlink="">
          <xdr:nvSpPr>
            <xdr:cNvPr id="27649" name="Button 1" hidden="1">
              <a:extLst>
                <a:ext uri="{63B3BB69-23CF-44E3-9099-C40C66FF867C}">
                  <a14:compatExt spid="_x0000_s27649"/>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Back </a:t>
              </a:r>
            </a:p>
          </xdr:txBody>
        </xdr:sp>
        <xdr:clientData fPrintsWithSheet="0"/>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152400</xdr:colOff>
          <xdr:row>1</xdr:row>
          <xdr:rowOff>66675</xdr:rowOff>
        </xdr:to>
        <xdr:sp macro="" textlink="">
          <xdr:nvSpPr>
            <xdr:cNvPr id="28673" name="Button 1" hidden="1">
              <a:extLst>
                <a:ext uri="{63B3BB69-23CF-44E3-9099-C40C66FF867C}">
                  <a14:compatExt spid="_x0000_s28673"/>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Back </a:t>
              </a:r>
            </a:p>
          </xdr:txBody>
        </xdr:sp>
        <xdr:clientData fPrintsWithSheet="0"/>
      </xdr:twoCellAnchor>
    </mc:Choice>
    <mc:Fallback/>
  </mc:AlternateContent>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9525</xdr:colOff>
          <xdr:row>0</xdr:row>
          <xdr:rowOff>0</xdr:rowOff>
        </xdr:from>
        <xdr:to>
          <xdr:col>1</xdr:col>
          <xdr:colOff>466725</xdr:colOff>
          <xdr:row>1</xdr:row>
          <xdr:rowOff>28575</xdr:rowOff>
        </xdr:to>
        <xdr:sp macro="" textlink="">
          <xdr:nvSpPr>
            <xdr:cNvPr id="18433" name="Button 1" hidden="1">
              <a:extLst>
                <a:ext uri="{63B3BB69-23CF-44E3-9099-C40C66FF867C}">
                  <a14:compatExt spid="_x0000_s18433"/>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FF0000"/>
                  </a:solidFill>
                  <a:latin typeface="Arial"/>
                  <a:cs typeface="Arial"/>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466725</xdr:colOff>
          <xdr:row>0</xdr:row>
          <xdr:rowOff>0</xdr:rowOff>
        </xdr:from>
        <xdr:to>
          <xdr:col>1</xdr:col>
          <xdr:colOff>923925</xdr:colOff>
          <xdr:row>1</xdr:row>
          <xdr:rowOff>28575</xdr:rowOff>
        </xdr:to>
        <xdr:sp macro="" textlink="">
          <xdr:nvSpPr>
            <xdr:cNvPr id="18434" name="Button 2" hidden="1">
              <a:extLst>
                <a:ext uri="{63B3BB69-23CF-44E3-9099-C40C66FF867C}">
                  <a14:compatExt spid="_x0000_s18434"/>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Back</a:t>
              </a:r>
              <a:r>
                <a:rPr lang="en-US" sz="1000" b="0" i="0" u="none" strike="noStrike" baseline="0">
                  <a:solidFill>
                    <a:srgbClr val="0000FF"/>
                  </a:solidFill>
                  <a:latin typeface="Arial"/>
                  <a:cs typeface="Arial"/>
                </a:rPr>
                <a:t> </a:t>
              </a:r>
            </a:p>
          </xdr:txBody>
        </xdr:sp>
        <xdr:clientData fPrintsWithSheet="0"/>
      </xdr:twoCellAnchor>
    </mc:Choice>
    <mc:Fallback/>
  </mc:AlternateContent>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3</xdr:col>
          <xdr:colOff>542925</xdr:colOff>
          <xdr:row>9</xdr:row>
          <xdr:rowOff>76200</xdr:rowOff>
        </xdr:to>
        <xdr:sp macro="" textlink="">
          <xdr:nvSpPr>
            <xdr:cNvPr id="15368" name="Object 8" hidden="1">
              <a:extLst>
                <a:ext uri="{63B3BB69-23CF-44E3-9099-C40C66FF867C}">
                  <a14:compatExt spid="_x0000_s15368"/>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9525</xdr:colOff>
          <xdr:row>0</xdr:row>
          <xdr:rowOff>0</xdr:rowOff>
        </xdr:from>
        <xdr:to>
          <xdr:col>6</xdr:col>
          <xdr:colOff>466725</xdr:colOff>
          <xdr:row>1</xdr:row>
          <xdr:rowOff>85725</xdr:rowOff>
        </xdr:to>
        <xdr:sp macro="" textlink="">
          <xdr:nvSpPr>
            <xdr:cNvPr id="15369" name="Button 9" hidden="1">
              <a:extLst>
                <a:ext uri="{63B3BB69-23CF-44E3-9099-C40C66FF867C}">
                  <a14:compatExt spid="_x0000_s15369"/>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Back</a:t>
              </a:r>
            </a:p>
          </xdr:txBody>
        </xdr:sp>
        <xdr:clientData fPrintsWithSheet="0"/>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0</xdr:row>
          <xdr:rowOff>0</xdr:rowOff>
        </xdr:from>
        <xdr:to>
          <xdr:col>0</xdr:col>
          <xdr:colOff>485775</xdr:colOff>
          <xdr:row>1</xdr:row>
          <xdr:rowOff>66675</xdr:rowOff>
        </xdr:to>
        <xdr:sp macro="" textlink="">
          <xdr:nvSpPr>
            <xdr:cNvPr id="14337" name="Button 1" hidden="1">
              <a:extLst>
                <a:ext uri="{63B3BB69-23CF-44E3-9099-C40C66FF867C}">
                  <a14:compatExt spid="_x0000_s14337"/>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Back</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85</xdr:row>
          <xdr:rowOff>76200</xdr:rowOff>
        </xdr:from>
        <xdr:to>
          <xdr:col>0</xdr:col>
          <xdr:colOff>457200</xdr:colOff>
          <xdr:row>86</xdr:row>
          <xdr:rowOff>76200</xdr:rowOff>
        </xdr:to>
        <xdr:sp macro="" textlink="">
          <xdr:nvSpPr>
            <xdr:cNvPr id="14338" name="Button 2" hidden="1">
              <a:extLst>
                <a:ext uri="{63B3BB69-23CF-44E3-9099-C40C66FF867C}">
                  <a14:compatExt spid="_x0000_s14338"/>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Back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109</xdr:row>
          <xdr:rowOff>0</xdr:rowOff>
        </xdr:from>
        <xdr:to>
          <xdr:col>0</xdr:col>
          <xdr:colOff>7877175</xdr:colOff>
          <xdr:row>139</xdr:row>
          <xdr:rowOff>152400</xdr:rowOff>
        </xdr:to>
        <xdr:sp macro="" textlink="">
          <xdr:nvSpPr>
            <xdr:cNvPr id="14340" name="Object 4" hidden="1">
              <a:extLst>
                <a:ext uri="{63B3BB69-23CF-44E3-9099-C40C66FF867C}">
                  <a14:compatExt spid="_x0000_s1434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141</xdr:row>
          <xdr:rowOff>19050</xdr:rowOff>
        </xdr:from>
        <xdr:to>
          <xdr:col>0</xdr:col>
          <xdr:colOff>7953375</xdr:colOff>
          <xdr:row>175</xdr:row>
          <xdr:rowOff>47625</xdr:rowOff>
        </xdr:to>
        <xdr:sp macro="" textlink="">
          <xdr:nvSpPr>
            <xdr:cNvPr id="14341" name="Object 5" hidden="1">
              <a:extLst>
                <a:ext uri="{63B3BB69-23CF-44E3-9099-C40C66FF867C}">
                  <a14:compatExt spid="_x0000_s143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177</xdr:row>
          <xdr:rowOff>19050</xdr:rowOff>
        </xdr:from>
        <xdr:to>
          <xdr:col>0</xdr:col>
          <xdr:colOff>7915275</xdr:colOff>
          <xdr:row>195</xdr:row>
          <xdr:rowOff>123825</xdr:rowOff>
        </xdr:to>
        <xdr:sp macro="" textlink="">
          <xdr:nvSpPr>
            <xdr:cNvPr id="14342" name="Object 6" hidden="1">
              <a:extLst>
                <a:ext uri="{63B3BB69-23CF-44E3-9099-C40C66FF867C}">
                  <a14:compatExt spid="_x0000_s1434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142875</xdr:rowOff>
        </xdr:from>
        <xdr:to>
          <xdr:col>0</xdr:col>
          <xdr:colOff>7953375</xdr:colOff>
          <xdr:row>52</xdr:row>
          <xdr:rowOff>142875</xdr:rowOff>
        </xdr:to>
        <xdr:sp macro="" textlink="">
          <xdr:nvSpPr>
            <xdr:cNvPr id="14343" name="Object 7" hidden="1">
              <a:extLst>
                <a:ext uri="{63B3BB69-23CF-44E3-9099-C40C66FF867C}">
                  <a14:compatExt spid="_x0000_s1434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95250</xdr:colOff>
          <xdr:row>36</xdr:row>
          <xdr:rowOff>28575</xdr:rowOff>
        </xdr:from>
        <xdr:to>
          <xdr:col>7</xdr:col>
          <xdr:colOff>219075</xdr:colOff>
          <xdr:row>38</xdr:row>
          <xdr:rowOff>142875</xdr:rowOff>
        </xdr:to>
        <xdr:sp macro="" textlink="">
          <xdr:nvSpPr>
            <xdr:cNvPr id="11265" name="Button 1" hidden="1">
              <a:extLst>
                <a:ext uri="{63B3BB69-23CF-44E3-9099-C40C66FF867C}">
                  <a14:compatExt spid="_x0000_s11265"/>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Back To Quote Entry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95250</xdr:colOff>
          <xdr:row>0</xdr:row>
          <xdr:rowOff>28575</xdr:rowOff>
        </xdr:from>
        <xdr:to>
          <xdr:col>6</xdr:col>
          <xdr:colOff>552450</xdr:colOff>
          <xdr:row>1</xdr:row>
          <xdr:rowOff>95250</xdr:rowOff>
        </xdr:to>
        <xdr:sp macro="" textlink="">
          <xdr:nvSpPr>
            <xdr:cNvPr id="11266" name="Button 2" hidden="1">
              <a:extLst>
                <a:ext uri="{63B3BB69-23CF-44E3-9099-C40C66FF867C}">
                  <a14:compatExt spid="_x0000_s11266"/>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Back </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0</xdr:col>
          <xdr:colOff>9525</xdr:colOff>
          <xdr:row>0</xdr:row>
          <xdr:rowOff>9525</xdr:rowOff>
        </xdr:from>
        <xdr:to>
          <xdr:col>0</xdr:col>
          <xdr:colOff>466725</xdr:colOff>
          <xdr:row>0</xdr:row>
          <xdr:rowOff>238125</xdr:rowOff>
        </xdr:to>
        <xdr:sp macro="" textlink="">
          <xdr:nvSpPr>
            <xdr:cNvPr id="51201" name="Button 1" hidden="1">
              <a:extLst>
                <a:ext uri="{63B3BB69-23CF-44E3-9099-C40C66FF867C}">
                  <a14:compatExt spid="_x0000_s51201"/>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FF0000"/>
                  </a:solidFill>
                  <a:latin typeface="Arial"/>
                  <a:cs typeface="Arial"/>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0</xdr:col>
          <xdr:colOff>466725</xdr:colOff>
          <xdr:row>0</xdr:row>
          <xdr:rowOff>9525</xdr:rowOff>
        </xdr:from>
        <xdr:to>
          <xdr:col>0</xdr:col>
          <xdr:colOff>923925</xdr:colOff>
          <xdr:row>0</xdr:row>
          <xdr:rowOff>238125</xdr:rowOff>
        </xdr:to>
        <xdr:sp macro="" textlink="">
          <xdr:nvSpPr>
            <xdr:cNvPr id="51202" name="Button 2" hidden="1">
              <a:extLst>
                <a:ext uri="{63B3BB69-23CF-44E3-9099-C40C66FF867C}">
                  <a14:compatExt spid="_x0000_s51202"/>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Back</a:t>
              </a:r>
            </a:p>
          </xdr:txBody>
        </xdr:sp>
        <xdr:clientData fPrintsWithSheet="0"/>
      </xdr:twoCellAnchor>
    </mc:Choice>
    <mc:Fallback/>
  </mc:AlternateContent>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9525</xdr:colOff>
          <xdr:row>15</xdr:row>
          <xdr:rowOff>0</xdr:rowOff>
        </xdr:from>
        <xdr:to>
          <xdr:col>6</xdr:col>
          <xdr:colOff>695325</xdr:colOff>
          <xdr:row>16</xdr:row>
          <xdr:rowOff>57150</xdr:rowOff>
        </xdr:to>
        <xdr:sp macro="" textlink="">
          <xdr:nvSpPr>
            <xdr:cNvPr id="39937" name="Button 1" hidden="1">
              <a:extLst>
                <a:ext uri="{63B3BB69-23CF-44E3-9099-C40C66FF867C}">
                  <a14:compatExt spid="_x0000_s39937"/>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Back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2</xdr:col>
          <xdr:colOff>514350</xdr:colOff>
          <xdr:row>7</xdr:row>
          <xdr:rowOff>161925</xdr:rowOff>
        </xdr:to>
        <xdr:sp macro="" textlink="">
          <xdr:nvSpPr>
            <xdr:cNvPr id="39944" name="Object 8" hidden="1">
              <a:extLst>
                <a:ext uri="{63B3BB69-23CF-44E3-9099-C40C66FF867C}">
                  <a14:compatExt spid="_x0000_s39944"/>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6</xdr:row>
          <xdr:rowOff>0</xdr:rowOff>
        </xdr:from>
        <xdr:to>
          <xdr:col>0</xdr:col>
          <xdr:colOff>504825</xdr:colOff>
          <xdr:row>7</xdr:row>
          <xdr:rowOff>66675</xdr:rowOff>
        </xdr:to>
        <xdr:sp macro="" textlink="">
          <xdr:nvSpPr>
            <xdr:cNvPr id="10244" name="Button 4" hidden="1">
              <a:extLst>
                <a:ext uri="{63B3BB69-23CF-44E3-9099-C40C66FF867C}">
                  <a14:compatExt spid="_x0000_s10244"/>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Clear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238125</xdr:colOff>
          <xdr:row>42</xdr:row>
          <xdr:rowOff>66675</xdr:rowOff>
        </xdr:from>
        <xdr:to>
          <xdr:col>3</xdr:col>
          <xdr:colOff>695325</xdr:colOff>
          <xdr:row>44</xdr:row>
          <xdr:rowOff>9525</xdr:rowOff>
        </xdr:to>
        <xdr:sp macro="" textlink="">
          <xdr:nvSpPr>
            <xdr:cNvPr id="10245" name="Button 5" hidden="1">
              <a:extLst>
                <a:ext uri="{63B3BB69-23CF-44E3-9099-C40C66FF867C}">
                  <a14:compatExt spid="_x0000_s10245"/>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Back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514350</xdr:colOff>
          <xdr:row>6</xdr:row>
          <xdr:rowOff>0</xdr:rowOff>
        </xdr:from>
        <xdr:to>
          <xdr:col>0</xdr:col>
          <xdr:colOff>1019175</xdr:colOff>
          <xdr:row>7</xdr:row>
          <xdr:rowOff>66675</xdr:rowOff>
        </xdr:to>
        <xdr:sp macro="" textlink="">
          <xdr:nvSpPr>
            <xdr:cNvPr id="10248" name="Button 8" hidden="1">
              <a:extLst>
                <a:ext uri="{63B3BB69-23CF-44E3-9099-C40C66FF867C}">
                  <a14:compatExt spid="_x0000_s10248"/>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FF0000"/>
                  </a:solidFill>
                  <a:latin typeface="Arial"/>
                  <a:cs typeface="Arial"/>
                </a:rPr>
                <a:t>Back</a:t>
              </a:r>
              <a:r>
                <a:rPr lang="en-US" sz="1200" b="1" i="0" u="none" strike="noStrike" baseline="0">
                  <a:solidFill>
                    <a:srgbClr val="0000FF"/>
                  </a:solidFill>
                  <a:latin typeface="Arial"/>
                  <a:cs typeface="Arial"/>
                </a:rPr>
                <a:t>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161925</xdr:colOff>
          <xdr:row>57</xdr:row>
          <xdr:rowOff>152400</xdr:rowOff>
        </xdr:from>
        <xdr:to>
          <xdr:col>1</xdr:col>
          <xdr:colOff>628650</xdr:colOff>
          <xdr:row>59</xdr:row>
          <xdr:rowOff>0</xdr:rowOff>
        </xdr:to>
        <xdr:sp macro="" textlink="">
          <xdr:nvSpPr>
            <xdr:cNvPr id="10249" name="Button 9" hidden="1">
              <a:extLst>
                <a:ext uri="{63B3BB69-23CF-44E3-9099-C40C66FF867C}">
                  <a14:compatExt spid="_x0000_s10249"/>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Back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1295400</xdr:colOff>
          <xdr:row>6</xdr:row>
          <xdr:rowOff>0</xdr:rowOff>
        </xdr:from>
        <xdr:to>
          <xdr:col>1</xdr:col>
          <xdr:colOff>438150</xdr:colOff>
          <xdr:row>7</xdr:row>
          <xdr:rowOff>66675</xdr:rowOff>
        </xdr:to>
        <xdr:sp macro="" textlink="">
          <xdr:nvSpPr>
            <xdr:cNvPr id="10252" name="Button 12" hidden="1">
              <a:extLst>
                <a:ext uri="{63B3BB69-23CF-44E3-9099-C40C66FF867C}">
                  <a14:compatExt spid="_x0000_s10252"/>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Rect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438150</xdr:colOff>
          <xdr:row>6</xdr:row>
          <xdr:rowOff>0</xdr:rowOff>
        </xdr:from>
        <xdr:to>
          <xdr:col>1</xdr:col>
          <xdr:colOff>942975</xdr:colOff>
          <xdr:row>7</xdr:row>
          <xdr:rowOff>66675</xdr:rowOff>
        </xdr:to>
        <xdr:sp macro="" textlink="">
          <xdr:nvSpPr>
            <xdr:cNvPr id="10253" name="Button 13" hidden="1">
              <a:extLst>
                <a:ext uri="{63B3BB69-23CF-44E3-9099-C40C66FF867C}">
                  <a14:compatExt spid="_x0000_s10253"/>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Cyl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952500</xdr:colOff>
          <xdr:row>6</xdr:row>
          <xdr:rowOff>0</xdr:rowOff>
        </xdr:from>
        <xdr:to>
          <xdr:col>2</xdr:col>
          <xdr:colOff>361950</xdr:colOff>
          <xdr:row>7</xdr:row>
          <xdr:rowOff>66675</xdr:rowOff>
        </xdr:to>
        <xdr:sp macro="" textlink="">
          <xdr:nvSpPr>
            <xdr:cNvPr id="10254" name="Button 14" hidden="1">
              <a:extLst>
                <a:ext uri="{63B3BB69-23CF-44E3-9099-C40C66FF867C}">
                  <a14:compatExt spid="_x0000_s10254"/>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Tube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352425</xdr:colOff>
          <xdr:row>6</xdr:row>
          <xdr:rowOff>0</xdr:rowOff>
        </xdr:from>
        <xdr:to>
          <xdr:col>3</xdr:col>
          <xdr:colOff>857250</xdr:colOff>
          <xdr:row>7</xdr:row>
          <xdr:rowOff>66675</xdr:rowOff>
        </xdr:to>
        <xdr:sp macro="" textlink="">
          <xdr:nvSpPr>
            <xdr:cNvPr id="10255" name="Button 15" hidden="1">
              <a:extLst>
                <a:ext uri="{63B3BB69-23CF-44E3-9099-C40C66FF867C}">
                  <a14:compatExt spid="_x0000_s10255"/>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SG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381000</xdr:colOff>
          <xdr:row>6</xdr:row>
          <xdr:rowOff>0</xdr:rowOff>
        </xdr:from>
        <xdr:to>
          <xdr:col>2</xdr:col>
          <xdr:colOff>885825</xdr:colOff>
          <xdr:row>7</xdr:row>
          <xdr:rowOff>66675</xdr:rowOff>
        </xdr:to>
        <xdr:sp macro="" textlink="">
          <xdr:nvSpPr>
            <xdr:cNvPr id="10256" name="Button 16" hidden="1">
              <a:extLst>
                <a:ext uri="{63B3BB69-23CF-44E3-9099-C40C66FF867C}">
                  <a14:compatExt spid="_x0000_s10256"/>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Sph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885825</xdr:colOff>
          <xdr:row>6</xdr:row>
          <xdr:rowOff>0</xdr:rowOff>
        </xdr:from>
        <xdr:to>
          <xdr:col>3</xdr:col>
          <xdr:colOff>342900</xdr:colOff>
          <xdr:row>7</xdr:row>
          <xdr:rowOff>66675</xdr:rowOff>
        </xdr:to>
        <xdr:sp macro="" textlink="">
          <xdr:nvSpPr>
            <xdr:cNvPr id="10265" name="Button 25" hidden="1">
              <a:extLst>
                <a:ext uri="{63B3BB69-23CF-44E3-9099-C40C66FF867C}">
                  <a14:compatExt spid="_x0000_s10265"/>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Cone</a:t>
              </a:r>
            </a:p>
          </xdr:txBody>
        </xdr:sp>
        <xdr:clientData fPrintsWithSheet="0"/>
      </xdr:twoCellAnchor>
    </mc:Choice>
    <mc:Fallback/>
  </mc:AlternateContent>
</xdr:wsDr>
</file>

<file path=xl/drawings/drawing2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723900</xdr:colOff>
          <xdr:row>7</xdr:row>
          <xdr:rowOff>152400</xdr:rowOff>
        </xdr:from>
        <xdr:to>
          <xdr:col>6</xdr:col>
          <xdr:colOff>1181100</xdr:colOff>
          <xdr:row>9</xdr:row>
          <xdr:rowOff>19050</xdr:rowOff>
        </xdr:to>
        <xdr:sp macro="" textlink="">
          <xdr:nvSpPr>
            <xdr:cNvPr id="49153" name="Button 1" hidden="1">
              <a:extLst>
                <a:ext uri="{63B3BB69-23CF-44E3-9099-C40C66FF867C}">
                  <a14:compatExt spid="_x0000_s49153"/>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723900</xdr:colOff>
          <xdr:row>17</xdr:row>
          <xdr:rowOff>0</xdr:rowOff>
        </xdr:from>
        <xdr:to>
          <xdr:col>6</xdr:col>
          <xdr:colOff>1181100</xdr:colOff>
          <xdr:row>18</xdr:row>
          <xdr:rowOff>28575</xdr:rowOff>
        </xdr:to>
        <xdr:sp macro="" textlink="">
          <xdr:nvSpPr>
            <xdr:cNvPr id="49154" name="Button 2" hidden="1">
              <a:extLst>
                <a:ext uri="{63B3BB69-23CF-44E3-9099-C40C66FF867C}">
                  <a14:compatExt spid="_x0000_s49154"/>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723900</xdr:colOff>
          <xdr:row>30</xdr:row>
          <xdr:rowOff>85725</xdr:rowOff>
        </xdr:from>
        <xdr:to>
          <xdr:col>6</xdr:col>
          <xdr:colOff>1181100</xdr:colOff>
          <xdr:row>31</xdr:row>
          <xdr:rowOff>114300</xdr:rowOff>
        </xdr:to>
        <xdr:sp macro="" textlink="">
          <xdr:nvSpPr>
            <xdr:cNvPr id="49155" name="Button 3" hidden="1">
              <a:extLst>
                <a:ext uri="{63B3BB69-23CF-44E3-9099-C40C66FF867C}">
                  <a14:compatExt spid="_x0000_s49155"/>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209550</xdr:colOff>
          <xdr:row>0</xdr:row>
          <xdr:rowOff>19050</xdr:rowOff>
        </xdr:from>
        <xdr:to>
          <xdr:col>3</xdr:col>
          <xdr:colOff>666750</xdr:colOff>
          <xdr:row>1</xdr:row>
          <xdr:rowOff>19050</xdr:rowOff>
        </xdr:to>
        <xdr:sp macro="" textlink="">
          <xdr:nvSpPr>
            <xdr:cNvPr id="49156" name="Button 4" hidden="1">
              <a:extLst>
                <a:ext uri="{63B3BB69-23CF-44E3-9099-C40C66FF867C}">
                  <a14:compatExt spid="_x0000_s49156"/>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Back</a:t>
              </a:r>
            </a:p>
          </xdr:txBody>
        </xdr:sp>
        <xdr:clientData fPrintsWithSheet="0"/>
      </xdr:twoCellAnchor>
    </mc:Choice>
    <mc:Fallback/>
  </mc:AlternateContent>
</xdr:wsDr>
</file>

<file path=xl/drawings/drawing2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419100</xdr:colOff>
          <xdr:row>0</xdr:row>
          <xdr:rowOff>9525</xdr:rowOff>
        </xdr:from>
        <xdr:to>
          <xdr:col>2</xdr:col>
          <xdr:colOff>876300</xdr:colOff>
          <xdr:row>1</xdr:row>
          <xdr:rowOff>9525</xdr:rowOff>
        </xdr:to>
        <xdr:sp macro="" textlink="">
          <xdr:nvSpPr>
            <xdr:cNvPr id="50177" name="Button 1" hidden="1">
              <a:extLst>
                <a:ext uri="{63B3BB69-23CF-44E3-9099-C40C66FF867C}">
                  <a14:compatExt spid="_x0000_s50177"/>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Back</a:t>
              </a:r>
            </a:p>
          </xdr:txBody>
        </xdr:sp>
        <xdr:clientData fPrintsWithSheet="0"/>
      </xdr:twoCellAnchor>
    </mc:Choice>
    <mc:Fallback/>
  </mc:AlternateContent>
</xdr:wsDr>
</file>

<file path=xl/drawings/drawing2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85725</xdr:colOff>
          <xdr:row>12</xdr:row>
          <xdr:rowOff>361950</xdr:rowOff>
        </xdr:from>
        <xdr:to>
          <xdr:col>9</xdr:col>
          <xdr:colOff>828675</xdr:colOff>
          <xdr:row>12</xdr:row>
          <xdr:rowOff>542925</xdr:rowOff>
        </xdr:to>
        <xdr:sp macro="" textlink="">
          <xdr:nvSpPr>
            <xdr:cNvPr id="2054" name="Label 6" hidden="1">
              <a:extLst>
                <a:ext uri="{63B3BB69-23CF-44E3-9099-C40C66FF867C}">
                  <a14:compatExt spid="_x0000_s2054"/>
                </a:ext>
              </a:extLst>
            </xdr:cNvPr>
            <xdr:cNvSpPr/>
          </xdr:nvSpPr>
          <xdr:spPr bwMode="auto">
            <a:xfrm>
              <a:off x="0" y="0"/>
              <a:ext cx="0" cy="0"/>
            </a:xfrm>
            <a:prstGeom prst="rect">
              <a:avLst/>
            </a:prstGeom>
            <a:noFill/>
            <a:ln>
              <a:noFill/>
            </a:ln>
            <a:effectLst/>
            <a:extLst>
              <a:ext uri="{909E8E84-426E-40DD-AFC4-6F175D3DCCD1}">
                <a14:hiddenFill>
                  <a:noFill/>
                </a14:hiddenFill>
              </a:ext>
              <a:ext uri="{91240B29-F687-4F45-9708-019B960494DF}">
                <a14:hiddenLine w="9525">
                  <a:no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2</xdr:col>
          <xdr:colOff>904875</xdr:colOff>
          <xdr:row>0</xdr:row>
          <xdr:rowOff>152400</xdr:rowOff>
        </xdr:from>
        <xdr:to>
          <xdr:col>3</xdr:col>
          <xdr:colOff>247650</xdr:colOff>
          <xdr:row>0</xdr:row>
          <xdr:rowOff>381000</xdr:rowOff>
        </xdr:to>
        <xdr:sp macro="" textlink="">
          <xdr:nvSpPr>
            <xdr:cNvPr id="2061" name="Button 13" hidden="1">
              <a:extLst>
                <a:ext uri="{63B3BB69-23CF-44E3-9099-C40C66FF867C}">
                  <a14:compatExt spid="_x0000_s2061"/>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FF0000"/>
                  </a:solidFill>
                  <a:latin typeface="Arial"/>
                  <a:cs typeface="Arial"/>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3</xdr:col>
          <xdr:colOff>257175</xdr:colOff>
          <xdr:row>0</xdr:row>
          <xdr:rowOff>152400</xdr:rowOff>
        </xdr:from>
        <xdr:to>
          <xdr:col>3</xdr:col>
          <xdr:colOff>714375</xdr:colOff>
          <xdr:row>0</xdr:row>
          <xdr:rowOff>381000</xdr:rowOff>
        </xdr:to>
        <xdr:sp macro="" textlink="">
          <xdr:nvSpPr>
            <xdr:cNvPr id="2062" name="Button 14" hidden="1">
              <a:extLst>
                <a:ext uri="{63B3BB69-23CF-44E3-9099-C40C66FF867C}">
                  <a14:compatExt spid="_x0000_s2062"/>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Back</a:t>
              </a:r>
            </a:p>
          </xdr:txBody>
        </xdr:sp>
        <xdr:clientData fPrintsWithSheet="0"/>
      </xdr:twoCellAnchor>
    </mc:Choice>
    <mc:Fallback/>
  </mc:AlternateContent>
</xdr:wsDr>
</file>

<file path=xl/drawings/drawing2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2</xdr:col>
          <xdr:colOff>400050</xdr:colOff>
          <xdr:row>0</xdr:row>
          <xdr:rowOff>0</xdr:rowOff>
        </xdr:from>
        <xdr:to>
          <xdr:col>3</xdr:col>
          <xdr:colOff>9525</xdr:colOff>
          <xdr:row>1</xdr:row>
          <xdr:rowOff>66675</xdr:rowOff>
        </xdr:to>
        <xdr:sp macro="" textlink="">
          <xdr:nvSpPr>
            <xdr:cNvPr id="17409" name="Button 1" hidden="1">
              <a:extLst>
                <a:ext uri="{63B3BB69-23CF-44E3-9099-C40C66FF867C}">
                  <a14:compatExt spid="_x0000_s17409"/>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FF0000"/>
                  </a:solidFill>
                  <a:latin typeface="Arial"/>
                  <a:cs typeface="Arial"/>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3</xdr:col>
          <xdr:colOff>9525</xdr:colOff>
          <xdr:row>0</xdr:row>
          <xdr:rowOff>0</xdr:rowOff>
        </xdr:from>
        <xdr:to>
          <xdr:col>3</xdr:col>
          <xdr:colOff>466725</xdr:colOff>
          <xdr:row>1</xdr:row>
          <xdr:rowOff>66675</xdr:rowOff>
        </xdr:to>
        <xdr:sp macro="" textlink="">
          <xdr:nvSpPr>
            <xdr:cNvPr id="17410" name="Button 2" hidden="1">
              <a:extLst>
                <a:ext uri="{63B3BB69-23CF-44E3-9099-C40C66FF867C}">
                  <a14:compatExt spid="_x0000_s17410"/>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Back</a:t>
              </a:r>
            </a:p>
          </xdr:txBody>
        </xdr:sp>
        <xdr:clientData fPrintsWithSheet="0"/>
      </xdr:twoCellAnchor>
    </mc:Choice>
    <mc:Fallback/>
  </mc:AlternateContent>
</xdr:wsDr>
</file>

<file path=xl/drawings/drawing2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2</xdr:col>
          <xdr:colOff>352425</xdr:colOff>
          <xdr:row>0</xdr:row>
          <xdr:rowOff>9525</xdr:rowOff>
        </xdr:from>
        <xdr:to>
          <xdr:col>3</xdr:col>
          <xdr:colOff>190500</xdr:colOff>
          <xdr:row>1</xdr:row>
          <xdr:rowOff>133350</xdr:rowOff>
        </xdr:to>
        <xdr:sp macro="" textlink="">
          <xdr:nvSpPr>
            <xdr:cNvPr id="22529" name="Button 1" hidden="1">
              <a:extLst>
                <a:ext uri="{63B3BB69-23CF-44E3-9099-C40C66FF867C}">
                  <a14:compatExt spid="_x0000_s22529"/>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FF0000"/>
                  </a:solidFill>
                  <a:latin typeface="Arial"/>
                  <a:cs typeface="Arial"/>
                </a:rPr>
                <a:t>Edit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3</xdr:col>
          <xdr:colOff>200025</xdr:colOff>
          <xdr:row>0</xdr:row>
          <xdr:rowOff>9525</xdr:rowOff>
        </xdr:from>
        <xdr:to>
          <xdr:col>4</xdr:col>
          <xdr:colOff>38100</xdr:colOff>
          <xdr:row>1</xdr:row>
          <xdr:rowOff>133350</xdr:rowOff>
        </xdr:to>
        <xdr:sp macro="" textlink="">
          <xdr:nvSpPr>
            <xdr:cNvPr id="22530" name="Button 2" hidden="1">
              <a:extLst>
                <a:ext uri="{63B3BB69-23CF-44E3-9099-C40C66FF867C}">
                  <a14:compatExt spid="_x0000_s22530"/>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0000FF"/>
                  </a:solidFill>
                  <a:latin typeface="Arial"/>
                  <a:cs typeface="Arial"/>
                </a:rPr>
                <a:t>Back </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8</xdr:row>
      <xdr:rowOff>0</xdr:rowOff>
    </xdr:from>
    <xdr:to>
      <xdr:col>12</xdr:col>
      <xdr:colOff>0</xdr:colOff>
      <xdr:row>8</xdr:row>
      <xdr:rowOff>0</xdr:rowOff>
    </xdr:to>
    <xdr:sp macro="" textlink="">
      <xdr:nvSpPr>
        <xdr:cNvPr id="48135" name="Line 1"/>
        <xdr:cNvSpPr>
          <a:spLocks noChangeShapeType="1"/>
        </xdr:cNvSpPr>
      </xdr:nvSpPr>
      <xdr:spPr bwMode="auto">
        <a:xfrm>
          <a:off x="6743700" y="16383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990600</xdr:colOff>
      <xdr:row>9</xdr:row>
      <xdr:rowOff>0</xdr:rowOff>
    </xdr:from>
    <xdr:to>
      <xdr:col>8</xdr:col>
      <xdr:colOff>361950</xdr:colOff>
      <xdr:row>9</xdr:row>
      <xdr:rowOff>0</xdr:rowOff>
    </xdr:to>
    <xdr:sp macro="" textlink="">
      <xdr:nvSpPr>
        <xdr:cNvPr id="48136" name="Line 2"/>
        <xdr:cNvSpPr>
          <a:spLocks noChangeShapeType="1"/>
        </xdr:cNvSpPr>
      </xdr:nvSpPr>
      <xdr:spPr bwMode="auto">
        <a:xfrm>
          <a:off x="4010025" y="1876425"/>
          <a:ext cx="14954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962025</xdr:colOff>
      <xdr:row>9</xdr:row>
      <xdr:rowOff>0</xdr:rowOff>
    </xdr:from>
    <xdr:to>
      <xdr:col>17</xdr:col>
      <xdr:colOff>228600</xdr:colOff>
      <xdr:row>9</xdr:row>
      <xdr:rowOff>0</xdr:rowOff>
    </xdr:to>
    <xdr:sp macro="" textlink="">
      <xdr:nvSpPr>
        <xdr:cNvPr id="48137" name="Line 3"/>
        <xdr:cNvSpPr>
          <a:spLocks noChangeShapeType="1"/>
        </xdr:cNvSpPr>
      </xdr:nvSpPr>
      <xdr:spPr bwMode="auto">
        <a:xfrm>
          <a:off x="7800975" y="1876425"/>
          <a:ext cx="14954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xdr:from>
          <xdr:col>3</xdr:col>
          <xdr:colOff>76200</xdr:colOff>
          <xdr:row>0</xdr:row>
          <xdr:rowOff>28575</xdr:rowOff>
        </xdr:from>
        <xdr:to>
          <xdr:col>6</xdr:col>
          <xdr:colOff>323850</xdr:colOff>
          <xdr:row>2</xdr:row>
          <xdr:rowOff>47625</xdr:rowOff>
        </xdr:to>
        <xdr:sp macro="" textlink="">
          <xdr:nvSpPr>
            <xdr:cNvPr id="48132" name="Object 4" hidden="1">
              <a:extLst>
                <a:ext uri="{63B3BB69-23CF-44E3-9099-C40C66FF867C}">
                  <a14:compatExt spid="_x0000_s481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828675</xdr:colOff>
          <xdr:row>52</xdr:row>
          <xdr:rowOff>66675</xdr:rowOff>
        </xdr:from>
        <xdr:to>
          <xdr:col>3</xdr:col>
          <xdr:colOff>447675</xdr:colOff>
          <xdr:row>53</xdr:row>
          <xdr:rowOff>133350</xdr:rowOff>
        </xdr:to>
        <xdr:sp macro="" textlink="">
          <xdr:nvSpPr>
            <xdr:cNvPr id="48133" name="Button 5" hidden="1">
              <a:extLst>
                <a:ext uri="{63B3BB69-23CF-44E3-9099-C40C66FF867C}">
                  <a14:compatExt spid="_x0000_s48133"/>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900" b="1" i="0" u="none" strike="noStrike" baseline="0">
                  <a:solidFill>
                    <a:srgbClr val="0000FF"/>
                  </a:solidFill>
                  <a:latin typeface="Arial"/>
                  <a:cs typeface="Arial"/>
                </a:rPr>
                <a:t>Print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457200</xdr:colOff>
          <xdr:row>52</xdr:row>
          <xdr:rowOff>66675</xdr:rowOff>
        </xdr:from>
        <xdr:to>
          <xdr:col>4</xdr:col>
          <xdr:colOff>438150</xdr:colOff>
          <xdr:row>53</xdr:row>
          <xdr:rowOff>133350</xdr:rowOff>
        </xdr:to>
        <xdr:sp macro="" textlink="">
          <xdr:nvSpPr>
            <xdr:cNvPr id="48134" name="Button 6" hidden="1">
              <a:extLst>
                <a:ext uri="{63B3BB69-23CF-44E3-9099-C40C66FF867C}">
                  <a14:compatExt spid="_x0000_s48134"/>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900" b="1" i="0" u="none" strike="noStrike" baseline="0">
                  <a:solidFill>
                    <a:srgbClr val="0000FF"/>
                  </a:solidFill>
                  <a:latin typeface="Arial"/>
                  <a:cs typeface="Arial"/>
                </a:rPr>
                <a:t>Back</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38100</xdr:colOff>
          <xdr:row>0</xdr:row>
          <xdr:rowOff>9525</xdr:rowOff>
        </xdr:from>
        <xdr:to>
          <xdr:col>1</xdr:col>
          <xdr:colOff>542925</xdr:colOff>
          <xdr:row>1</xdr:row>
          <xdr:rowOff>9525</xdr:rowOff>
        </xdr:to>
        <xdr:sp macro="" textlink="">
          <xdr:nvSpPr>
            <xdr:cNvPr id="46081" name="Button 1" hidden="1">
              <a:extLst>
                <a:ext uri="{63B3BB69-23CF-44E3-9099-C40C66FF867C}">
                  <a14:compatExt spid="_x0000_s46081"/>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800" b="1" i="0" u="none" strike="noStrike" baseline="0">
                  <a:solidFill>
                    <a:srgbClr val="0000FF"/>
                  </a:solidFill>
                  <a:latin typeface="Arial"/>
                  <a:cs typeface="Arial"/>
                </a:rPr>
                <a:t>Back </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7</xdr:col>
          <xdr:colOff>361950</xdr:colOff>
          <xdr:row>18</xdr:row>
          <xdr:rowOff>76200</xdr:rowOff>
        </xdr:from>
        <xdr:to>
          <xdr:col>8</xdr:col>
          <xdr:colOff>238125</xdr:colOff>
          <xdr:row>19</xdr:row>
          <xdr:rowOff>142875</xdr:rowOff>
        </xdr:to>
        <xdr:sp macro="" textlink="">
          <xdr:nvSpPr>
            <xdr:cNvPr id="33793" name="Button 1" hidden="1">
              <a:extLst>
                <a:ext uri="{63B3BB69-23CF-44E3-9099-C40C66FF867C}">
                  <a14:compatExt spid="_x0000_s33793"/>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Back</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18</xdr:row>
          <xdr:rowOff>76200</xdr:rowOff>
        </xdr:from>
        <xdr:to>
          <xdr:col>6</xdr:col>
          <xdr:colOff>476250</xdr:colOff>
          <xdr:row>19</xdr:row>
          <xdr:rowOff>142875</xdr:rowOff>
        </xdr:to>
        <xdr:sp macro="" textlink="">
          <xdr:nvSpPr>
            <xdr:cNvPr id="33797" name="Button 5" hidden="1">
              <a:extLst>
                <a:ext uri="{63B3BB69-23CF-44E3-9099-C40C66FF867C}">
                  <a14:compatExt spid="_x0000_s33797"/>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FF0000"/>
                  </a:solidFill>
                  <a:latin typeface="Arial"/>
                  <a:cs typeface="Arial"/>
                </a:rPr>
                <a:t>Add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485775</xdr:colOff>
          <xdr:row>18</xdr:row>
          <xdr:rowOff>76200</xdr:rowOff>
        </xdr:from>
        <xdr:to>
          <xdr:col>7</xdr:col>
          <xdr:colOff>361950</xdr:colOff>
          <xdr:row>19</xdr:row>
          <xdr:rowOff>142875</xdr:rowOff>
        </xdr:to>
        <xdr:sp macro="" textlink="">
          <xdr:nvSpPr>
            <xdr:cNvPr id="33798" name="Button 6" hidden="1">
              <a:extLst>
                <a:ext uri="{63B3BB69-23CF-44E3-9099-C40C66FF867C}">
                  <a14:compatExt spid="_x0000_s33798"/>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36576" tIns="27432" rIns="36576" bIns="27432" anchor="ctr" upright="1"/>
            <a:lstStyle/>
            <a:p>
              <a:pPr algn="ctr" rtl="0">
                <a:defRPr sz="1000"/>
              </a:pPr>
              <a:r>
                <a:rPr lang="en-US" sz="1200" b="1" i="0" u="none" strike="noStrike" baseline="0">
                  <a:solidFill>
                    <a:srgbClr val="FF0000"/>
                  </a:solidFill>
                  <a:latin typeface="Arial"/>
                  <a:cs typeface="Arial"/>
                </a:rPr>
                <a:t>Done</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438150</xdr:colOff>
          <xdr:row>62</xdr:row>
          <xdr:rowOff>19050</xdr:rowOff>
        </xdr:from>
        <xdr:to>
          <xdr:col>3</xdr:col>
          <xdr:colOff>447675</xdr:colOff>
          <xdr:row>63</xdr:row>
          <xdr:rowOff>85725</xdr:rowOff>
        </xdr:to>
        <xdr:sp macro="" textlink="">
          <xdr:nvSpPr>
            <xdr:cNvPr id="41985" name="Button 1" hidden="1">
              <a:extLst>
                <a:ext uri="{63B3BB69-23CF-44E3-9099-C40C66FF867C}">
                  <a14:compatExt spid="_x0000_s41985"/>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900" b="1" i="0" u="none" strike="noStrike" baseline="0">
                  <a:solidFill>
                    <a:srgbClr val="0000FF"/>
                  </a:solidFill>
                  <a:latin typeface="Arial"/>
                  <a:cs typeface="Arial"/>
                </a:rPr>
                <a:t>Print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457200</xdr:colOff>
          <xdr:row>62</xdr:row>
          <xdr:rowOff>19050</xdr:rowOff>
        </xdr:from>
        <xdr:to>
          <xdr:col>3</xdr:col>
          <xdr:colOff>914400</xdr:colOff>
          <xdr:row>63</xdr:row>
          <xdr:rowOff>85725</xdr:rowOff>
        </xdr:to>
        <xdr:sp macro="" textlink="">
          <xdr:nvSpPr>
            <xdr:cNvPr id="41986" name="Button 2" hidden="1">
              <a:extLst>
                <a:ext uri="{63B3BB69-23CF-44E3-9099-C40C66FF867C}">
                  <a14:compatExt spid="_x0000_s41986"/>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900" b="1" i="0" u="none" strike="noStrike" baseline="0">
                  <a:solidFill>
                    <a:srgbClr val="0000FF"/>
                  </a:solidFill>
                  <a:latin typeface="Arial"/>
                  <a:cs typeface="Arial"/>
                </a:rPr>
                <a:t>Back</a:t>
              </a:r>
            </a:p>
          </xdr:txBody>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438150</xdr:colOff>
          <xdr:row>62</xdr:row>
          <xdr:rowOff>19050</xdr:rowOff>
        </xdr:from>
        <xdr:to>
          <xdr:col>3</xdr:col>
          <xdr:colOff>447675</xdr:colOff>
          <xdr:row>63</xdr:row>
          <xdr:rowOff>85725</xdr:rowOff>
        </xdr:to>
        <xdr:sp macro="" textlink="">
          <xdr:nvSpPr>
            <xdr:cNvPr id="47105" name="Button 1" hidden="1">
              <a:extLst>
                <a:ext uri="{63B3BB69-23CF-44E3-9099-C40C66FF867C}">
                  <a14:compatExt spid="_x0000_s47105"/>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900" b="1" i="0" u="none" strike="noStrike" baseline="0">
                  <a:solidFill>
                    <a:srgbClr val="0000FF"/>
                  </a:solidFill>
                  <a:latin typeface="Arial"/>
                  <a:cs typeface="Arial"/>
                </a:rPr>
                <a:t>Print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457200</xdr:colOff>
          <xdr:row>62</xdr:row>
          <xdr:rowOff>19050</xdr:rowOff>
        </xdr:from>
        <xdr:to>
          <xdr:col>3</xdr:col>
          <xdr:colOff>914400</xdr:colOff>
          <xdr:row>63</xdr:row>
          <xdr:rowOff>85725</xdr:rowOff>
        </xdr:to>
        <xdr:sp macro="" textlink="">
          <xdr:nvSpPr>
            <xdr:cNvPr id="47106" name="Button 2" hidden="1">
              <a:extLst>
                <a:ext uri="{63B3BB69-23CF-44E3-9099-C40C66FF867C}">
                  <a14:compatExt spid="_x0000_s47106"/>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900" b="1" i="0" u="none" strike="noStrike" baseline="0">
                  <a:solidFill>
                    <a:srgbClr val="0000FF"/>
                  </a:solidFill>
                  <a:latin typeface="Arial"/>
                  <a:cs typeface="Arial"/>
                </a:rPr>
                <a:t>Back</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9525</xdr:rowOff>
        </xdr:from>
        <xdr:to>
          <xdr:col>1</xdr:col>
          <xdr:colOff>0</xdr:colOff>
          <xdr:row>1</xdr:row>
          <xdr:rowOff>28575</xdr:rowOff>
        </xdr:to>
        <xdr:sp macro="" textlink="">
          <xdr:nvSpPr>
            <xdr:cNvPr id="38914" name="Button 2" hidden="1">
              <a:extLst>
                <a:ext uri="{63B3BB69-23CF-44E3-9099-C40C66FF867C}">
                  <a14:compatExt spid="_x0000_s38914"/>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Back </a:t>
              </a:r>
            </a:p>
          </xdr:txBody>
        </xdr:sp>
        <xdr:clientData fPrintsWithSheet="0"/>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113</xdr:row>
          <xdr:rowOff>47625</xdr:rowOff>
        </xdr:from>
        <xdr:to>
          <xdr:col>0</xdr:col>
          <xdr:colOff>457200</xdr:colOff>
          <xdr:row>114</xdr:row>
          <xdr:rowOff>114300</xdr:rowOff>
        </xdr:to>
        <xdr:sp macro="" textlink="">
          <xdr:nvSpPr>
            <xdr:cNvPr id="37889" name="Button 1" hidden="1">
              <a:extLst>
                <a:ext uri="{63B3BB69-23CF-44E3-9099-C40C66FF867C}">
                  <a14:compatExt spid="_x0000_s37889"/>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Back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111</xdr:row>
          <xdr:rowOff>152400</xdr:rowOff>
        </xdr:from>
        <xdr:to>
          <xdr:col>0</xdr:col>
          <xdr:colOff>457200</xdr:colOff>
          <xdr:row>113</xdr:row>
          <xdr:rowOff>57150</xdr:rowOff>
        </xdr:to>
        <xdr:sp macro="" textlink="">
          <xdr:nvSpPr>
            <xdr:cNvPr id="37890" name="Button 2" hidden="1">
              <a:extLst>
                <a:ext uri="{63B3BB69-23CF-44E3-9099-C40C66FF867C}">
                  <a14:compatExt spid="_x0000_s37890"/>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FF0000"/>
                  </a:solidFill>
                  <a:latin typeface="Arial"/>
                  <a:cs typeface="Arial"/>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110</xdr:row>
          <xdr:rowOff>85725</xdr:rowOff>
        </xdr:from>
        <xdr:to>
          <xdr:col>0</xdr:col>
          <xdr:colOff>457200</xdr:colOff>
          <xdr:row>111</xdr:row>
          <xdr:rowOff>152400</xdr:rowOff>
        </xdr:to>
        <xdr:sp macro="" textlink="">
          <xdr:nvSpPr>
            <xdr:cNvPr id="37891" name="Button 3" hidden="1">
              <a:extLst>
                <a:ext uri="{63B3BB69-23CF-44E3-9099-C40C66FF867C}">
                  <a14:compatExt spid="_x0000_s37891"/>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22860" rIns="27432" bIns="22860" anchor="ctr" upright="1"/>
            <a:lstStyle/>
            <a:p>
              <a:pPr algn="ctr" rtl="0">
                <a:defRPr sz="1000"/>
              </a:pPr>
              <a:r>
                <a:rPr lang="en-US" sz="1000" b="1" i="0" u="none" strike="noStrike" baseline="0">
                  <a:solidFill>
                    <a:srgbClr val="0000FF"/>
                  </a:solidFill>
                  <a:latin typeface="Arial"/>
                  <a:cs typeface="Arial"/>
                </a:rPr>
                <a:t>New </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trlProp" Target="../ctrlProps/ctrlProp7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openxmlformats.org/officeDocument/2006/relationships/ctrlProp" Target="../ctrlProps/ctrlProp82.xml"/><Relationship Id="rId5" Type="http://schemas.openxmlformats.org/officeDocument/2006/relationships/ctrlProp" Target="../ctrlProps/ctrlProp81.xml"/><Relationship Id="rId4" Type="http://schemas.openxmlformats.org/officeDocument/2006/relationships/ctrlProp" Target="../ctrlProps/ctrlProp80.xml"/></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87.xml"/><Relationship Id="rId3" Type="http://schemas.openxmlformats.org/officeDocument/2006/relationships/vmlDrawing" Target="../drawings/vmlDrawing10.vml"/><Relationship Id="rId7" Type="http://schemas.openxmlformats.org/officeDocument/2006/relationships/ctrlProp" Target="../ctrlProps/ctrlProp86.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ctrlProp" Target="../ctrlProps/ctrlProp85.xml"/><Relationship Id="rId5" Type="http://schemas.openxmlformats.org/officeDocument/2006/relationships/ctrlProp" Target="../ctrlProps/ctrlProp84.xml"/><Relationship Id="rId4" Type="http://schemas.openxmlformats.org/officeDocument/2006/relationships/ctrlProp" Target="../ctrlProps/ctrlProp83.xml"/><Relationship Id="rId9" Type="http://schemas.openxmlformats.org/officeDocument/2006/relationships/ctrlProp" Target="../ctrlProps/ctrlProp88.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6" Type="http://schemas.openxmlformats.org/officeDocument/2006/relationships/ctrlProp" Target="../ctrlProps/ctrlProp91.xml"/><Relationship Id="rId5" Type="http://schemas.openxmlformats.org/officeDocument/2006/relationships/ctrlProp" Target="../ctrlProps/ctrlProp90.xml"/><Relationship Id="rId4" Type="http://schemas.openxmlformats.org/officeDocument/2006/relationships/ctrlProp" Target="../ctrlProps/ctrlProp89.xml"/></Relationships>
</file>

<file path=xl/worksheets/_rels/sheet14.xml.rels><?xml version="1.0" encoding="UTF-8" standalone="yes"?>
<Relationships xmlns="http://schemas.openxmlformats.org/package/2006/relationships"><Relationship Id="rId8" Type="http://schemas.openxmlformats.org/officeDocument/2006/relationships/hyperlink" Target="mailto:ALICIA.BRIONES@menasha.com" TargetMode="External"/><Relationship Id="rId13" Type="http://schemas.openxmlformats.org/officeDocument/2006/relationships/vmlDrawing" Target="../drawings/vmlDrawing12.vml"/><Relationship Id="rId3" Type="http://schemas.openxmlformats.org/officeDocument/2006/relationships/hyperlink" Target="mailto:50corjef@Menasha.com" TargetMode="External"/><Relationship Id="rId7" Type="http://schemas.openxmlformats.org/officeDocument/2006/relationships/hyperlink" Target="mailto:CATHERINE.JAECKELS@menasha.com" TargetMode="External"/><Relationship Id="rId12" Type="http://schemas.openxmlformats.org/officeDocument/2006/relationships/drawing" Target="../drawings/drawing12.xml"/><Relationship Id="rId2" Type="http://schemas.openxmlformats.org/officeDocument/2006/relationships/hyperlink" Target="mailto:50juksco@Menasha.com" TargetMode="External"/><Relationship Id="rId16" Type="http://schemas.openxmlformats.org/officeDocument/2006/relationships/ctrlProp" Target="../ctrlProps/ctrlProp94.xml"/><Relationship Id="rId1" Type="http://schemas.openxmlformats.org/officeDocument/2006/relationships/hyperlink" Target="mailto:50juksco@Menasha.com" TargetMode="External"/><Relationship Id="rId6" Type="http://schemas.openxmlformats.org/officeDocument/2006/relationships/hyperlink" Target="mailto:RCOwens24@aol.com" TargetMode="External"/><Relationship Id="rId11" Type="http://schemas.openxmlformats.org/officeDocument/2006/relationships/printerSettings" Target="../printerSettings/printerSettings12.bin"/><Relationship Id="rId5" Type="http://schemas.openxmlformats.org/officeDocument/2006/relationships/hyperlink" Target="mailto:KATHYJO.ANDERSON@menasha.com" TargetMode="External"/><Relationship Id="rId15" Type="http://schemas.openxmlformats.org/officeDocument/2006/relationships/ctrlProp" Target="../ctrlProps/ctrlProp93.xml"/><Relationship Id="rId10" Type="http://schemas.openxmlformats.org/officeDocument/2006/relationships/hyperlink" Target="mailto:ANDREA.HINRICHS@menasha.com" TargetMode="External"/><Relationship Id="rId4" Type="http://schemas.openxmlformats.org/officeDocument/2006/relationships/hyperlink" Target="mailto:GARY.STAFFANSON@menasha.com" TargetMode="External"/><Relationship Id="rId9" Type="http://schemas.openxmlformats.org/officeDocument/2006/relationships/hyperlink" Target="mailto:ANDREA.HINRICHS@menasha.com" TargetMode="External"/><Relationship Id="rId14" Type="http://schemas.openxmlformats.org/officeDocument/2006/relationships/ctrlProp" Target="../ctrlProps/ctrlProp9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trlProp" Target="../ctrlProps/ctrlProp95.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trlProp" Target="../ctrlProps/ctrlProp96.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ctrlProp" Target="../ctrlProps/ctrlProp97.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6.xml"/><Relationship Id="rId1" Type="http://schemas.openxmlformats.org/officeDocument/2006/relationships/printerSettings" Target="../printerSettings/printerSettings16.bin"/><Relationship Id="rId5" Type="http://schemas.openxmlformats.org/officeDocument/2006/relationships/ctrlProp" Target="../ctrlProps/ctrlProp99.xml"/><Relationship Id="rId4" Type="http://schemas.openxmlformats.org/officeDocument/2006/relationships/ctrlProp" Target="../ctrlProps/ctrlProp98.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7.xml"/><Relationship Id="rId1" Type="http://schemas.openxmlformats.org/officeDocument/2006/relationships/printerSettings" Target="../printerSettings/printerSettings17.bin"/><Relationship Id="rId6" Type="http://schemas.openxmlformats.org/officeDocument/2006/relationships/ctrlProp" Target="../ctrlProps/ctrlProp100.xml"/><Relationship Id="rId5" Type="http://schemas.openxmlformats.org/officeDocument/2006/relationships/image" Target="../media/image2.emf"/><Relationship Id="rId4" Type="http://schemas.openxmlformats.org/officeDocument/2006/relationships/oleObject" Target="../embeddings/oleObject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8" Type="http://schemas.openxmlformats.org/officeDocument/2006/relationships/oleObject" Target="../embeddings/Microsoft_Word_97_-_2003_Document3.doc"/><Relationship Id="rId13" Type="http://schemas.openxmlformats.org/officeDocument/2006/relationships/ctrlProp" Target="../ctrlProps/ctrlProp102.xml"/><Relationship Id="rId3" Type="http://schemas.openxmlformats.org/officeDocument/2006/relationships/vmlDrawing" Target="../drawings/vmlDrawing18.vml"/><Relationship Id="rId7" Type="http://schemas.openxmlformats.org/officeDocument/2006/relationships/image" Target="../media/image4.emf"/><Relationship Id="rId12" Type="http://schemas.openxmlformats.org/officeDocument/2006/relationships/ctrlProp" Target="../ctrlProps/ctrlProp101.xml"/><Relationship Id="rId2" Type="http://schemas.openxmlformats.org/officeDocument/2006/relationships/drawing" Target="../drawings/drawing18.xml"/><Relationship Id="rId1" Type="http://schemas.openxmlformats.org/officeDocument/2006/relationships/printerSettings" Target="../printerSettings/printerSettings18.bin"/><Relationship Id="rId6" Type="http://schemas.openxmlformats.org/officeDocument/2006/relationships/oleObject" Target="../embeddings/Microsoft_Word_97_-_2003_Document2.doc"/><Relationship Id="rId11" Type="http://schemas.openxmlformats.org/officeDocument/2006/relationships/image" Target="../media/image6.emf"/><Relationship Id="rId5" Type="http://schemas.openxmlformats.org/officeDocument/2006/relationships/image" Target="../media/image3.emf"/><Relationship Id="rId10" Type="http://schemas.openxmlformats.org/officeDocument/2006/relationships/oleObject" Target="../embeddings/Microsoft_Word_97_-_2003_Document4.doc"/><Relationship Id="rId4" Type="http://schemas.openxmlformats.org/officeDocument/2006/relationships/oleObject" Target="../embeddings/Microsoft_Word_97_-_2003_Document1.doc"/><Relationship Id="rId9" Type="http://schemas.openxmlformats.org/officeDocument/2006/relationships/image" Target="../media/image5.emf"/></Relationships>
</file>

<file path=xl/worksheets/_rels/sheet21.xml.rels><?xml version="1.0" encoding="UTF-8" standalone="yes"?>
<Relationships xmlns="http://schemas.openxmlformats.org/package/2006/relationships"><Relationship Id="rId8" Type="http://schemas.openxmlformats.org/officeDocument/2006/relationships/drawing" Target="../drawings/drawing19.xml"/><Relationship Id="rId3" Type="http://schemas.openxmlformats.org/officeDocument/2006/relationships/hyperlink" Target="http://www.worldmetal.com/cgi-bin/wmetal/wmetal/scripts/home_e.jsp" TargetMode="External"/><Relationship Id="rId7" Type="http://schemas.openxmlformats.org/officeDocument/2006/relationships/printerSettings" Target="../printerSettings/printerSettings19.bin"/><Relationship Id="rId2" Type="http://schemas.openxmlformats.org/officeDocument/2006/relationships/hyperlink" Target="http://www.olinbrass.com/" TargetMode="External"/><Relationship Id="rId1" Type="http://schemas.openxmlformats.org/officeDocument/2006/relationships/hyperlink" Target="http://www.astm.org/" TargetMode="External"/><Relationship Id="rId6" Type="http://schemas.openxmlformats.org/officeDocument/2006/relationships/hyperlink" Target="http://www.kitco.com/market/" TargetMode="External"/><Relationship Id="rId11" Type="http://schemas.openxmlformats.org/officeDocument/2006/relationships/ctrlProp" Target="../ctrlProps/ctrlProp104.xml"/><Relationship Id="rId5" Type="http://schemas.openxmlformats.org/officeDocument/2006/relationships/hyperlink" Target="http://www.principalmetals.com/specifications/step1.asp" TargetMode="External"/><Relationship Id="rId10" Type="http://schemas.openxmlformats.org/officeDocument/2006/relationships/ctrlProp" Target="../ctrlProps/ctrlProp103.xml"/><Relationship Id="rId4" Type="http://schemas.openxmlformats.org/officeDocument/2006/relationships/hyperlink" Target="http://www.thomasregister.com/" TargetMode="External"/><Relationship Id="rId9" Type="http://schemas.openxmlformats.org/officeDocument/2006/relationships/vmlDrawing" Target="../drawings/vmlDrawing19.v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0.xml"/><Relationship Id="rId1" Type="http://schemas.openxmlformats.org/officeDocument/2006/relationships/printerSettings" Target="../printerSettings/printerSettings20.bin"/><Relationship Id="rId6" Type="http://schemas.openxmlformats.org/officeDocument/2006/relationships/ctrlProp" Target="../ctrlProps/ctrlProp105.xml"/><Relationship Id="rId5" Type="http://schemas.openxmlformats.org/officeDocument/2006/relationships/image" Target="../media/image2.emf"/><Relationship Id="rId4" Type="http://schemas.openxmlformats.org/officeDocument/2006/relationships/oleObject" Target="../embeddings/oleObject3.bin"/></Relationships>
</file>

<file path=xl/worksheets/_rels/sheet23.xml.rels><?xml version="1.0" encoding="UTF-8" standalone="yes"?>
<Relationships xmlns="http://schemas.openxmlformats.org/package/2006/relationships"><Relationship Id="rId8" Type="http://schemas.openxmlformats.org/officeDocument/2006/relationships/ctrlProp" Target="../ctrlProps/ctrlProp110.xml"/><Relationship Id="rId13" Type="http://schemas.openxmlformats.org/officeDocument/2006/relationships/ctrlProp" Target="../ctrlProps/ctrlProp115.xml"/><Relationship Id="rId3" Type="http://schemas.openxmlformats.org/officeDocument/2006/relationships/vmlDrawing" Target="../drawings/vmlDrawing21.vml"/><Relationship Id="rId7" Type="http://schemas.openxmlformats.org/officeDocument/2006/relationships/ctrlProp" Target="../ctrlProps/ctrlProp109.xml"/><Relationship Id="rId12" Type="http://schemas.openxmlformats.org/officeDocument/2006/relationships/ctrlProp" Target="../ctrlProps/ctrlProp114.xml"/><Relationship Id="rId2" Type="http://schemas.openxmlformats.org/officeDocument/2006/relationships/drawing" Target="../drawings/drawing21.xml"/><Relationship Id="rId1" Type="http://schemas.openxmlformats.org/officeDocument/2006/relationships/printerSettings" Target="../printerSettings/printerSettings21.bin"/><Relationship Id="rId6" Type="http://schemas.openxmlformats.org/officeDocument/2006/relationships/ctrlProp" Target="../ctrlProps/ctrlProp108.xml"/><Relationship Id="rId11" Type="http://schemas.openxmlformats.org/officeDocument/2006/relationships/ctrlProp" Target="../ctrlProps/ctrlProp113.xml"/><Relationship Id="rId5" Type="http://schemas.openxmlformats.org/officeDocument/2006/relationships/ctrlProp" Target="../ctrlProps/ctrlProp107.xml"/><Relationship Id="rId10" Type="http://schemas.openxmlformats.org/officeDocument/2006/relationships/ctrlProp" Target="../ctrlProps/ctrlProp112.xml"/><Relationship Id="rId4" Type="http://schemas.openxmlformats.org/officeDocument/2006/relationships/ctrlProp" Target="../ctrlProps/ctrlProp106.xml"/><Relationship Id="rId9" Type="http://schemas.openxmlformats.org/officeDocument/2006/relationships/ctrlProp" Target="../ctrlProps/ctrlProp111.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2.vml"/><Relationship Id="rId7" Type="http://schemas.openxmlformats.org/officeDocument/2006/relationships/ctrlProp" Target="../ctrlProps/ctrlProp119.xml"/><Relationship Id="rId2" Type="http://schemas.openxmlformats.org/officeDocument/2006/relationships/drawing" Target="../drawings/drawing22.xml"/><Relationship Id="rId1" Type="http://schemas.openxmlformats.org/officeDocument/2006/relationships/printerSettings" Target="../printerSettings/printerSettings22.bin"/><Relationship Id="rId6" Type="http://schemas.openxmlformats.org/officeDocument/2006/relationships/ctrlProp" Target="../ctrlProps/ctrlProp118.xml"/><Relationship Id="rId5" Type="http://schemas.openxmlformats.org/officeDocument/2006/relationships/ctrlProp" Target="../ctrlProps/ctrlProp117.xml"/><Relationship Id="rId4" Type="http://schemas.openxmlformats.org/officeDocument/2006/relationships/ctrlProp" Target="../ctrlProps/ctrlProp116.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3.xml"/><Relationship Id="rId1" Type="http://schemas.openxmlformats.org/officeDocument/2006/relationships/printerSettings" Target="../printerSettings/printerSettings23.bin"/><Relationship Id="rId4" Type="http://schemas.openxmlformats.org/officeDocument/2006/relationships/ctrlProp" Target="../ctrlProps/ctrlProp120.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4.vml"/><Relationship Id="rId7" Type="http://schemas.openxmlformats.org/officeDocument/2006/relationships/comments" Target="../comments1.xml"/><Relationship Id="rId2" Type="http://schemas.openxmlformats.org/officeDocument/2006/relationships/drawing" Target="../drawings/drawing24.xml"/><Relationship Id="rId1" Type="http://schemas.openxmlformats.org/officeDocument/2006/relationships/printerSettings" Target="../printerSettings/printerSettings24.bin"/><Relationship Id="rId6" Type="http://schemas.openxmlformats.org/officeDocument/2006/relationships/ctrlProp" Target="../ctrlProps/ctrlProp123.xml"/><Relationship Id="rId5" Type="http://schemas.openxmlformats.org/officeDocument/2006/relationships/ctrlProp" Target="../ctrlProps/ctrlProp122.xml"/><Relationship Id="rId4" Type="http://schemas.openxmlformats.org/officeDocument/2006/relationships/ctrlProp" Target="../ctrlProps/ctrlProp121.xm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25.xml"/><Relationship Id="rId1" Type="http://schemas.openxmlformats.org/officeDocument/2006/relationships/printerSettings" Target="../printerSettings/printerSettings25.bin"/><Relationship Id="rId5" Type="http://schemas.openxmlformats.org/officeDocument/2006/relationships/ctrlProp" Target="../ctrlProps/ctrlProp125.xml"/><Relationship Id="rId4" Type="http://schemas.openxmlformats.org/officeDocument/2006/relationships/ctrlProp" Target="../ctrlProps/ctrlProp124.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3" Type="http://schemas.openxmlformats.org/officeDocument/2006/relationships/hyperlink" Target="file:///D:\DATA\Departmt\67ESTIMA\Matlprice\ROH.XLS" TargetMode="External"/><Relationship Id="rId18" Type="http://schemas.openxmlformats.org/officeDocument/2006/relationships/hyperlink" Target="http://www.rtpcompany.com/" TargetMode="External"/><Relationship Id="rId26" Type="http://schemas.openxmlformats.org/officeDocument/2006/relationships/ctrlProp" Target="../ctrlProps/ctrlProp5.xml"/><Relationship Id="rId39" Type="http://schemas.openxmlformats.org/officeDocument/2006/relationships/ctrlProp" Target="../ctrlProps/ctrlProp18.xml"/><Relationship Id="rId21" Type="http://schemas.openxmlformats.org/officeDocument/2006/relationships/vmlDrawing" Target="../drawings/vmlDrawing1.vml"/><Relationship Id="rId34" Type="http://schemas.openxmlformats.org/officeDocument/2006/relationships/ctrlProp" Target="../ctrlProps/ctrlProp13.xml"/><Relationship Id="rId42" Type="http://schemas.openxmlformats.org/officeDocument/2006/relationships/ctrlProp" Target="../ctrlProps/ctrlProp21.xml"/><Relationship Id="rId47" Type="http://schemas.openxmlformats.org/officeDocument/2006/relationships/ctrlProp" Target="../ctrlProps/ctrlProp26.xml"/><Relationship Id="rId50" Type="http://schemas.openxmlformats.org/officeDocument/2006/relationships/ctrlProp" Target="../ctrlProps/ctrlProp29.xml"/><Relationship Id="rId55" Type="http://schemas.openxmlformats.org/officeDocument/2006/relationships/ctrlProp" Target="../ctrlProps/ctrlProp34.xml"/><Relationship Id="rId63" Type="http://schemas.openxmlformats.org/officeDocument/2006/relationships/ctrlProp" Target="../ctrlProps/ctrlProp42.xml"/><Relationship Id="rId68" Type="http://schemas.openxmlformats.org/officeDocument/2006/relationships/ctrlProp" Target="../ctrlProps/ctrlProp47.xml"/><Relationship Id="rId76" Type="http://schemas.openxmlformats.org/officeDocument/2006/relationships/ctrlProp" Target="../ctrlProps/ctrlProp55.xml"/><Relationship Id="rId84" Type="http://schemas.openxmlformats.org/officeDocument/2006/relationships/ctrlProp" Target="../ctrlProps/ctrlProp63.xml"/><Relationship Id="rId7" Type="http://schemas.openxmlformats.org/officeDocument/2006/relationships/hyperlink" Target="http://www.plenco.com/" TargetMode="External"/><Relationship Id="rId71" Type="http://schemas.openxmlformats.org/officeDocument/2006/relationships/ctrlProp" Target="../ctrlProps/ctrlProp50.xml"/><Relationship Id="rId2" Type="http://schemas.openxmlformats.org/officeDocument/2006/relationships/hyperlink" Target="http://www.ides.com/" TargetMode="External"/><Relationship Id="rId16" Type="http://schemas.openxmlformats.org/officeDocument/2006/relationships/hyperlink" Target="http://www.basf.com/" TargetMode="External"/><Relationship Id="rId29" Type="http://schemas.openxmlformats.org/officeDocument/2006/relationships/ctrlProp" Target="../ctrlProps/ctrlProp8.xml"/><Relationship Id="rId11" Type="http://schemas.openxmlformats.org/officeDocument/2006/relationships/hyperlink" Target="http://www.thomasregister.com/" TargetMode="External"/><Relationship Id="rId24" Type="http://schemas.openxmlformats.org/officeDocument/2006/relationships/ctrlProp" Target="../ctrlProps/ctrlProp3.xml"/><Relationship Id="rId32" Type="http://schemas.openxmlformats.org/officeDocument/2006/relationships/ctrlProp" Target="../ctrlProps/ctrlProp11.xml"/><Relationship Id="rId37" Type="http://schemas.openxmlformats.org/officeDocument/2006/relationships/ctrlProp" Target="../ctrlProps/ctrlProp16.xml"/><Relationship Id="rId40" Type="http://schemas.openxmlformats.org/officeDocument/2006/relationships/ctrlProp" Target="../ctrlProps/ctrlProp19.xml"/><Relationship Id="rId45" Type="http://schemas.openxmlformats.org/officeDocument/2006/relationships/ctrlProp" Target="../ctrlProps/ctrlProp24.xml"/><Relationship Id="rId53" Type="http://schemas.openxmlformats.org/officeDocument/2006/relationships/ctrlProp" Target="../ctrlProps/ctrlProp32.xml"/><Relationship Id="rId58" Type="http://schemas.openxmlformats.org/officeDocument/2006/relationships/ctrlProp" Target="../ctrlProps/ctrlProp37.xml"/><Relationship Id="rId66" Type="http://schemas.openxmlformats.org/officeDocument/2006/relationships/ctrlProp" Target="../ctrlProps/ctrlProp45.xml"/><Relationship Id="rId74" Type="http://schemas.openxmlformats.org/officeDocument/2006/relationships/ctrlProp" Target="../ctrlProps/ctrlProp53.xml"/><Relationship Id="rId79" Type="http://schemas.openxmlformats.org/officeDocument/2006/relationships/ctrlProp" Target="../ctrlProps/ctrlProp58.xml"/><Relationship Id="rId87" Type="http://schemas.openxmlformats.org/officeDocument/2006/relationships/ctrlProp" Target="../ctrlProps/ctrlProp66.xml"/><Relationship Id="rId5" Type="http://schemas.openxmlformats.org/officeDocument/2006/relationships/hyperlink" Target="http://www.ticona-us.com/index/index.cfm" TargetMode="External"/><Relationship Id="rId61" Type="http://schemas.openxmlformats.org/officeDocument/2006/relationships/ctrlProp" Target="../ctrlProps/ctrlProp40.xml"/><Relationship Id="rId82" Type="http://schemas.openxmlformats.org/officeDocument/2006/relationships/ctrlProp" Target="../ctrlProps/ctrlProp61.xml"/><Relationship Id="rId19" Type="http://schemas.openxmlformats.org/officeDocument/2006/relationships/printerSettings" Target="../printerSettings/printerSettings2.bin"/><Relationship Id="rId4" Type="http://schemas.openxmlformats.org/officeDocument/2006/relationships/hyperlink" Target="http://www.plastics.dupont.com/" TargetMode="External"/><Relationship Id="rId9" Type="http://schemas.openxmlformats.org/officeDocument/2006/relationships/hyperlink" Target="http://www.rogers-corp.com/" TargetMode="External"/><Relationship Id="rId14" Type="http://schemas.openxmlformats.org/officeDocument/2006/relationships/hyperlink" Target="http://www.onlineconversion.com/" TargetMode="External"/><Relationship Id="rId22" Type="http://schemas.openxmlformats.org/officeDocument/2006/relationships/ctrlProp" Target="../ctrlProps/ctrlProp1.xml"/><Relationship Id="rId27" Type="http://schemas.openxmlformats.org/officeDocument/2006/relationships/ctrlProp" Target="../ctrlProps/ctrlProp6.xml"/><Relationship Id="rId30" Type="http://schemas.openxmlformats.org/officeDocument/2006/relationships/ctrlProp" Target="../ctrlProps/ctrlProp9.xml"/><Relationship Id="rId35" Type="http://schemas.openxmlformats.org/officeDocument/2006/relationships/ctrlProp" Target="../ctrlProps/ctrlProp14.xml"/><Relationship Id="rId43" Type="http://schemas.openxmlformats.org/officeDocument/2006/relationships/ctrlProp" Target="../ctrlProps/ctrlProp22.xml"/><Relationship Id="rId48" Type="http://schemas.openxmlformats.org/officeDocument/2006/relationships/ctrlProp" Target="../ctrlProps/ctrlProp27.xml"/><Relationship Id="rId56" Type="http://schemas.openxmlformats.org/officeDocument/2006/relationships/ctrlProp" Target="../ctrlProps/ctrlProp35.xml"/><Relationship Id="rId64" Type="http://schemas.openxmlformats.org/officeDocument/2006/relationships/ctrlProp" Target="../ctrlProps/ctrlProp43.xml"/><Relationship Id="rId69" Type="http://schemas.openxmlformats.org/officeDocument/2006/relationships/ctrlProp" Target="../ctrlProps/ctrlProp48.xml"/><Relationship Id="rId77" Type="http://schemas.openxmlformats.org/officeDocument/2006/relationships/ctrlProp" Target="../ctrlProps/ctrlProp56.xml"/><Relationship Id="rId8" Type="http://schemas.openxmlformats.org/officeDocument/2006/relationships/hyperlink" Target="http://www.daysonpolymers.com/" TargetMode="External"/><Relationship Id="rId51" Type="http://schemas.openxmlformats.org/officeDocument/2006/relationships/ctrlProp" Target="../ctrlProps/ctrlProp30.xml"/><Relationship Id="rId72" Type="http://schemas.openxmlformats.org/officeDocument/2006/relationships/ctrlProp" Target="../ctrlProps/ctrlProp51.xml"/><Relationship Id="rId80" Type="http://schemas.openxmlformats.org/officeDocument/2006/relationships/ctrlProp" Target="../ctrlProps/ctrlProp59.xml"/><Relationship Id="rId85" Type="http://schemas.openxmlformats.org/officeDocument/2006/relationships/ctrlProp" Target="../ctrlProps/ctrlProp64.xml"/><Relationship Id="rId3" Type="http://schemas.openxmlformats.org/officeDocument/2006/relationships/hyperlink" Target="http://gepolymerland.com/" TargetMode="External"/><Relationship Id="rId12" Type="http://schemas.openxmlformats.org/officeDocument/2006/relationships/hyperlink" Target="file:///E:\Moldcool.exe" TargetMode="External"/><Relationship Id="rId17" Type="http://schemas.openxmlformats.org/officeDocument/2006/relationships/hyperlink" Target="http://www.polyplastics.com/en/index.html" TargetMode="External"/><Relationship Id="rId25" Type="http://schemas.openxmlformats.org/officeDocument/2006/relationships/ctrlProp" Target="../ctrlProps/ctrlProp4.xml"/><Relationship Id="rId33" Type="http://schemas.openxmlformats.org/officeDocument/2006/relationships/ctrlProp" Target="../ctrlProps/ctrlProp12.xml"/><Relationship Id="rId38" Type="http://schemas.openxmlformats.org/officeDocument/2006/relationships/ctrlProp" Target="../ctrlProps/ctrlProp17.xml"/><Relationship Id="rId46" Type="http://schemas.openxmlformats.org/officeDocument/2006/relationships/ctrlProp" Target="../ctrlProps/ctrlProp25.xml"/><Relationship Id="rId59" Type="http://schemas.openxmlformats.org/officeDocument/2006/relationships/ctrlProp" Target="../ctrlProps/ctrlProp38.xml"/><Relationship Id="rId67" Type="http://schemas.openxmlformats.org/officeDocument/2006/relationships/ctrlProp" Target="../ctrlProps/ctrlProp46.xml"/><Relationship Id="rId20" Type="http://schemas.openxmlformats.org/officeDocument/2006/relationships/drawing" Target="../drawings/drawing1.xml"/><Relationship Id="rId41" Type="http://schemas.openxmlformats.org/officeDocument/2006/relationships/ctrlProp" Target="../ctrlProps/ctrlProp20.xml"/><Relationship Id="rId54" Type="http://schemas.openxmlformats.org/officeDocument/2006/relationships/ctrlProp" Target="../ctrlProps/ctrlProp33.xml"/><Relationship Id="rId62" Type="http://schemas.openxmlformats.org/officeDocument/2006/relationships/ctrlProp" Target="../ctrlProps/ctrlProp41.xml"/><Relationship Id="rId70" Type="http://schemas.openxmlformats.org/officeDocument/2006/relationships/ctrlProp" Target="../ctrlProps/ctrlProp49.xml"/><Relationship Id="rId75" Type="http://schemas.openxmlformats.org/officeDocument/2006/relationships/ctrlProp" Target="../ctrlProps/ctrlProp54.xml"/><Relationship Id="rId83" Type="http://schemas.openxmlformats.org/officeDocument/2006/relationships/ctrlProp" Target="../ctrlProps/ctrlProp62.xml"/><Relationship Id="rId1" Type="http://schemas.openxmlformats.org/officeDocument/2006/relationships/hyperlink" Target="http://www.matweb.com/search/SearchTradeName.asp" TargetMode="External"/><Relationship Id="rId6" Type="http://schemas.openxmlformats.org/officeDocument/2006/relationships/hyperlink" Target="http://www.durez.com/" TargetMode="External"/><Relationship Id="rId15" Type="http://schemas.openxmlformats.org/officeDocument/2006/relationships/hyperlink" Target="http://www.polyone.com/" TargetMode="External"/><Relationship Id="rId23" Type="http://schemas.openxmlformats.org/officeDocument/2006/relationships/ctrlProp" Target="../ctrlProps/ctrlProp2.xml"/><Relationship Id="rId28" Type="http://schemas.openxmlformats.org/officeDocument/2006/relationships/ctrlProp" Target="../ctrlProps/ctrlProp7.xml"/><Relationship Id="rId36" Type="http://schemas.openxmlformats.org/officeDocument/2006/relationships/ctrlProp" Target="../ctrlProps/ctrlProp15.xml"/><Relationship Id="rId49" Type="http://schemas.openxmlformats.org/officeDocument/2006/relationships/ctrlProp" Target="../ctrlProps/ctrlProp28.xml"/><Relationship Id="rId57" Type="http://schemas.openxmlformats.org/officeDocument/2006/relationships/ctrlProp" Target="../ctrlProps/ctrlProp36.xml"/><Relationship Id="rId10" Type="http://schemas.openxmlformats.org/officeDocument/2006/relationships/hyperlink" Target="http://www.geplastics.com/resins/forms/formpopulator.pl?formname=index" TargetMode="External"/><Relationship Id="rId31" Type="http://schemas.openxmlformats.org/officeDocument/2006/relationships/ctrlProp" Target="../ctrlProps/ctrlProp10.xml"/><Relationship Id="rId44" Type="http://schemas.openxmlformats.org/officeDocument/2006/relationships/ctrlProp" Target="../ctrlProps/ctrlProp23.xml"/><Relationship Id="rId52" Type="http://schemas.openxmlformats.org/officeDocument/2006/relationships/ctrlProp" Target="../ctrlProps/ctrlProp31.xml"/><Relationship Id="rId60" Type="http://schemas.openxmlformats.org/officeDocument/2006/relationships/ctrlProp" Target="../ctrlProps/ctrlProp39.xml"/><Relationship Id="rId65" Type="http://schemas.openxmlformats.org/officeDocument/2006/relationships/ctrlProp" Target="../ctrlProps/ctrlProp44.xml"/><Relationship Id="rId73" Type="http://schemas.openxmlformats.org/officeDocument/2006/relationships/ctrlProp" Target="../ctrlProps/ctrlProp52.xml"/><Relationship Id="rId78" Type="http://schemas.openxmlformats.org/officeDocument/2006/relationships/ctrlProp" Target="../ctrlProps/ctrlProp57.xml"/><Relationship Id="rId81" Type="http://schemas.openxmlformats.org/officeDocument/2006/relationships/ctrlProp" Target="../ctrlProps/ctrlProp60.xml"/><Relationship Id="rId86" Type="http://schemas.openxmlformats.org/officeDocument/2006/relationships/ctrlProp" Target="../ctrlProps/ctrlProp65.xml"/></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drawing" Target="../drawings/drawing26.xml"/><Relationship Id="rId1" Type="http://schemas.openxmlformats.org/officeDocument/2006/relationships/printerSettings" Target="../printerSettings/printerSettings27.bin"/><Relationship Id="rId5" Type="http://schemas.openxmlformats.org/officeDocument/2006/relationships/ctrlProp" Target="../ctrlProps/ctrlProp127.xml"/><Relationship Id="rId4" Type="http://schemas.openxmlformats.org/officeDocument/2006/relationships/ctrlProp" Target="../ctrlProps/ctrlProp126.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67.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trlProp" Target="../ctrlProps/ctrlProp68.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70.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69.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trlProp" Target="../ctrlProps/ctrlProp7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74.xml"/><Relationship Id="rId5" Type="http://schemas.openxmlformats.org/officeDocument/2006/relationships/ctrlProp" Target="../ctrlProps/ctrlProp73.xml"/><Relationship Id="rId4" Type="http://schemas.openxmlformats.org/officeDocument/2006/relationships/ctrlProp" Target="../ctrlProps/ctrlProp7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ctrlProp" Target="../ctrlProps/ctrlProp76.xml"/><Relationship Id="rId4" Type="http://schemas.openxmlformats.org/officeDocument/2006/relationships/ctrlProp" Target="../ctrlProps/ctrlProp7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openxmlformats.org/officeDocument/2006/relationships/ctrlProp" Target="../ctrlProps/ctrlProp78.xml"/><Relationship Id="rId4" Type="http://schemas.openxmlformats.org/officeDocument/2006/relationships/ctrlProp" Target="../ctrlProps/ctrlProp77.xml"/></Relationships>
</file>

<file path=xl/worksheets/sheet1.xml><?xml version="1.0" encoding="utf-8"?>
<worksheet xmlns="http://schemas.openxmlformats.org/spreadsheetml/2006/main" xmlns:xm="http://schemas.microsoft.com/office/exce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defaultRowHeight="12.75"/>
  <sheetData>
    <row r="1" spans="1:1"/>
    <row r="2" spans="1:1"/>
    <row r="3" spans="1:1"/>
    <row r="4" spans="1:1"/>
    <row r="5" spans="1:1"/>
    <row r="6" spans="1:1"/>
    <row r="7" spans="1:1"/>
    <row r="8" spans="1:1"/>
    <row r="9" spans="1:1"/>
    <row r="10" spans="1:1"/>
    <row r="11" spans="1:1"/>
  </sheetData>
  <phoneticPr fontId="22"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dimension ref="A3:V86"/>
  <sheetViews>
    <sheetView workbookViewId="0">
      <selection activeCell="C1" sqref="C1"/>
    </sheetView>
  </sheetViews>
  <sheetFormatPr defaultRowHeight="12.75"/>
  <cols>
    <col min="1" max="1" width="5.140625" style="220" customWidth="1"/>
    <col min="2" max="2" width="8.85546875" style="220" customWidth="1"/>
    <col min="3" max="3" width="8.5703125" style="220" bestFit="1" customWidth="1"/>
    <col min="4" max="4" width="5.85546875" style="220" bestFit="1" customWidth="1"/>
    <col min="5" max="5" width="4" style="220" bestFit="1" customWidth="1"/>
    <col min="6" max="6" width="5.7109375" style="220" bestFit="1" customWidth="1"/>
    <col min="7" max="7" width="4.85546875" style="220" bestFit="1" customWidth="1"/>
    <col min="8" max="8" width="8.7109375" style="220" bestFit="1" customWidth="1"/>
    <col min="9" max="10" width="8.5703125" style="220" bestFit="1" customWidth="1"/>
    <col min="11" max="11" width="4.85546875" style="220" bestFit="1" customWidth="1"/>
    <col min="12" max="12" width="10.5703125" style="220" bestFit="1" customWidth="1"/>
    <col min="13" max="13" width="8.85546875" style="220" bestFit="1" customWidth="1"/>
    <col min="14" max="14" width="4.85546875" style="220" customWidth="1"/>
    <col min="15" max="15" width="4.5703125" style="220" customWidth="1"/>
    <col min="16" max="16" width="7.85546875" style="220" customWidth="1"/>
    <col min="17" max="17" width="7.140625" style="220" customWidth="1"/>
    <col min="18" max="19" width="5.28515625" style="220" customWidth="1"/>
    <col min="20" max="20" width="8.5703125" style="220" customWidth="1"/>
    <col min="21" max="21" width="9.7109375" style="220" customWidth="1"/>
    <col min="22" max="22" width="7.140625" style="220" customWidth="1"/>
    <col min="23" max="16384" width="9.140625" style="220"/>
  </cols>
  <sheetData>
    <row r="3" spans="1:22" customFormat="1" ht="13.5" thickBot="1">
      <c r="A3" s="1050" t="s">
        <v>5331</v>
      </c>
      <c r="B3" s="1050"/>
      <c r="C3" s="1050"/>
      <c r="D3" s="1050"/>
      <c r="E3" s="1050"/>
      <c r="F3" s="1051"/>
      <c r="G3" s="1051"/>
      <c r="H3" s="1051"/>
      <c r="I3" s="1051"/>
      <c r="J3" s="1051"/>
      <c r="K3" s="1051"/>
      <c r="L3" s="1051"/>
      <c r="M3" s="1051"/>
      <c r="N3" s="1051"/>
      <c r="O3" s="1051"/>
      <c r="P3" s="1051"/>
      <c r="Q3" s="1051"/>
    </row>
    <row r="4" spans="1:22" s="130" customFormat="1" ht="11.25">
      <c r="A4" s="1233" t="s">
        <v>3085</v>
      </c>
      <c r="B4" s="1053"/>
      <c r="C4" s="1052"/>
      <c r="D4" s="1054"/>
      <c r="E4" s="1055"/>
      <c r="F4" s="1053" t="s">
        <v>1867</v>
      </c>
      <c r="G4" s="1052" t="s">
        <v>1868</v>
      </c>
      <c r="H4" s="1052" t="s">
        <v>1868</v>
      </c>
      <c r="I4" s="1053" t="s">
        <v>1869</v>
      </c>
      <c r="J4" s="1235" t="s">
        <v>1512</v>
      </c>
      <c r="K4" s="1236"/>
      <c r="L4" s="1053" t="s">
        <v>1513</v>
      </c>
      <c r="M4" s="1235" t="s">
        <v>3996</v>
      </c>
      <c r="N4" s="1236"/>
      <c r="O4" s="1052"/>
      <c r="P4" s="1053"/>
      <c r="Q4" s="1052"/>
      <c r="R4" s="1056" t="s">
        <v>3094</v>
      </c>
      <c r="S4" s="1057"/>
      <c r="T4" s="1056"/>
      <c r="U4" s="1057" t="s">
        <v>3095</v>
      </c>
      <c r="V4" s="1057"/>
    </row>
    <row r="5" spans="1:22" s="130" customFormat="1" ht="11.25">
      <c r="A5" s="1234"/>
      <c r="B5" s="1059" t="s">
        <v>1516</v>
      </c>
      <c r="C5" s="1058" t="s">
        <v>3096</v>
      </c>
      <c r="D5" s="1237" t="s">
        <v>3097</v>
      </c>
      <c r="E5" s="1238"/>
      <c r="F5" s="1059" t="s">
        <v>1428</v>
      </c>
      <c r="G5" s="1058" t="s">
        <v>3531</v>
      </c>
      <c r="H5" s="1058" t="s">
        <v>3531</v>
      </c>
      <c r="I5" s="1059" t="s">
        <v>3532</v>
      </c>
      <c r="J5" s="1060" t="s">
        <v>3098</v>
      </c>
      <c r="K5" s="1061" t="s">
        <v>1226</v>
      </c>
      <c r="L5" s="1059" t="s">
        <v>2755</v>
      </c>
      <c r="M5" s="1060" t="s">
        <v>1228</v>
      </c>
      <c r="N5" s="1061" t="s">
        <v>2193</v>
      </c>
      <c r="O5" s="1058" t="s">
        <v>1596</v>
      </c>
      <c r="P5" s="1059" t="s">
        <v>2195</v>
      </c>
      <c r="Q5" s="1058" t="s">
        <v>2196</v>
      </c>
      <c r="R5" s="1062" t="s">
        <v>3531</v>
      </c>
      <c r="S5" s="1063" t="s">
        <v>2197</v>
      </c>
      <c r="T5" s="1062" t="s">
        <v>2198</v>
      </c>
      <c r="U5" s="1063" t="s">
        <v>2756</v>
      </c>
      <c r="V5" s="1063" t="s">
        <v>254</v>
      </c>
    </row>
    <row r="6" spans="1:22" s="1070" customFormat="1" ht="12" thickBot="1">
      <c r="A6" s="1064" t="s">
        <v>6028</v>
      </c>
      <c r="B6" s="1065" t="s">
        <v>6028</v>
      </c>
      <c r="C6" s="1064" t="s">
        <v>5034</v>
      </c>
      <c r="D6" s="1066" t="s">
        <v>5035</v>
      </c>
      <c r="E6" s="1067" t="s">
        <v>4534</v>
      </c>
      <c r="F6" s="1065" t="s">
        <v>763</v>
      </c>
      <c r="G6" s="1064" t="s">
        <v>6183</v>
      </c>
      <c r="H6" s="1064" t="s">
        <v>5332</v>
      </c>
      <c r="I6" s="1065" t="s">
        <v>6184</v>
      </c>
      <c r="J6" s="1066" t="s">
        <v>6185</v>
      </c>
      <c r="K6" s="1067" t="s">
        <v>6185</v>
      </c>
      <c r="L6" s="1065" t="s">
        <v>6185</v>
      </c>
      <c r="M6" s="1066" t="s">
        <v>6185</v>
      </c>
      <c r="N6" s="1067" t="s">
        <v>6185</v>
      </c>
      <c r="O6" s="1064" t="s">
        <v>2900</v>
      </c>
      <c r="P6" s="1065" t="s">
        <v>1115</v>
      </c>
      <c r="Q6" s="1064" t="s">
        <v>1115</v>
      </c>
      <c r="R6" s="1068" t="s">
        <v>1573</v>
      </c>
      <c r="S6" s="1069" t="s">
        <v>1115</v>
      </c>
      <c r="T6" s="1068" t="s">
        <v>3530</v>
      </c>
      <c r="U6" s="1069" t="s">
        <v>3968</v>
      </c>
      <c r="V6" s="1069" t="s">
        <v>3530</v>
      </c>
    </row>
    <row r="7" spans="1:22" s="1074" customFormat="1" ht="11.25">
      <c r="A7" s="1071" t="s">
        <v>1574</v>
      </c>
      <c r="B7" s="1071" t="s">
        <v>1575</v>
      </c>
      <c r="C7" s="1071" t="s">
        <v>1576</v>
      </c>
      <c r="D7" s="1071" t="s">
        <v>1294</v>
      </c>
      <c r="E7" s="1071" t="s">
        <v>1295</v>
      </c>
      <c r="F7" s="1071" t="s">
        <v>1296</v>
      </c>
      <c r="G7" s="1071" t="s">
        <v>5333</v>
      </c>
      <c r="H7" s="1072">
        <f t="shared" ref="H7:H23" si="0">G7*28.349</f>
        <v>106.59223999999999</v>
      </c>
      <c r="I7" s="1071" t="s">
        <v>3867</v>
      </c>
      <c r="J7" s="1071" t="s">
        <v>3868</v>
      </c>
      <c r="K7" s="1071" t="s">
        <v>3869</v>
      </c>
      <c r="L7" s="1071" t="s">
        <v>5070</v>
      </c>
      <c r="M7" s="1071" t="s">
        <v>3870</v>
      </c>
      <c r="N7" s="1071" t="s">
        <v>3871</v>
      </c>
      <c r="O7" s="1071" t="s">
        <v>2715</v>
      </c>
      <c r="P7" s="1071" t="s">
        <v>2323</v>
      </c>
      <c r="Q7" s="1071" t="s">
        <v>2716</v>
      </c>
      <c r="R7" s="1073" t="s">
        <v>2675</v>
      </c>
      <c r="S7" s="1073" t="s">
        <v>4942</v>
      </c>
      <c r="T7" s="1047" t="s">
        <v>5704</v>
      </c>
      <c r="U7" s="1073" t="s">
        <v>6051</v>
      </c>
      <c r="V7" s="1073" t="s">
        <v>2676</v>
      </c>
    </row>
    <row r="8" spans="1:22" s="1074" customFormat="1" ht="11.25">
      <c r="A8" s="1071" t="s">
        <v>2677</v>
      </c>
      <c r="B8" s="1071" t="s">
        <v>5334</v>
      </c>
      <c r="C8" s="1075" t="s">
        <v>2450</v>
      </c>
      <c r="D8" s="1071" t="s">
        <v>5335</v>
      </c>
      <c r="E8" s="1071" t="s">
        <v>4762</v>
      </c>
      <c r="F8" s="1071" t="s">
        <v>5336</v>
      </c>
      <c r="G8" s="1071" t="s">
        <v>5337</v>
      </c>
      <c r="H8" s="1072">
        <f>G8*28.349</f>
        <v>22.112220000000001</v>
      </c>
      <c r="I8" s="1071" t="s">
        <v>711</v>
      </c>
      <c r="J8" s="1071" t="s">
        <v>712</v>
      </c>
      <c r="K8" s="1071" t="s">
        <v>712</v>
      </c>
      <c r="L8" s="1075" t="s">
        <v>713</v>
      </c>
      <c r="M8" s="1071" t="s">
        <v>2456</v>
      </c>
      <c r="N8" s="1071" t="s">
        <v>714</v>
      </c>
      <c r="O8" s="1071" t="s">
        <v>2715</v>
      </c>
      <c r="P8" s="1075" t="s">
        <v>5616</v>
      </c>
      <c r="Q8" s="1075" t="s">
        <v>5226</v>
      </c>
      <c r="R8" s="1047" t="s">
        <v>2675</v>
      </c>
      <c r="S8" s="1047" t="s">
        <v>4942</v>
      </c>
      <c r="T8" s="1047" t="s">
        <v>5704</v>
      </c>
      <c r="U8" s="1073" t="s">
        <v>4950</v>
      </c>
      <c r="V8" s="1073" t="s">
        <v>2676</v>
      </c>
    </row>
    <row r="9" spans="1:22" s="1074" customFormat="1" ht="11.25">
      <c r="A9" s="1075" t="s">
        <v>2678</v>
      </c>
      <c r="B9" s="1075" t="s">
        <v>715</v>
      </c>
      <c r="C9" s="1075" t="s">
        <v>2450</v>
      </c>
      <c r="D9" s="1071" t="s">
        <v>5335</v>
      </c>
      <c r="E9" s="1075" t="s">
        <v>4762</v>
      </c>
      <c r="F9" s="1075" t="s">
        <v>6260</v>
      </c>
      <c r="G9" s="1075" t="s">
        <v>716</v>
      </c>
      <c r="H9" s="1072">
        <f>G9*28.349</f>
        <v>47.62632</v>
      </c>
      <c r="I9" s="1075" t="s">
        <v>4149</v>
      </c>
      <c r="J9" s="1071" t="s">
        <v>712</v>
      </c>
      <c r="K9" s="1071" t="s">
        <v>712</v>
      </c>
      <c r="L9" s="1075" t="s">
        <v>713</v>
      </c>
      <c r="M9" s="1071" t="s">
        <v>2456</v>
      </c>
      <c r="N9" s="1071" t="s">
        <v>714</v>
      </c>
      <c r="O9" s="1075" t="s">
        <v>2715</v>
      </c>
      <c r="P9" s="1075" t="s">
        <v>5616</v>
      </c>
      <c r="Q9" s="1075" t="s">
        <v>5226</v>
      </c>
      <c r="R9" s="1047" t="s">
        <v>2675</v>
      </c>
      <c r="S9" s="1047" t="s">
        <v>4942</v>
      </c>
      <c r="T9" s="1047" t="s">
        <v>5704</v>
      </c>
      <c r="U9" s="1073" t="s">
        <v>4950</v>
      </c>
      <c r="V9" s="1047" t="s">
        <v>2676</v>
      </c>
    </row>
    <row r="10" spans="1:22" s="1074" customFormat="1" ht="11.25">
      <c r="A10" s="1075" t="s">
        <v>5702</v>
      </c>
      <c r="B10" s="1075" t="s">
        <v>2449</v>
      </c>
      <c r="C10" s="1075" t="s">
        <v>2450</v>
      </c>
      <c r="D10" s="1075" t="s">
        <v>2451</v>
      </c>
      <c r="E10" s="1075" t="s">
        <v>2452</v>
      </c>
      <c r="F10" s="1075" t="s">
        <v>1296</v>
      </c>
      <c r="G10" s="1075" t="s">
        <v>4150</v>
      </c>
      <c r="H10" s="1072">
        <f t="shared" si="0"/>
        <v>138.05963</v>
      </c>
      <c r="I10" s="1075" t="s">
        <v>2453</v>
      </c>
      <c r="J10" s="1075" t="s">
        <v>2454</v>
      </c>
      <c r="K10" s="1075" t="s">
        <v>2454</v>
      </c>
      <c r="L10" s="1075" t="s">
        <v>2455</v>
      </c>
      <c r="M10" s="1075" t="s">
        <v>2456</v>
      </c>
      <c r="N10" s="1075" t="s">
        <v>2457</v>
      </c>
      <c r="O10" s="1075" t="s">
        <v>2715</v>
      </c>
      <c r="P10" s="1075" t="s">
        <v>5616</v>
      </c>
      <c r="Q10" s="1075" t="s">
        <v>5226</v>
      </c>
      <c r="R10" s="1047" t="s">
        <v>3396</v>
      </c>
      <c r="S10" s="1047" t="s">
        <v>4942</v>
      </c>
      <c r="T10" s="1047" t="s">
        <v>6051</v>
      </c>
      <c r="U10" s="1047" t="s">
        <v>6051</v>
      </c>
      <c r="V10" s="1047" t="s">
        <v>4951</v>
      </c>
    </row>
    <row r="11" spans="1:22" s="1074" customFormat="1" ht="11.25">
      <c r="A11" s="1071" t="s">
        <v>5657</v>
      </c>
      <c r="B11" s="1075" t="s">
        <v>5703</v>
      </c>
      <c r="C11" s="1075" t="s">
        <v>2450</v>
      </c>
      <c r="D11" s="1075" t="s">
        <v>2451</v>
      </c>
      <c r="E11" s="1075" t="s">
        <v>2452</v>
      </c>
      <c r="F11" s="1075" t="s">
        <v>1296</v>
      </c>
      <c r="G11" s="1075" t="s">
        <v>4150</v>
      </c>
      <c r="H11" s="1072">
        <f t="shared" si="0"/>
        <v>138.05963</v>
      </c>
      <c r="I11" s="1075" t="s">
        <v>2453</v>
      </c>
      <c r="J11" s="1075" t="s">
        <v>2454</v>
      </c>
      <c r="K11" s="1075" t="s">
        <v>2454</v>
      </c>
      <c r="L11" s="1075" t="s">
        <v>2455</v>
      </c>
      <c r="M11" s="1075" t="s">
        <v>2456</v>
      </c>
      <c r="N11" s="1075" t="s">
        <v>2457</v>
      </c>
      <c r="O11" s="1075" t="s">
        <v>6316</v>
      </c>
      <c r="P11" s="1075" t="s">
        <v>5616</v>
      </c>
      <c r="Q11" s="1075" t="s">
        <v>5226</v>
      </c>
      <c r="R11" s="1047" t="s">
        <v>3396</v>
      </c>
      <c r="S11" s="1047" t="s">
        <v>4942</v>
      </c>
      <c r="T11" s="1047" t="s">
        <v>6051</v>
      </c>
      <c r="U11" s="1047" t="s">
        <v>6051</v>
      </c>
      <c r="V11" s="1047"/>
    </row>
    <row r="12" spans="1:22" s="1074" customFormat="1" ht="11.25">
      <c r="A12" s="1071" t="s">
        <v>5658</v>
      </c>
      <c r="B12" s="1075" t="s">
        <v>1459</v>
      </c>
      <c r="C12" s="1075" t="s">
        <v>3969</v>
      </c>
      <c r="D12" s="1075" t="s">
        <v>2451</v>
      </c>
      <c r="E12" s="1075" t="s">
        <v>3396</v>
      </c>
      <c r="F12" s="1075" t="s">
        <v>4762</v>
      </c>
      <c r="G12" s="1075" t="s">
        <v>4161</v>
      </c>
      <c r="H12" s="1072">
        <f t="shared" si="0"/>
        <v>436.57460000000003</v>
      </c>
      <c r="I12" s="1075" t="s">
        <v>5339</v>
      </c>
      <c r="J12" s="1075" t="s">
        <v>5340</v>
      </c>
      <c r="K12" s="1075" t="s">
        <v>5341</v>
      </c>
      <c r="L12" s="1075" t="s">
        <v>5070</v>
      </c>
      <c r="M12" s="1075" t="s">
        <v>5342</v>
      </c>
      <c r="N12" s="1075" t="s">
        <v>5343</v>
      </c>
      <c r="O12" s="1075" t="s">
        <v>2715</v>
      </c>
      <c r="P12" s="1075" t="s">
        <v>2323</v>
      </c>
      <c r="Q12" s="1075" t="s">
        <v>3371</v>
      </c>
      <c r="R12" s="1047" t="s">
        <v>5425</v>
      </c>
      <c r="S12" s="1047" t="s">
        <v>4942</v>
      </c>
      <c r="T12" s="1047" t="s">
        <v>6051</v>
      </c>
      <c r="U12" s="1047" t="s">
        <v>6051</v>
      </c>
      <c r="V12" s="1047" t="s">
        <v>71</v>
      </c>
    </row>
    <row r="13" spans="1:22" s="1074" customFormat="1" ht="11.25">
      <c r="A13" s="1071" t="s">
        <v>1458</v>
      </c>
      <c r="B13" s="1075" t="s">
        <v>5659</v>
      </c>
      <c r="C13" s="1075" t="s">
        <v>2450</v>
      </c>
      <c r="D13" s="1075" t="s">
        <v>2451</v>
      </c>
      <c r="E13" s="1075" t="s">
        <v>5660</v>
      </c>
      <c r="F13" s="1075" t="s">
        <v>1220</v>
      </c>
      <c r="G13" s="1075" t="s">
        <v>4160</v>
      </c>
      <c r="H13" s="1072">
        <f t="shared" si="0"/>
        <v>252.30610000000001</v>
      </c>
      <c r="I13" s="1075" t="s">
        <v>1221</v>
      </c>
      <c r="J13" s="1075" t="s">
        <v>3570</v>
      </c>
      <c r="K13" s="1075" t="s">
        <v>3570</v>
      </c>
      <c r="L13" s="1075" t="s">
        <v>3571</v>
      </c>
      <c r="M13" s="1075" t="s">
        <v>1456</v>
      </c>
      <c r="N13" s="1075" t="s">
        <v>1457</v>
      </c>
      <c r="O13" s="1075" t="s">
        <v>2715</v>
      </c>
      <c r="P13" s="1075" t="s">
        <v>5616</v>
      </c>
      <c r="Q13" s="1075" t="s">
        <v>5226</v>
      </c>
      <c r="R13" s="1047" t="s">
        <v>2556</v>
      </c>
      <c r="S13" s="1047" t="s">
        <v>4942</v>
      </c>
      <c r="T13" s="1047" t="s">
        <v>4952</v>
      </c>
      <c r="U13" s="1047" t="s">
        <v>6051</v>
      </c>
      <c r="V13" s="1047" t="s">
        <v>4951</v>
      </c>
    </row>
    <row r="14" spans="1:22" s="1074" customFormat="1" ht="11.25">
      <c r="A14" s="1075" t="s">
        <v>72</v>
      </c>
      <c r="B14" s="1075" t="s">
        <v>4151</v>
      </c>
      <c r="C14" s="1075" t="s">
        <v>4152</v>
      </c>
      <c r="D14" s="1075" t="s">
        <v>4153</v>
      </c>
      <c r="E14" s="1075" t="s">
        <v>2452</v>
      </c>
      <c r="F14" s="1075" t="s">
        <v>4154</v>
      </c>
      <c r="G14" s="1075" t="s">
        <v>5657</v>
      </c>
      <c r="H14" s="1072">
        <f t="shared" si="0"/>
        <v>141.745</v>
      </c>
      <c r="I14" s="1075" t="s">
        <v>4155</v>
      </c>
      <c r="J14" s="1075" t="s">
        <v>4156</v>
      </c>
      <c r="K14" s="1075" t="s">
        <v>4156</v>
      </c>
      <c r="L14" s="1075" t="s">
        <v>4157</v>
      </c>
      <c r="M14" s="1075" t="s">
        <v>2456</v>
      </c>
      <c r="N14" s="1075" t="s">
        <v>4158</v>
      </c>
      <c r="O14" s="1075" t="s">
        <v>2715</v>
      </c>
      <c r="P14" s="1075" t="s">
        <v>5616</v>
      </c>
      <c r="Q14" s="1075" t="s">
        <v>4159</v>
      </c>
      <c r="R14" s="1047" t="s">
        <v>5425</v>
      </c>
      <c r="S14" s="1047" t="s">
        <v>4953</v>
      </c>
      <c r="T14" s="1047" t="s">
        <v>4952</v>
      </c>
      <c r="U14" s="1047" t="s">
        <v>6051</v>
      </c>
      <c r="V14" s="1047" t="s">
        <v>4951</v>
      </c>
    </row>
    <row r="15" spans="1:22" s="1074" customFormat="1" ht="11.25">
      <c r="A15" s="1075" t="s">
        <v>5156</v>
      </c>
      <c r="B15" s="1075" t="s">
        <v>5751</v>
      </c>
      <c r="C15" s="1075" t="s">
        <v>2450</v>
      </c>
      <c r="D15" s="1075" t="s">
        <v>5335</v>
      </c>
      <c r="E15" s="1075" t="s">
        <v>2452</v>
      </c>
      <c r="F15" s="1075" t="s">
        <v>5752</v>
      </c>
      <c r="G15" s="1075" t="s">
        <v>5753</v>
      </c>
      <c r="H15" s="1072">
        <f t="shared" si="0"/>
        <v>55.280549999999998</v>
      </c>
      <c r="I15" s="1075" t="s">
        <v>5754</v>
      </c>
      <c r="J15" s="1075" t="s">
        <v>2454</v>
      </c>
      <c r="K15" s="1075" t="s">
        <v>2454</v>
      </c>
      <c r="L15" s="1075" t="s">
        <v>2455</v>
      </c>
      <c r="M15" s="1075" t="s">
        <v>2456</v>
      </c>
      <c r="N15" s="1075" t="s">
        <v>2457</v>
      </c>
      <c r="O15" s="1075" t="s">
        <v>2715</v>
      </c>
      <c r="P15" s="1075" t="s">
        <v>5616</v>
      </c>
      <c r="Q15" s="1075" t="s">
        <v>5226</v>
      </c>
      <c r="R15" s="1047" t="s">
        <v>5425</v>
      </c>
      <c r="S15" s="1047" t="s">
        <v>4942</v>
      </c>
      <c r="T15" s="1047" t="s">
        <v>2521</v>
      </c>
      <c r="U15" s="1047" t="s">
        <v>6051</v>
      </c>
      <c r="V15" s="1047" t="s">
        <v>71</v>
      </c>
    </row>
    <row r="16" spans="1:22" s="1074" customFormat="1" ht="11.25">
      <c r="A16" s="1071" t="s">
        <v>1149</v>
      </c>
      <c r="B16" s="1075" t="s">
        <v>5756</v>
      </c>
      <c r="C16" s="1075" t="s">
        <v>2450</v>
      </c>
      <c r="D16" s="1075" t="s">
        <v>5335</v>
      </c>
      <c r="E16" s="1075" t="s">
        <v>2452</v>
      </c>
      <c r="F16" s="1075" t="s">
        <v>5752</v>
      </c>
      <c r="G16" s="1075" t="s">
        <v>5753</v>
      </c>
      <c r="H16" s="1072">
        <f t="shared" si="0"/>
        <v>55.280549999999998</v>
      </c>
      <c r="I16" s="1075" t="s">
        <v>5754</v>
      </c>
      <c r="J16" s="1075" t="s">
        <v>2454</v>
      </c>
      <c r="K16" s="1075" t="s">
        <v>2454</v>
      </c>
      <c r="L16" s="1075" t="s">
        <v>2455</v>
      </c>
      <c r="M16" s="1075" t="s">
        <v>2456</v>
      </c>
      <c r="N16" s="1075" t="s">
        <v>2457</v>
      </c>
      <c r="O16" s="1075" t="s">
        <v>2715</v>
      </c>
      <c r="P16" s="1075" t="s">
        <v>5616</v>
      </c>
      <c r="Q16" s="1075" t="s">
        <v>5226</v>
      </c>
      <c r="R16" s="1047" t="s">
        <v>5749</v>
      </c>
      <c r="S16" s="1047" t="s">
        <v>4942</v>
      </c>
      <c r="T16" s="1047" t="s">
        <v>1369</v>
      </c>
      <c r="U16" s="1073" t="s">
        <v>2522</v>
      </c>
      <c r="V16" s="1047" t="s">
        <v>71</v>
      </c>
    </row>
    <row r="17" spans="1:22" s="1074" customFormat="1">
      <c r="A17" s="1071" t="s">
        <v>5745</v>
      </c>
      <c r="B17" s="1075" t="s">
        <v>5758</v>
      </c>
      <c r="C17" s="1075" t="s">
        <v>2450</v>
      </c>
      <c r="D17" s="1075" t="s">
        <v>5335</v>
      </c>
      <c r="E17" s="1075" t="s">
        <v>5660</v>
      </c>
      <c r="F17" s="1075" t="s">
        <v>5759</v>
      </c>
      <c r="G17" s="1075" t="s">
        <v>3386</v>
      </c>
      <c r="H17" s="1072">
        <f t="shared" si="0"/>
        <v>177.74822999999998</v>
      </c>
      <c r="I17" s="1075" t="s">
        <v>2453</v>
      </c>
      <c r="J17" s="1075" t="s">
        <v>3570</v>
      </c>
      <c r="K17" s="1075" t="s">
        <v>3570</v>
      </c>
      <c r="L17" s="1075" t="s">
        <v>1713</v>
      </c>
      <c r="M17" s="1075" t="s">
        <v>1456</v>
      </c>
      <c r="N17" s="1075" t="s">
        <v>1457</v>
      </c>
      <c r="O17" s="1075" t="s">
        <v>2715</v>
      </c>
      <c r="P17" s="1075" t="s">
        <v>5616</v>
      </c>
      <c r="Q17" s="1075" t="s">
        <v>5226</v>
      </c>
      <c r="R17" s="1047" t="s">
        <v>2675</v>
      </c>
      <c r="S17" s="1047" t="s">
        <v>4942</v>
      </c>
      <c r="T17" s="1076"/>
      <c r="U17" s="1076"/>
      <c r="V17" s="1076"/>
    </row>
    <row r="18" spans="1:22" s="1074" customFormat="1">
      <c r="A18" s="1071" t="s">
        <v>3868</v>
      </c>
      <c r="B18" s="1075" t="s">
        <v>2452</v>
      </c>
      <c r="C18" s="1075" t="s">
        <v>2450</v>
      </c>
      <c r="D18" s="1075" t="s">
        <v>5335</v>
      </c>
      <c r="E18" s="1075" t="s">
        <v>5660</v>
      </c>
      <c r="F18" s="1075" t="s">
        <v>5759</v>
      </c>
      <c r="G18" s="1075" t="s">
        <v>3386</v>
      </c>
      <c r="H18" s="1072">
        <f t="shared" si="0"/>
        <v>177.74822999999998</v>
      </c>
      <c r="I18" s="1075" t="s">
        <v>2453</v>
      </c>
      <c r="J18" s="1075" t="s">
        <v>3570</v>
      </c>
      <c r="K18" s="1075" t="s">
        <v>3570</v>
      </c>
      <c r="L18" s="1075" t="s">
        <v>1713</v>
      </c>
      <c r="M18" s="1075" t="s">
        <v>1456</v>
      </c>
      <c r="N18" s="1075" t="s">
        <v>1457</v>
      </c>
      <c r="O18" s="1075" t="s">
        <v>2715</v>
      </c>
      <c r="P18" s="1075" t="s">
        <v>5616</v>
      </c>
      <c r="Q18" s="1075" t="s">
        <v>5226</v>
      </c>
      <c r="R18" s="1047" t="s">
        <v>2675</v>
      </c>
      <c r="S18" s="1047" t="s">
        <v>4942</v>
      </c>
      <c r="T18" s="1076"/>
      <c r="U18" s="1076"/>
      <c r="V18" s="1076"/>
    </row>
    <row r="19" spans="1:22" s="1074" customFormat="1">
      <c r="A19" s="1075" t="s">
        <v>5750</v>
      </c>
      <c r="B19" s="1075" t="s">
        <v>4162</v>
      </c>
      <c r="C19" s="1075" t="s">
        <v>2450</v>
      </c>
      <c r="D19" s="1071" t="s">
        <v>1294</v>
      </c>
      <c r="E19" s="1075" t="s">
        <v>4163</v>
      </c>
      <c r="F19" s="1075" t="s">
        <v>4164</v>
      </c>
      <c r="G19" s="1075" t="s">
        <v>4165</v>
      </c>
      <c r="H19" s="1072">
        <f t="shared" si="0"/>
        <v>300.21591000000001</v>
      </c>
      <c r="I19" s="1075" t="s">
        <v>4166</v>
      </c>
      <c r="J19" s="1075" t="s">
        <v>4167</v>
      </c>
      <c r="K19" s="1075" t="s">
        <v>4167</v>
      </c>
      <c r="L19" s="1075" t="s">
        <v>4168</v>
      </c>
      <c r="M19" s="1075" t="s">
        <v>2554</v>
      </c>
      <c r="N19" s="1075" t="s">
        <v>2555</v>
      </c>
      <c r="O19" s="1075" t="s">
        <v>864</v>
      </c>
      <c r="P19" s="1075" t="s">
        <v>5616</v>
      </c>
      <c r="Q19" s="1075" t="s">
        <v>5226</v>
      </c>
      <c r="R19" s="1047" t="s">
        <v>5425</v>
      </c>
      <c r="S19" s="1047" t="s">
        <v>4942</v>
      </c>
      <c r="T19" s="1076"/>
      <c r="U19" s="1076"/>
      <c r="V19" s="1076"/>
    </row>
    <row r="20" spans="1:22" s="1074" customFormat="1">
      <c r="A20" s="1075" t="s">
        <v>5755</v>
      </c>
      <c r="B20" s="1075" t="s">
        <v>2557</v>
      </c>
      <c r="C20" s="1075" t="s">
        <v>2450</v>
      </c>
      <c r="D20" s="1071" t="s">
        <v>2558</v>
      </c>
      <c r="E20" s="1075" t="s">
        <v>2559</v>
      </c>
      <c r="F20" s="1075" t="s">
        <v>4164</v>
      </c>
      <c r="G20" s="1075" t="s">
        <v>2560</v>
      </c>
      <c r="H20" s="1072">
        <f t="shared" si="0"/>
        <v>299.64893000000001</v>
      </c>
      <c r="I20" s="1075" t="s">
        <v>2561</v>
      </c>
      <c r="J20" s="1075" t="s">
        <v>5744</v>
      </c>
      <c r="K20" s="1075" t="s">
        <v>5744</v>
      </c>
      <c r="L20" s="1075" t="s">
        <v>6056</v>
      </c>
      <c r="M20" s="1075" t="s">
        <v>2554</v>
      </c>
      <c r="N20" s="1075" t="s">
        <v>2555</v>
      </c>
      <c r="O20" s="1075" t="s">
        <v>2715</v>
      </c>
      <c r="P20" s="1075" t="s">
        <v>5616</v>
      </c>
      <c r="Q20" s="1075" t="s">
        <v>5226</v>
      </c>
      <c r="R20" s="1047" t="s">
        <v>5425</v>
      </c>
      <c r="S20" s="1047" t="s">
        <v>4942</v>
      </c>
      <c r="T20" s="1076"/>
      <c r="U20" s="1076"/>
      <c r="V20" s="1076"/>
    </row>
    <row r="21" spans="1:22" s="1074" customFormat="1">
      <c r="A21" s="1071" t="s">
        <v>5757</v>
      </c>
      <c r="B21" s="1075" t="s">
        <v>73</v>
      </c>
      <c r="C21" s="1075" t="s">
        <v>74</v>
      </c>
      <c r="D21" s="1071" t="s">
        <v>2451</v>
      </c>
      <c r="E21" s="1075" t="s">
        <v>75</v>
      </c>
      <c r="F21" s="1075" t="s">
        <v>76</v>
      </c>
      <c r="G21" s="1075" t="s">
        <v>5746</v>
      </c>
      <c r="H21" s="1072">
        <f t="shared" si="0"/>
        <v>952.52640000000008</v>
      </c>
      <c r="I21" s="1075" t="s">
        <v>77</v>
      </c>
      <c r="J21" s="1075" t="s">
        <v>78</v>
      </c>
      <c r="K21" s="1075" t="s">
        <v>79</v>
      </c>
      <c r="L21" s="1075" t="s">
        <v>1365</v>
      </c>
      <c r="M21" s="1075" t="s">
        <v>1366</v>
      </c>
      <c r="N21" s="1075" t="s">
        <v>1367</v>
      </c>
      <c r="O21" s="1075" t="s">
        <v>6316</v>
      </c>
      <c r="P21" s="1075" t="s">
        <v>1368</v>
      </c>
      <c r="Q21" s="1075" t="s">
        <v>2270</v>
      </c>
      <c r="R21" s="1076" t="s">
        <v>5749</v>
      </c>
      <c r="S21" s="1047" t="s">
        <v>4942</v>
      </c>
      <c r="T21" s="1076"/>
      <c r="U21" s="1076"/>
      <c r="V21" s="1076"/>
    </row>
    <row r="22" spans="1:22" s="1074" customFormat="1" ht="11.25">
      <c r="A22" s="1071" t="s">
        <v>3387</v>
      </c>
      <c r="B22" s="1075" t="s">
        <v>2090</v>
      </c>
      <c r="C22" s="1075" t="s">
        <v>3969</v>
      </c>
      <c r="D22" s="1071" t="s">
        <v>1157</v>
      </c>
      <c r="E22" s="1075" t="s">
        <v>3231</v>
      </c>
      <c r="F22" s="1075" t="s">
        <v>210</v>
      </c>
      <c r="G22" s="1075" t="s">
        <v>5747</v>
      </c>
      <c r="H22" s="1072">
        <f t="shared" si="0"/>
        <v>703.05520000000001</v>
      </c>
      <c r="I22" s="1075" t="s">
        <v>5793</v>
      </c>
      <c r="J22" s="1075" t="s">
        <v>2030</v>
      </c>
      <c r="K22" s="1075" t="s">
        <v>6257</v>
      </c>
      <c r="L22" s="1075" t="s">
        <v>6258</v>
      </c>
      <c r="M22" s="1075" t="s">
        <v>6259</v>
      </c>
      <c r="N22" s="1075" t="s">
        <v>5748</v>
      </c>
      <c r="O22" s="1075" t="s">
        <v>6316</v>
      </c>
      <c r="P22" s="1075" t="s">
        <v>5616</v>
      </c>
      <c r="Q22" s="1075" t="s">
        <v>3371</v>
      </c>
      <c r="R22" s="1077" t="s">
        <v>3396</v>
      </c>
      <c r="S22" s="1047" t="s">
        <v>4942</v>
      </c>
      <c r="T22" s="1077"/>
      <c r="U22" s="1077"/>
      <c r="V22" s="1077"/>
    </row>
    <row r="23" spans="1:22" s="1074" customFormat="1" ht="11.25">
      <c r="A23" s="1071" t="s">
        <v>3388</v>
      </c>
      <c r="B23" s="1075" t="s">
        <v>1144</v>
      </c>
      <c r="C23" s="1075" t="s">
        <v>2450</v>
      </c>
      <c r="D23" s="1071" t="s">
        <v>5335</v>
      </c>
      <c r="E23" s="1075" t="s">
        <v>1145</v>
      </c>
      <c r="F23" s="1075" t="s">
        <v>4501</v>
      </c>
      <c r="G23" s="1075" t="s">
        <v>4502</v>
      </c>
      <c r="H23" s="1072">
        <f t="shared" si="0"/>
        <v>416.44680999999997</v>
      </c>
      <c r="I23" s="1075" t="s">
        <v>4503</v>
      </c>
      <c r="J23" s="1075" t="s">
        <v>5744</v>
      </c>
      <c r="K23" s="1075" t="s">
        <v>5744</v>
      </c>
      <c r="L23" s="1075" t="s">
        <v>6056</v>
      </c>
      <c r="M23" s="1075" t="s">
        <v>2554</v>
      </c>
      <c r="N23" s="1075" t="s">
        <v>2555</v>
      </c>
      <c r="O23" s="1075" t="s">
        <v>864</v>
      </c>
      <c r="P23" s="1075" t="s">
        <v>5616</v>
      </c>
      <c r="Q23" s="1075" t="s">
        <v>5226</v>
      </c>
      <c r="R23" s="1077" t="s">
        <v>2675</v>
      </c>
      <c r="S23" s="1047" t="s">
        <v>4942</v>
      </c>
      <c r="T23" s="1077"/>
      <c r="U23" s="1077"/>
      <c r="V23" s="1077"/>
    </row>
    <row r="24" spans="1:22" s="299" customFormat="1" ht="11.25"/>
    <row r="25" spans="1:22" s="299" customFormat="1" ht="11.25"/>
    <row r="26" spans="1:22" customFormat="1">
      <c r="C26" s="299"/>
    </row>
    <row r="27" spans="1:22" customFormat="1"/>
    <row r="28" spans="1:22" customFormat="1"/>
    <row r="29" spans="1:22" customFormat="1"/>
    <row r="30" spans="1:22" customFormat="1"/>
    <row r="31" spans="1:22" customFormat="1"/>
    <row r="32" spans="1:2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s="221" customFormat="1" ht="11.25"/>
    <row r="55" s="221" customFormat="1" ht="11.25"/>
    <row r="56" s="221" customFormat="1" ht="11.25"/>
    <row r="57" s="221" customFormat="1" ht="11.25"/>
    <row r="58" s="221" customFormat="1" ht="11.25"/>
    <row r="59" s="221" customFormat="1" ht="11.25"/>
    <row r="60" s="221" customFormat="1" ht="11.25"/>
    <row r="61" s="221" customFormat="1" ht="11.25"/>
    <row r="62" s="221" customFormat="1" ht="11.25"/>
    <row r="63" s="221" customFormat="1" ht="11.25"/>
    <row r="64" s="221" customFormat="1" ht="11.25"/>
    <row r="65" s="221" customFormat="1" ht="11.25"/>
    <row r="66" s="221" customFormat="1" ht="11.25"/>
    <row r="67" s="221" customFormat="1" ht="11.25"/>
    <row r="68" s="221" customFormat="1" ht="11.25"/>
    <row r="69" s="221" customFormat="1" ht="11.25"/>
    <row r="70" s="221" customFormat="1" ht="11.25"/>
    <row r="71" s="221" customFormat="1" ht="11.25"/>
    <row r="72" s="221" customFormat="1" ht="11.25"/>
    <row r="73" s="221" customFormat="1" ht="11.25"/>
    <row r="74" s="221" customFormat="1" ht="11.25"/>
    <row r="75" s="221" customFormat="1" ht="11.25"/>
    <row r="76" s="221" customFormat="1" ht="11.25"/>
    <row r="77" s="221" customFormat="1" ht="11.25"/>
    <row r="78" s="221" customFormat="1" ht="11.25"/>
    <row r="79" s="221" customFormat="1" ht="11.25"/>
    <row r="80" s="221" customFormat="1" ht="11.25"/>
    <row r="81" s="221" customFormat="1" ht="11.25"/>
    <row r="82" s="221" customFormat="1" ht="11.25"/>
    <row r="83" s="221" customFormat="1" ht="11.25"/>
    <row r="84" s="221" customFormat="1" ht="11.25"/>
    <row r="85" s="221" customFormat="1" ht="11.25"/>
    <row r="86" s="221" customFormat="1" ht="11.25"/>
  </sheetData>
  <sheetProtection algorithmName="SHA-512" hashValue="s7e7kk/9zjnOuEAwtY1XpC1D1U2Y0xilawCm08989jxlgxbfjE4p6/CIl1MN7rh/BRmU5GlCdFLYqSI240bqLg==" saltValue="I7OeWEZLZeR1zGmo/j395Q==" spinCount="100000" sheet="1" objects="1" scenarios="1"/>
  <mergeCells count="4">
    <mergeCell ref="A4:A5"/>
    <mergeCell ref="J4:K4"/>
    <mergeCell ref="M4:N4"/>
    <mergeCell ref="D5:E5"/>
  </mergeCells>
  <phoneticPr fontId="0" type="noConversion"/>
  <pageMargins left="0.23" right="0.21" top="0.3" bottom="0.17" header="0.5" footer="0.5"/>
  <pageSetup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8914" r:id="rId4" name="Button 2">
              <controlPr defaultSize="0" print="0" autoFill="0" autoPict="0" macro="[0]!toquoteentry">
                <anchor moveWithCells="1">
                  <from>
                    <xdr:col>0</xdr:col>
                    <xdr:colOff>0</xdr:colOff>
                    <xdr:row>0</xdr:row>
                    <xdr:rowOff>9525</xdr:rowOff>
                  </from>
                  <to>
                    <xdr:col>1</xdr:col>
                    <xdr:colOff>0</xdr:colOff>
                    <xdr:row>1</xdr:row>
                    <xdr:rowOff>28575</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dimension ref="A1:C109"/>
  <sheetViews>
    <sheetView showGridLines="0" topLeftCell="A102" workbookViewId="0">
      <selection activeCell="C109" sqref="C109"/>
    </sheetView>
  </sheetViews>
  <sheetFormatPr defaultColWidth="12.7109375" defaultRowHeight="12.75"/>
  <cols>
    <col min="1" max="1" width="12.7109375" style="249" customWidth="1"/>
    <col min="2" max="2" width="12.7109375" style="238" customWidth="1"/>
    <col min="3" max="3" width="59.42578125" style="244" customWidth="1"/>
    <col min="4" max="16384" width="12.7109375" style="161"/>
  </cols>
  <sheetData>
    <row r="1" spans="1:3">
      <c r="A1" s="237" t="s">
        <v>2</v>
      </c>
      <c r="B1" s="237" t="s">
        <v>3</v>
      </c>
      <c r="C1" s="240" t="s">
        <v>5305</v>
      </c>
    </row>
    <row r="2" spans="1:3" ht="25.5">
      <c r="A2" s="250">
        <v>37261</v>
      </c>
      <c r="B2" s="245">
        <v>1</v>
      </c>
      <c r="C2" s="241" t="s">
        <v>816</v>
      </c>
    </row>
    <row r="3" spans="1:3" ht="25.5">
      <c r="A3" s="250">
        <v>37263</v>
      </c>
      <c r="B3" s="245">
        <v>2</v>
      </c>
      <c r="C3" s="241" t="s">
        <v>599</v>
      </c>
    </row>
    <row r="4" spans="1:3" ht="25.5">
      <c r="A4" s="250">
        <v>37264</v>
      </c>
      <c r="B4" s="245">
        <v>3</v>
      </c>
      <c r="C4" s="242" t="s">
        <v>4739</v>
      </c>
    </row>
    <row r="5" spans="1:3" ht="25.5">
      <c r="A5" s="250">
        <v>37271</v>
      </c>
      <c r="B5" s="245">
        <v>4</v>
      </c>
      <c r="C5" s="242" t="s">
        <v>2911</v>
      </c>
    </row>
    <row r="6" spans="1:3" ht="102">
      <c r="A6" s="250">
        <v>37273</v>
      </c>
      <c r="B6" s="245">
        <v>5</v>
      </c>
      <c r="C6" s="242" t="s">
        <v>6252</v>
      </c>
    </row>
    <row r="7" spans="1:3" ht="38.25">
      <c r="A7" s="250">
        <v>37274</v>
      </c>
      <c r="B7" s="245">
        <v>6</v>
      </c>
      <c r="C7" s="242" t="s">
        <v>211</v>
      </c>
    </row>
    <row r="8" spans="1:3" ht="76.5">
      <c r="A8" s="250">
        <v>37277</v>
      </c>
      <c r="B8" s="245">
        <v>7</v>
      </c>
      <c r="C8" s="242" t="s">
        <v>1425</v>
      </c>
    </row>
    <row r="9" spans="1:3">
      <c r="A9" s="250">
        <v>37281</v>
      </c>
      <c r="B9" s="245">
        <v>8</v>
      </c>
      <c r="C9" s="242" t="s">
        <v>927</v>
      </c>
    </row>
    <row r="10" spans="1:3" ht="25.5">
      <c r="A10" s="250">
        <v>37285</v>
      </c>
      <c r="B10" s="245">
        <v>9</v>
      </c>
      <c r="C10" s="242" t="s">
        <v>3199</v>
      </c>
    </row>
    <row r="11" spans="1:3" ht="25.5">
      <c r="A11" s="250">
        <v>37299</v>
      </c>
      <c r="B11" s="245">
        <v>10</v>
      </c>
      <c r="C11" s="242" t="s">
        <v>6333</v>
      </c>
    </row>
    <row r="12" spans="1:3" ht="63.75">
      <c r="A12" s="250">
        <v>37301</v>
      </c>
      <c r="B12" s="245">
        <v>11</v>
      </c>
      <c r="C12" s="242" t="s">
        <v>21</v>
      </c>
    </row>
    <row r="13" spans="1:3" ht="25.5">
      <c r="A13" s="250">
        <v>37303</v>
      </c>
      <c r="B13" s="245">
        <v>12</v>
      </c>
      <c r="C13" s="242" t="s">
        <v>1317</v>
      </c>
    </row>
    <row r="14" spans="1:3" ht="38.25">
      <c r="A14" s="250">
        <v>37305</v>
      </c>
      <c r="B14" s="245">
        <v>13</v>
      </c>
      <c r="C14" s="242" t="s">
        <v>5578</v>
      </c>
    </row>
    <row r="15" spans="1:3" ht="76.5">
      <c r="A15" s="250">
        <v>37312</v>
      </c>
      <c r="B15" s="245">
        <v>14</v>
      </c>
      <c r="C15" s="242" t="s">
        <v>4565</v>
      </c>
    </row>
    <row r="16" spans="1:3">
      <c r="A16" s="250">
        <v>37313</v>
      </c>
      <c r="B16" s="245">
        <v>15</v>
      </c>
      <c r="C16" s="242" t="s">
        <v>667</v>
      </c>
    </row>
    <row r="17" spans="1:3" ht="38.25">
      <c r="A17" s="250">
        <v>37320</v>
      </c>
      <c r="B17" s="245">
        <v>16</v>
      </c>
      <c r="C17" s="242" t="s">
        <v>3253</v>
      </c>
    </row>
    <row r="18" spans="1:3" ht="25.5">
      <c r="A18" s="250">
        <v>37321</v>
      </c>
      <c r="B18" s="245">
        <v>17</v>
      </c>
      <c r="C18" s="242" t="s">
        <v>6007</v>
      </c>
    </row>
    <row r="19" spans="1:3" ht="63.75">
      <c r="A19" s="250">
        <v>37324</v>
      </c>
      <c r="B19" s="245">
        <v>18</v>
      </c>
      <c r="C19" s="242" t="s">
        <v>3004</v>
      </c>
    </row>
    <row r="20" spans="1:3" ht="25.5">
      <c r="A20" s="250">
        <v>37329</v>
      </c>
      <c r="B20" s="245">
        <v>19</v>
      </c>
      <c r="C20" s="242" t="s">
        <v>1168</v>
      </c>
    </row>
    <row r="21" spans="1:3" ht="25.5">
      <c r="A21" s="251">
        <v>37336</v>
      </c>
      <c r="B21" s="247">
        <v>20</v>
      </c>
      <c r="C21" s="248" t="s">
        <v>4410</v>
      </c>
    </row>
    <row r="22" spans="1:3" ht="51">
      <c r="A22" s="250">
        <v>37356</v>
      </c>
      <c r="B22" s="245">
        <v>21</v>
      </c>
      <c r="C22" s="242" t="s">
        <v>865</v>
      </c>
    </row>
    <row r="23" spans="1:3" ht="38.25">
      <c r="A23" s="250">
        <v>37357</v>
      </c>
      <c r="B23" s="245">
        <v>22</v>
      </c>
      <c r="C23" s="242" t="s">
        <v>4260</v>
      </c>
    </row>
    <row r="24" spans="1:3" ht="38.25">
      <c r="A24" s="250">
        <v>37358</v>
      </c>
      <c r="B24" s="245">
        <v>23</v>
      </c>
      <c r="C24" s="242" t="s">
        <v>4281</v>
      </c>
    </row>
    <row r="25" spans="1:3" ht="51">
      <c r="A25" s="250">
        <v>37361</v>
      </c>
      <c r="B25" s="245">
        <v>24</v>
      </c>
      <c r="C25" s="242" t="s">
        <v>4132</v>
      </c>
    </row>
    <row r="26" spans="1:3" ht="51">
      <c r="A26" s="250">
        <v>37362</v>
      </c>
      <c r="B26" s="245">
        <v>25</v>
      </c>
      <c r="C26" s="242" t="s">
        <v>5736</v>
      </c>
    </row>
    <row r="27" spans="1:3" ht="102">
      <c r="A27" s="250">
        <v>37364</v>
      </c>
      <c r="B27" s="245">
        <v>26</v>
      </c>
      <c r="C27" s="242" t="s">
        <v>6253</v>
      </c>
    </row>
    <row r="28" spans="1:3">
      <c r="A28" s="250">
        <v>37365</v>
      </c>
      <c r="B28" s="245">
        <v>27</v>
      </c>
      <c r="C28" s="242" t="s">
        <v>6209</v>
      </c>
    </row>
    <row r="29" spans="1:3" ht="76.5">
      <c r="A29" s="250">
        <v>37369</v>
      </c>
      <c r="B29" s="245">
        <v>28</v>
      </c>
      <c r="C29" s="242" t="s">
        <v>3300</v>
      </c>
    </row>
    <row r="30" spans="1:3">
      <c r="A30" s="250">
        <v>37373</v>
      </c>
      <c r="B30" s="245">
        <v>29</v>
      </c>
      <c r="C30" s="242" t="s">
        <v>4909</v>
      </c>
    </row>
    <row r="31" spans="1:3" ht="38.25">
      <c r="A31" s="250">
        <v>37380</v>
      </c>
      <c r="B31" s="245">
        <v>30</v>
      </c>
      <c r="C31" s="242" t="s">
        <v>5252</v>
      </c>
    </row>
    <row r="32" spans="1:3">
      <c r="A32" s="250">
        <v>37383</v>
      </c>
      <c r="B32" s="245">
        <v>31</v>
      </c>
      <c r="C32" s="242" t="s">
        <v>5125</v>
      </c>
    </row>
    <row r="33" spans="1:3" ht="38.25">
      <c r="A33" s="250">
        <v>37384</v>
      </c>
      <c r="B33" s="245">
        <v>32</v>
      </c>
      <c r="C33" s="242" t="s">
        <v>137</v>
      </c>
    </row>
    <row r="34" spans="1:3" ht="38.25">
      <c r="A34" s="250">
        <v>37386</v>
      </c>
      <c r="B34" s="245">
        <v>33</v>
      </c>
      <c r="C34" s="242" t="s">
        <v>5362</v>
      </c>
    </row>
    <row r="35" spans="1:3" ht="25.5">
      <c r="A35" s="250">
        <v>37396</v>
      </c>
      <c r="B35" s="245">
        <v>34</v>
      </c>
      <c r="C35" s="242" t="s">
        <v>1117</v>
      </c>
    </row>
    <row r="36" spans="1:3">
      <c r="A36" s="250">
        <v>37397</v>
      </c>
      <c r="B36" s="245">
        <v>35</v>
      </c>
      <c r="C36" s="242" t="s">
        <v>6298</v>
      </c>
    </row>
    <row r="37" spans="1:3">
      <c r="A37" s="250">
        <v>37399</v>
      </c>
      <c r="B37" s="245">
        <v>36</v>
      </c>
      <c r="C37" s="242" t="s">
        <v>2620</v>
      </c>
    </row>
    <row r="38" spans="1:3" ht="38.25">
      <c r="A38" s="250">
        <v>37405</v>
      </c>
      <c r="B38" s="245">
        <v>37</v>
      </c>
      <c r="C38" s="242" t="s">
        <v>3987</v>
      </c>
    </row>
    <row r="39" spans="1:3" ht="76.5">
      <c r="A39" s="250">
        <v>37406</v>
      </c>
      <c r="B39" s="245">
        <v>38</v>
      </c>
      <c r="C39" s="242" t="s">
        <v>4589</v>
      </c>
    </row>
    <row r="40" spans="1:3" ht="89.25">
      <c r="A40" s="250">
        <v>37416</v>
      </c>
      <c r="B40" s="245">
        <v>39</v>
      </c>
      <c r="C40" s="242" t="s">
        <v>31</v>
      </c>
    </row>
    <row r="41" spans="1:3" ht="38.25">
      <c r="A41" s="250">
        <v>37419</v>
      </c>
      <c r="B41" s="245">
        <v>40</v>
      </c>
      <c r="C41" s="242" t="s">
        <v>1950</v>
      </c>
    </row>
    <row r="42" spans="1:3" ht="38.25">
      <c r="A42" s="250">
        <v>37424</v>
      </c>
      <c r="B42" s="245">
        <v>41</v>
      </c>
      <c r="C42" s="242" t="s">
        <v>4777</v>
      </c>
    </row>
    <row r="43" spans="1:3" ht="38.25">
      <c r="A43" s="250">
        <v>37430</v>
      </c>
      <c r="B43" s="245">
        <v>42</v>
      </c>
      <c r="C43" s="242" t="s">
        <v>1800</v>
      </c>
    </row>
    <row r="44" spans="1:3" ht="25.5">
      <c r="A44" s="250">
        <v>37432</v>
      </c>
      <c r="B44" s="245">
        <v>43</v>
      </c>
      <c r="C44" s="242" t="s">
        <v>6024</v>
      </c>
    </row>
    <row r="45" spans="1:3" ht="51">
      <c r="A45" s="250">
        <v>37434</v>
      </c>
      <c r="B45" s="245">
        <v>44</v>
      </c>
      <c r="C45" s="242" t="s">
        <v>3449</v>
      </c>
    </row>
    <row r="46" spans="1:3" ht="89.25">
      <c r="A46" s="250">
        <v>37441</v>
      </c>
      <c r="B46" s="245">
        <v>45</v>
      </c>
      <c r="C46" s="242" t="s">
        <v>6372</v>
      </c>
    </row>
    <row r="47" spans="1:3" ht="102">
      <c r="A47" s="250">
        <v>37447</v>
      </c>
      <c r="B47" s="245">
        <v>46</v>
      </c>
      <c r="C47" s="242" t="s">
        <v>1734</v>
      </c>
    </row>
    <row r="48" spans="1:3" ht="25.5">
      <c r="A48" s="250">
        <v>37460</v>
      </c>
      <c r="B48" s="245">
        <v>47</v>
      </c>
      <c r="C48" s="242" t="s">
        <v>4590</v>
      </c>
    </row>
    <row r="49" spans="1:3" ht="25.5">
      <c r="A49" s="250">
        <v>37467</v>
      </c>
      <c r="B49" s="245">
        <v>48</v>
      </c>
      <c r="C49" s="242" t="s">
        <v>2960</v>
      </c>
    </row>
    <row r="50" spans="1:3" ht="25.5">
      <c r="A50" s="250">
        <v>37468</v>
      </c>
      <c r="B50" s="245">
        <v>49</v>
      </c>
      <c r="C50" s="242" t="s">
        <v>4625</v>
      </c>
    </row>
    <row r="51" spans="1:3" ht="38.25">
      <c r="A51" s="250">
        <v>37482</v>
      </c>
      <c r="B51" s="245">
        <v>50</v>
      </c>
      <c r="C51" s="242" t="s">
        <v>6195</v>
      </c>
    </row>
    <row r="52" spans="1:3" ht="38.25">
      <c r="A52" s="250">
        <v>37503</v>
      </c>
      <c r="B52" s="245">
        <v>51</v>
      </c>
      <c r="C52" s="242" t="s">
        <v>1102</v>
      </c>
    </row>
    <row r="53" spans="1:3">
      <c r="A53" s="250">
        <v>37505</v>
      </c>
      <c r="B53" s="245">
        <v>52</v>
      </c>
      <c r="C53" s="242" t="s">
        <v>4213</v>
      </c>
    </row>
    <row r="54" spans="1:3" ht="51">
      <c r="A54" s="250">
        <v>37512</v>
      </c>
      <c r="B54" s="245">
        <v>53</v>
      </c>
      <c r="C54" s="242" t="s">
        <v>1282</v>
      </c>
    </row>
    <row r="55" spans="1:3" ht="25.5">
      <c r="A55" s="250">
        <v>37514</v>
      </c>
      <c r="B55" s="245">
        <v>54</v>
      </c>
      <c r="C55" s="242" t="s">
        <v>494</v>
      </c>
    </row>
    <row r="56" spans="1:3" ht="25.5">
      <c r="A56" s="250">
        <v>37518</v>
      </c>
      <c r="B56" s="245">
        <v>55</v>
      </c>
      <c r="C56" s="242" t="s">
        <v>4591</v>
      </c>
    </row>
    <row r="57" spans="1:3" ht="51">
      <c r="A57" s="250">
        <v>37529</v>
      </c>
      <c r="B57" s="245">
        <v>56</v>
      </c>
      <c r="C57" s="242" t="s">
        <v>2703</v>
      </c>
    </row>
    <row r="58" spans="1:3" ht="25.5">
      <c r="A58" s="250">
        <v>37530</v>
      </c>
      <c r="B58" s="245">
        <v>57</v>
      </c>
      <c r="C58" s="242" t="s">
        <v>968</v>
      </c>
    </row>
    <row r="59" spans="1:3" ht="25.5">
      <c r="A59" s="250">
        <v>37531</v>
      </c>
      <c r="B59" s="245">
        <v>58</v>
      </c>
      <c r="C59" s="242" t="s">
        <v>557</v>
      </c>
    </row>
    <row r="60" spans="1:3" ht="76.5">
      <c r="A60" s="250">
        <v>37532</v>
      </c>
      <c r="B60" s="245">
        <v>59</v>
      </c>
      <c r="C60" s="242" t="s">
        <v>875</v>
      </c>
    </row>
    <row r="61" spans="1:3" ht="127.5">
      <c r="A61" s="250">
        <v>37533</v>
      </c>
      <c r="B61" s="245">
        <v>60</v>
      </c>
      <c r="C61" s="242" t="s">
        <v>1345</v>
      </c>
    </row>
    <row r="62" spans="1:3" ht="89.25">
      <c r="A62" s="250">
        <v>37534</v>
      </c>
      <c r="B62" s="245">
        <v>61</v>
      </c>
      <c r="C62" s="242" t="s">
        <v>5932</v>
      </c>
    </row>
    <row r="63" spans="1:3" ht="51">
      <c r="A63" s="250">
        <v>37536</v>
      </c>
      <c r="B63" s="245">
        <v>62</v>
      </c>
      <c r="C63" s="242" t="s">
        <v>3541</v>
      </c>
    </row>
    <row r="64" spans="1:3" ht="25.5">
      <c r="A64" s="250">
        <v>37540</v>
      </c>
      <c r="B64" s="245">
        <v>63</v>
      </c>
      <c r="C64" s="242" t="s">
        <v>793</v>
      </c>
    </row>
    <row r="65" spans="1:3" ht="38.25">
      <c r="A65" s="250">
        <v>37544</v>
      </c>
      <c r="B65" s="245">
        <v>64</v>
      </c>
      <c r="C65" s="242" t="s">
        <v>4496</v>
      </c>
    </row>
    <row r="66" spans="1:3" ht="76.5">
      <c r="A66" s="250">
        <v>37548</v>
      </c>
      <c r="B66" s="245">
        <v>65</v>
      </c>
      <c r="C66" s="242" t="s">
        <v>6158</v>
      </c>
    </row>
    <row r="67" spans="1:3" ht="25.5">
      <c r="A67" s="250">
        <v>37557</v>
      </c>
      <c r="B67" s="245">
        <v>66</v>
      </c>
      <c r="C67" s="242" t="s">
        <v>460</v>
      </c>
    </row>
    <row r="68" spans="1:3">
      <c r="A68" s="250">
        <v>37567</v>
      </c>
      <c r="B68" s="245">
        <v>67</v>
      </c>
      <c r="C68" s="242" t="s">
        <v>3124</v>
      </c>
    </row>
    <row r="69" spans="1:3" ht="25.5">
      <c r="A69" s="250">
        <v>37573</v>
      </c>
      <c r="B69" s="245">
        <v>68</v>
      </c>
      <c r="C69" s="242" t="s">
        <v>2496</v>
      </c>
    </row>
    <row r="70" spans="1:3" ht="76.5">
      <c r="A70" s="250">
        <v>37575</v>
      </c>
      <c r="B70" s="245">
        <v>69</v>
      </c>
      <c r="C70" s="242" t="s">
        <v>3035</v>
      </c>
    </row>
    <row r="71" spans="1:3" ht="38.25">
      <c r="A71" s="250">
        <v>37580</v>
      </c>
      <c r="B71" s="245">
        <v>70</v>
      </c>
      <c r="C71" s="242" t="s">
        <v>4865</v>
      </c>
    </row>
    <row r="72" spans="1:3" ht="51">
      <c r="A72" s="250">
        <v>37595</v>
      </c>
      <c r="B72" s="245">
        <v>71</v>
      </c>
      <c r="C72" s="242" t="s">
        <v>4821</v>
      </c>
    </row>
    <row r="73" spans="1:3" ht="89.25">
      <c r="A73" s="250">
        <v>37599</v>
      </c>
      <c r="B73" s="245">
        <v>72</v>
      </c>
      <c r="C73" s="242" t="s">
        <v>911</v>
      </c>
    </row>
    <row r="74" spans="1:3">
      <c r="A74" s="250">
        <v>37600</v>
      </c>
      <c r="B74" s="245">
        <v>73</v>
      </c>
      <c r="C74" s="242" t="s">
        <v>6178</v>
      </c>
    </row>
    <row r="75" spans="1:3" ht="25.5">
      <c r="A75" s="250">
        <v>37602</v>
      </c>
      <c r="B75" s="245">
        <v>74</v>
      </c>
      <c r="C75" s="242" t="s">
        <v>3353</v>
      </c>
    </row>
    <row r="76" spans="1:3" ht="38.25">
      <c r="A76" s="250">
        <v>37610</v>
      </c>
      <c r="B76" s="245">
        <v>75</v>
      </c>
      <c r="C76" s="242" t="s">
        <v>1477</v>
      </c>
    </row>
    <row r="77" spans="1:3" ht="38.25">
      <c r="A77" s="250">
        <v>37621</v>
      </c>
      <c r="B77" s="245">
        <v>76</v>
      </c>
      <c r="C77" s="242" t="s">
        <v>3950</v>
      </c>
    </row>
    <row r="78" spans="1:3" ht="25.5">
      <c r="A78" s="250">
        <v>37621</v>
      </c>
      <c r="B78" s="245">
        <v>77</v>
      </c>
      <c r="C78" s="242" t="s">
        <v>717</v>
      </c>
    </row>
    <row r="79" spans="1:3" ht="76.5">
      <c r="A79" s="250">
        <v>37627</v>
      </c>
      <c r="B79" s="245">
        <v>78</v>
      </c>
      <c r="C79" s="242" t="s">
        <v>5063</v>
      </c>
    </row>
    <row r="80" spans="1:3" ht="63.75">
      <c r="A80" s="250">
        <v>37636</v>
      </c>
      <c r="B80" s="245">
        <v>79</v>
      </c>
      <c r="C80" s="242" t="s">
        <v>5508</v>
      </c>
    </row>
    <row r="81" spans="1:3" ht="38.25">
      <c r="A81" s="250">
        <v>37637</v>
      </c>
      <c r="B81" s="245">
        <v>80</v>
      </c>
      <c r="C81" s="242" t="s">
        <v>1601</v>
      </c>
    </row>
    <row r="82" spans="1:3" ht="25.5">
      <c r="A82" s="250">
        <v>37638</v>
      </c>
      <c r="B82" s="245">
        <v>81</v>
      </c>
      <c r="C82" s="242" t="s">
        <v>1627</v>
      </c>
    </row>
    <row r="83" spans="1:3" ht="38.25">
      <c r="A83" s="250">
        <v>37639</v>
      </c>
      <c r="B83" s="245">
        <v>82</v>
      </c>
      <c r="C83" s="242" t="s">
        <v>2343</v>
      </c>
    </row>
    <row r="84" spans="1:3" ht="51">
      <c r="A84" s="250">
        <v>37643</v>
      </c>
      <c r="B84" s="245">
        <v>83</v>
      </c>
      <c r="C84" s="242" t="s">
        <v>5217</v>
      </c>
    </row>
    <row r="85" spans="1:3" ht="51">
      <c r="A85" s="250">
        <v>37644</v>
      </c>
      <c r="B85" s="245">
        <v>84</v>
      </c>
      <c r="C85" s="242" t="s">
        <v>4328</v>
      </c>
    </row>
    <row r="86" spans="1:3" ht="51">
      <c r="A86" s="250">
        <v>37648</v>
      </c>
      <c r="B86" s="245">
        <v>85</v>
      </c>
      <c r="C86" s="242" t="s">
        <v>2698</v>
      </c>
    </row>
    <row r="87" spans="1:3" ht="25.5">
      <c r="A87" s="250">
        <v>37649</v>
      </c>
      <c r="B87" s="245">
        <v>86</v>
      </c>
      <c r="C87" s="242" t="s">
        <v>4925</v>
      </c>
    </row>
    <row r="88" spans="1:3">
      <c r="A88" s="250">
        <v>37657</v>
      </c>
      <c r="B88" s="245">
        <v>87</v>
      </c>
      <c r="C88" s="242" t="s">
        <v>4433</v>
      </c>
    </row>
    <row r="89" spans="1:3" ht="25.5">
      <c r="A89" s="250">
        <v>37663</v>
      </c>
      <c r="B89" s="245">
        <v>88</v>
      </c>
      <c r="C89" s="242" t="s">
        <v>5169</v>
      </c>
    </row>
    <row r="90" spans="1:3" ht="25.5">
      <c r="A90" s="250">
        <v>37672</v>
      </c>
      <c r="B90" s="245">
        <v>89</v>
      </c>
      <c r="C90" s="242" t="s">
        <v>5031</v>
      </c>
    </row>
    <row r="91" spans="1:3" ht="25.5">
      <c r="A91" s="250">
        <v>37677</v>
      </c>
      <c r="B91" s="245">
        <v>90</v>
      </c>
      <c r="C91" s="242" t="s">
        <v>15</v>
      </c>
    </row>
    <row r="92" spans="1:3" ht="25.5">
      <c r="A92" s="250">
        <v>37705</v>
      </c>
      <c r="B92" s="245">
        <v>91</v>
      </c>
      <c r="C92" s="242" t="s">
        <v>4339</v>
      </c>
    </row>
    <row r="93" spans="1:3" ht="38.25">
      <c r="A93" s="250">
        <v>37712</v>
      </c>
      <c r="B93" s="245">
        <v>92</v>
      </c>
      <c r="C93" s="242" t="s">
        <v>3369</v>
      </c>
    </row>
    <row r="94" spans="1:3" ht="38.25">
      <c r="A94" s="250">
        <v>37719</v>
      </c>
      <c r="B94" s="245">
        <v>93</v>
      </c>
      <c r="C94" s="242" t="s">
        <v>1170</v>
      </c>
    </row>
    <row r="95" spans="1:3" ht="51">
      <c r="A95" s="250">
        <v>37720</v>
      </c>
      <c r="B95" s="245">
        <v>94</v>
      </c>
      <c r="C95" s="242" t="s">
        <v>2078</v>
      </c>
    </row>
    <row r="96" spans="1:3" ht="51">
      <c r="A96" s="250">
        <v>37731</v>
      </c>
      <c r="B96" s="245">
        <v>95</v>
      </c>
      <c r="C96" s="242" t="s">
        <v>2567</v>
      </c>
    </row>
    <row r="97" spans="1:3" ht="25.5">
      <c r="A97" s="250">
        <v>37736</v>
      </c>
      <c r="B97" s="245">
        <v>96</v>
      </c>
      <c r="C97" s="242" t="s">
        <v>657</v>
      </c>
    </row>
    <row r="98" spans="1:3" ht="38.25">
      <c r="A98" s="250">
        <v>37739</v>
      </c>
      <c r="B98" s="245">
        <v>97</v>
      </c>
      <c r="C98" s="242" t="s">
        <v>5912</v>
      </c>
    </row>
    <row r="99" spans="1:3" ht="127.5">
      <c r="A99" s="250">
        <v>37751</v>
      </c>
      <c r="B99" s="245">
        <v>98</v>
      </c>
      <c r="C99" s="242" t="s">
        <v>1539</v>
      </c>
    </row>
    <row r="100" spans="1:3" ht="102">
      <c r="A100" s="250">
        <v>37753</v>
      </c>
      <c r="B100" s="245">
        <v>99</v>
      </c>
      <c r="C100" s="242" t="s">
        <v>3453</v>
      </c>
    </row>
    <row r="101" spans="1:3" ht="38.25">
      <c r="A101" s="250">
        <v>37755</v>
      </c>
      <c r="B101" s="245">
        <v>100</v>
      </c>
      <c r="C101" s="242" t="s">
        <v>1341</v>
      </c>
    </row>
    <row r="102" spans="1:3" ht="25.5">
      <c r="A102" s="250">
        <v>37756</v>
      </c>
      <c r="B102" s="245">
        <v>101</v>
      </c>
      <c r="C102" s="242" t="s">
        <v>1333</v>
      </c>
    </row>
    <row r="103" spans="1:3" ht="51">
      <c r="A103" s="250">
        <v>37757</v>
      </c>
      <c r="B103" s="245">
        <v>102</v>
      </c>
      <c r="C103" s="242" t="s">
        <v>2740</v>
      </c>
    </row>
    <row r="104" spans="1:3" ht="25.5">
      <c r="A104" s="250">
        <v>37761</v>
      </c>
      <c r="B104" s="245">
        <v>103</v>
      </c>
      <c r="C104" s="242" t="s">
        <v>239</v>
      </c>
    </row>
    <row r="105" spans="1:3" ht="38.25">
      <c r="A105" s="250">
        <v>37764</v>
      </c>
      <c r="B105" s="245">
        <v>104</v>
      </c>
      <c r="C105" s="242" t="s">
        <v>102</v>
      </c>
    </row>
    <row r="106" spans="1:3">
      <c r="A106" s="250">
        <v>37788</v>
      </c>
      <c r="B106" s="245">
        <v>105</v>
      </c>
      <c r="C106" s="242" t="s">
        <v>5886</v>
      </c>
    </row>
    <row r="107" spans="1:3">
      <c r="A107" s="250">
        <v>37820</v>
      </c>
      <c r="B107" s="245">
        <v>106</v>
      </c>
      <c r="C107" s="242" t="s">
        <v>2406</v>
      </c>
    </row>
    <row r="108" spans="1:3" ht="25.5">
      <c r="A108" s="250">
        <v>37929</v>
      </c>
      <c r="B108" s="245">
        <v>107</v>
      </c>
      <c r="C108" s="242" t="s">
        <v>1251</v>
      </c>
    </row>
    <row r="109" spans="1:3">
      <c r="A109" s="252" t="s">
        <v>515</v>
      </c>
      <c r="B109" s="246"/>
      <c r="C109" s="243"/>
    </row>
  </sheetData>
  <sheetProtection algorithmName="SHA-512" hashValue="wzUsVGbv7PWNwbSk7U6/RqtjTxlHeRCHQQXrvuHHwOVifFjkcj6GopMPzKfz3MhAOWKBhZFR7KFit5LDUYDlwg==" saltValue="yrywP0u0qwoAQGm+A+GqHA==" spinCount="100000" sheet="1" objects="1" scenarios="1"/>
  <phoneticPr fontId="22" type="noConversion"/>
  <pageMargins left="0.75" right="0.75" top="1" bottom="1" header="0.5" footer="0.5"/>
  <pageSetup orientation="portrait"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7889" r:id="rId4" name="Button 1">
              <controlPr defaultSize="0" print="0" autoFill="0" autoPict="0" macro="[0]!toquoteentry">
                <anchor moveWithCells="1" sizeWithCells="1">
                  <from>
                    <xdr:col>0</xdr:col>
                    <xdr:colOff>0</xdr:colOff>
                    <xdr:row>113</xdr:row>
                    <xdr:rowOff>47625</xdr:rowOff>
                  </from>
                  <to>
                    <xdr:col>0</xdr:col>
                    <xdr:colOff>457200</xdr:colOff>
                    <xdr:row>114</xdr:row>
                    <xdr:rowOff>114300</xdr:rowOff>
                  </to>
                </anchor>
              </controlPr>
            </control>
          </mc:Choice>
        </mc:AlternateContent>
        <mc:AlternateContent xmlns:mc="http://schemas.openxmlformats.org/markup-compatibility/2006">
          <mc:Choice Requires="x14">
            <control shapeId="37890" r:id="rId5" name="Button 2">
              <controlPr defaultSize="0" print="0" autoFill="0" autoPict="0" macro="[0]!AddChangePressRate">
                <anchor moveWithCells="1" sizeWithCells="1">
                  <from>
                    <xdr:col>0</xdr:col>
                    <xdr:colOff>0</xdr:colOff>
                    <xdr:row>111</xdr:row>
                    <xdr:rowOff>152400</xdr:rowOff>
                  </from>
                  <to>
                    <xdr:col>0</xdr:col>
                    <xdr:colOff>457200</xdr:colOff>
                    <xdr:row>113</xdr:row>
                    <xdr:rowOff>57150</xdr:rowOff>
                  </to>
                </anchor>
              </controlPr>
            </control>
          </mc:Choice>
        </mc:AlternateContent>
        <mc:AlternateContent xmlns:mc="http://schemas.openxmlformats.org/markup-compatibility/2006">
          <mc:Choice Requires="x14">
            <control shapeId="37891" r:id="rId6" name="Button 3">
              <controlPr defaultSize="0" print="0" autoFill="0" autoPict="0" macro="[0]!AddRevision">
                <anchor moveWithCells="1" sizeWithCells="1">
                  <from>
                    <xdr:col>0</xdr:col>
                    <xdr:colOff>0</xdr:colOff>
                    <xdr:row>110</xdr:row>
                    <xdr:rowOff>85725</xdr:rowOff>
                  </from>
                  <to>
                    <xdr:col>0</xdr:col>
                    <xdr:colOff>457200</xdr:colOff>
                    <xdr:row>111</xdr:row>
                    <xdr:rowOff>152400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J1747"/>
  <sheetViews>
    <sheetView showGridLines="0" showZeros="0" workbookViewId="0">
      <selection activeCell="K19" sqref="K19"/>
    </sheetView>
  </sheetViews>
  <sheetFormatPr defaultColWidth="8.85546875" defaultRowHeight="12.75"/>
  <cols>
    <col min="1" max="1" width="12.7109375" style="1116" customWidth="1"/>
    <col min="2" max="2" width="29.28515625" style="1110" customWidth="1"/>
    <col min="3" max="3" width="21.28515625" style="304" customWidth="1"/>
    <col min="4" max="4" width="27.7109375" style="1110" customWidth="1"/>
    <col min="5" max="5" width="31" style="1110" bestFit="1" customWidth="1"/>
    <col min="6" max="6" width="58.85546875" style="1110" bestFit="1" customWidth="1"/>
    <col min="7" max="7" width="10.140625" style="1111" customWidth="1"/>
    <col min="8" max="8" width="38.42578125" style="1110" bestFit="1" customWidth="1"/>
    <col min="9" max="9" width="20.140625" style="304" customWidth="1"/>
    <col min="10" max="10" width="15.7109375" style="304" customWidth="1"/>
    <col min="11" max="16384" width="8.85546875" style="1110"/>
  </cols>
  <sheetData>
    <row r="1" spans="1:10" s="12" customFormat="1" ht="61.5" customHeight="1">
      <c r="A1" s="194" t="s">
        <v>1001</v>
      </c>
      <c r="B1" s="194" t="s">
        <v>1002</v>
      </c>
      <c r="C1" s="194" t="s">
        <v>1003</v>
      </c>
      <c r="D1" s="194" t="s">
        <v>1004</v>
      </c>
      <c r="E1" s="194" t="s">
        <v>1005</v>
      </c>
      <c r="F1" s="194" t="s">
        <v>1006</v>
      </c>
      <c r="G1" s="227" t="s">
        <v>1007</v>
      </c>
      <c r="H1" s="194" t="s">
        <v>1008</v>
      </c>
      <c r="I1" s="194" t="s">
        <v>2018</v>
      </c>
      <c r="J1" s="194" t="s">
        <v>2019</v>
      </c>
    </row>
    <row r="2" spans="1:10">
      <c r="A2" s="347">
        <v>21</v>
      </c>
      <c r="B2" s="304" t="s">
        <v>417</v>
      </c>
      <c r="D2" s="304" t="s">
        <v>418</v>
      </c>
      <c r="E2" s="304"/>
      <c r="F2" s="304" t="s">
        <v>1511</v>
      </c>
      <c r="G2" s="1111">
        <v>550775</v>
      </c>
      <c r="H2" s="1110" t="s">
        <v>3791</v>
      </c>
    </row>
    <row r="3" spans="1:10">
      <c r="A3" s="347">
        <v>22</v>
      </c>
      <c r="B3" s="304" t="s">
        <v>403</v>
      </c>
      <c r="C3" s="304" t="s">
        <v>3576</v>
      </c>
      <c r="D3" s="304" t="s">
        <v>1898</v>
      </c>
      <c r="E3" s="304"/>
      <c r="F3" s="304" t="s">
        <v>3021</v>
      </c>
      <c r="G3" s="1111">
        <v>204196</v>
      </c>
      <c r="H3" s="1110" t="s">
        <v>3022</v>
      </c>
    </row>
    <row r="4" spans="1:10">
      <c r="A4" s="347">
        <v>23</v>
      </c>
      <c r="B4" s="304" t="s">
        <v>4598</v>
      </c>
      <c r="C4" s="304" t="s">
        <v>4599</v>
      </c>
      <c r="D4" s="304"/>
      <c r="E4" s="304" t="s">
        <v>5184</v>
      </c>
      <c r="F4" s="304" t="s">
        <v>2811</v>
      </c>
      <c r="G4" s="1111">
        <v>213057</v>
      </c>
      <c r="H4" s="1110" t="s">
        <v>2812</v>
      </c>
    </row>
    <row r="5" spans="1:10">
      <c r="A5" s="347">
        <v>24</v>
      </c>
      <c r="B5" s="304" t="s">
        <v>3830</v>
      </c>
      <c r="C5" s="304" t="s">
        <v>2813</v>
      </c>
      <c r="D5" s="304" t="s">
        <v>2814</v>
      </c>
      <c r="E5" s="304"/>
      <c r="F5" s="304" t="s">
        <v>2815</v>
      </c>
      <c r="G5" s="1111">
        <v>11581</v>
      </c>
      <c r="H5" s="1110" t="s">
        <v>2816</v>
      </c>
      <c r="I5" s="304" t="s">
        <v>2817</v>
      </c>
      <c r="J5" s="304" t="s">
        <v>3178</v>
      </c>
    </row>
    <row r="6" spans="1:10" ht="25.5">
      <c r="A6" s="347">
        <v>25</v>
      </c>
      <c r="B6" s="304" t="s">
        <v>1087</v>
      </c>
      <c r="C6" s="304" t="s">
        <v>2174</v>
      </c>
      <c r="D6" s="304" t="s">
        <v>1088</v>
      </c>
      <c r="E6" s="304" t="s">
        <v>976</v>
      </c>
      <c r="F6" s="304" t="s">
        <v>977</v>
      </c>
      <c r="G6" s="1111">
        <v>11602</v>
      </c>
      <c r="H6" s="1110" t="b">
        <v>0</v>
      </c>
      <c r="I6" s="304" t="s">
        <v>5771</v>
      </c>
      <c r="J6" s="304" t="s">
        <v>5772</v>
      </c>
    </row>
    <row r="7" spans="1:10">
      <c r="A7" s="347">
        <v>26</v>
      </c>
      <c r="B7" s="304" t="s">
        <v>4095</v>
      </c>
      <c r="C7" s="304" t="s">
        <v>3576</v>
      </c>
      <c r="D7" s="304"/>
      <c r="E7" s="304" t="s">
        <v>4096</v>
      </c>
      <c r="F7" s="304" t="s">
        <v>4097</v>
      </c>
      <c r="G7" s="1111">
        <v>11686</v>
      </c>
      <c r="H7" s="1110" t="s">
        <v>4098</v>
      </c>
      <c r="I7" s="304" t="s">
        <v>4099</v>
      </c>
    </row>
    <row r="8" spans="1:10">
      <c r="A8" s="347">
        <v>27</v>
      </c>
      <c r="B8" s="304" t="s">
        <v>4100</v>
      </c>
      <c r="C8" s="304" t="s">
        <v>3576</v>
      </c>
      <c r="D8" s="304" t="s">
        <v>3464</v>
      </c>
      <c r="E8" s="304"/>
      <c r="F8" s="304" t="s">
        <v>4237</v>
      </c>
      <c r="G8" s="1111">
        <v>11468</v>
      </c>
      <c r="H8" s="1110" t="s">
        <v>5610</v>
      </c>
    </row>
    <row r="9" spans="1:10" ht="13.5" customHeight="1">
      <c r="A9" s="347">
        <v>28</v>
      </c>
      <c r="B9" s="304" t="s">
        <v>5611</v>
      </c>
      <c r="C9" s="304" t="s">
        <v>5612</v>
      </c>
      <c r="D9" s="304" t="s">
        <v>2683</v>
      </c>
      <c r="E9" s="304" t="s">
        <v>2684</v>
      </c>
      <c r="F9" s="304" t="s">
        <v>3706</v>
      </c>
      <c r="G9" s="1111">
        <v>11468</v>
      </c>
      <c r="H9" s="1110" t="s">
        <v>5610</v>
      </c>
      <c r="I9" s="304" t="s">
        <v>6342</v>
      </c>
      <c r="J9" s="304" t="s">
        <v>6343</v>
      </c>
    </row>
    <row r="10" spans="1:10" ht="25.5">
      <c r="A10" s="347">
        <v>29</v>
      </c>
      <c r="B10" s="304" t="s">
        <v>4740</v>
      </c>
      <c r="C10" s="304" t="s">
        <v>2154</v>
      </c>
      <c r="D10" s="304" t="s">
        <v>2534</v>
      </c>
      <c r="E10" s="304"/>
      <c r="F10" s="304" t="s">
        <v>2535</v>
      </c>
      <c r="G10" s="1111">
        <v>11472</v>
      </c>
      <c r="H10" s="1110" t="s">
        <v>1484</v>
      </c>
      <c r="I10" s="304" t="s">
        <v>5522</v>
      </c>
      <c r="J10" s="304" t="s">
        <v>2601</v>
      </c>
    </row>
    <row r="11" spans="1:10">
      <c r="A11" s="347">
        <v>30</v>
      </c>
      <c r="B11" s="304" t="s">
        <v>2602</v>
      </c>
      <c r="C11" s="304" t="s">
        <v>426</v>
      </c>
      <c r="D11" s="304" t="s">
        <v>2603</v>
      </c>
      <c r="E11" s="304"/>
      <c r="F11" s="304" t="s">
        <v>5864</v>
      </c>
      <c r="G11" s="1111">
        <v>11581</v>
      </c>
      <c r="H11" s="1110" t="s">
        <v>2816</v>
      </c>
      <c r="I11" s="304" t="s">
        <v>427</v>
      </c>
      <c r="J11" s="304" t="s">
        <v>704</v>
      </c>
    </row>
    <row r="12" spans="1:10">
      <c r="A12" s="347">
        <v>31</v>
      </c>
      <c r="B12" s="304" t="s">
        <v>5729</v>
      </c>
      <c r="C12" s="304" t="s">
        <v>3576</v>
      </c>
      <c r="D12" s="304" t="s">
        <v>2095</v>
      </c>
      <c r="E12" s="304"/>
      <c r="F12" s="304" t="s">
        <v>2096</v>
      </c>
      <c r="G12" s="1111">
        <v>0</v>
      </c>
      <c r="H12" s="1110" t="s">
        <v>3576</v>
      </c>
    </row>
    <row r="13" spans="1:10">
      <c r="A13" s="347">
        <v>32</v>
      </c>
      <c r="B13" s="304" t="s">
        <v>2097</v>
      </c>
      <c r="C13" s="304" t="s">
        <v>650</v>
      </c>
      <c r="D13" s="304" t="s">
        <v>1806</v>
      </c>
      <c r="E13" s="304"/>
      <c r="F13" s="304" t="s">
        <v>1807</v>
      </c>
      <c r="G13" s="1111">
        <v>210296</v>
      </c>
      <c r="H13" s="1110" t="s">
        <v>1808</v>
      </c>
    </row>
    <row r="14" spans="1:10">
      <c r="A14" s="347">
        <v>33</v>
      </c>
      <c r="B14" s="304" t="s">
        <v>1809</v>
      </c>
      <c r="C14" s="304" t="s">
        <v>1810</v>
      </c>
      <c r="D14" s="304" t="s">
        <v>486</v>
      </c>
      <c r="E14" s="304"/>
      <c r="F14" s="304" t="s">
        <v>3857</v>
      </c>
      <c r="G14" s="1111">
        <v>209797</v>
      </c>
      <c r="H14" s="1110" t="s">
        <v>2563</v>
      </c>
    </row>
    <row r="15" spans="1:10">
      <c r="A15" s="347">
        <v>34</v>
      </c>
      <c r="B15" s="304" t="s">
        <v>5412</v>
      </c>
      <c r="C15" s="304" t="s">
        <v>156</v>
      </c>
      <c r="D15" s="304" t="s">
        <v>3398</v>
      </c>
      <c r="E15" s="304"/>
      <c r="F15" s="304" t="s">
        <v>5439</v>
      </c>
      <c r="G15" s="1111">
        <v>210522</v>
      </c>
      <c r="H15" s="1110" t="s">
        <v>5440</v>
      </c>
      <c r="I15" s="304" t="s">
        <v>157</v>
      </c>
      <c r="J15" s="304" t="s">
        <v>5441</v>
      </c>
    </row>
    <row r="16" spans="1:10">
      <c r="A16" s="347">
        <v>35</v>
      </c>
      <c r="B16" s="304" t="s">
        <v>5442</v>
      </c>
      <c r="C16" s="304" t="s">
        <v>5443</v>
      </c>
      <c r="D16" s="304" t="s">
        <v>5444</v>
      </c>
      <c r="E16" s="304"/>
      <c r="F16" s="304" t="s">
        <v>4271</v>
      </c>
      <c r="G16" s="1111">
        <v>11581</v>
      </c>
      <c r="H16" s="1110" t="s">
        <v>2816</v>
      </c>
    </row>
    <row r="17" spans="1:10" ht="25.5">
      <c r="A17" s="347">
        <v>36</v>
      </c>
      <c r="B17" s="304" t="s">
        <v>4272</v>
      </c>
      <c r="C17" s="304" t="s">
        <v>1726</v>
      </c>
      <c r="D17" s="304" t="s">
        <v>397</v>
      </c>
      <c r="E17" s="304"/>
      <c r="F17" s="304" t="s">
        <v>2470</v>
      </c>
      <c r="G17" s="1111">
        <v>11687</v>
      </c>
      <c r="H17" s="1110" t="s">
        <v>4426</v>
      </c>
    </row>
    <row r="18" spans="1:10">
      <c r="A18" s="347">
        <v>37</v>
      </c>
      <c r="B18" s="304" t="s">
        <v>4427</v>
      </c>
      <c r="C18" s="304" t="s">
        <v>4967</v>
      </c>
      <c r="D18" s="304" t="s">
        <v>4968</v>
      </c>
      <c r="E18" s="304"/>
      <c r="F18" s="304" t="s">
        <v>1437</v>
      </c>
      <c r="G18" s="1111">
        <v>210365</v>
      </c>
      <c r="H18" s="1110" t="s">
        <v>636</v>
      </c>
      <c r="I18" s="304" t="s">
        <v>3757</v>
      </c>
      <c r="J18" s="304" t="s">
        <v>795</v>
      </c>
    </row>
    <row r="19" spans="1:10" ht="13.5" customHeight="1">
      <c r="A19" s="347">
        <v>38</v>
      </c>
      <c r="B19" s="304" t="s">
        <v>1172</v>
      </c>
      <c r="C19" s="304" t="s">
        <v>3291</v>
      </c>
      <c r="D19" s="304" t="s">
        <v>3292</v>
      </c>
      <c r="E19" s="304"/>
      <c r="F19" s="304" t="s">
        <v>6228</v>
      </c>
      <c r="G19" s="1111">
        <v>210366</v>
      </c>
      <c r="H19" s="1110" t="s">
        <v>5999</v>
      </c>
      <c r="I19" s="304" t="s">
        <v>6000</v>
      </c>
      <c r="J19" s="304" t="s">
        <v>6001</v>
      </c>
    </row>
    <row r="20" spans="1:10">
      <c r="A20" s="347">
        <v>39</v>
      </c>
      <c r="B20" s="304" t="s">
        <v>3798</v>
      </c>
      <c r="C20" s="304" t="s">
        <v>4220</v>
      </c>
      <c r="D20" s="304" t="s">
        <v>3799</v>
      </c>
      <c r="E20" s="304"/>
      <c r="F20" s="304" t="s">
        <v>3800</v>
      </c>
      <c r="G20" s="1111">
        <v>210522</v>
      </c>
      <c r="H20" s="1110" t="s">
        <v>5440</v>
      </c>
      <c r="I20" s="304" t="s">
        <v>4133</v>
      </c>
      <c r="J20" s="304" t="s">
        <v>1688</v>
      </c>
    </row>
    <row r="21" spans="1:10">
      <c r="A21" s="347">
        <v>40</v>
      </c>
      <c r="B21" s="304" t="s">
        <v>3801</v>
      </c>
      <c r="C21" s="304" t="s">
        <v>3802</v>
      </c>
      <c r="D21" s="304" t="s">
        <v>26</v>
      </c>
      <c r="E21" s="304"/>
      <c r="F21" s="304" t="s">
        <v>4514</v>
      </c>
      <c r="G21" s="1111">
        <v>210769</v>
      </c>
      <c r="H21" s="1110" t="s">
        <v>1675</v>
      </c>
      <c r="I21" s="304" t="s">
        <v>4677</v>
      </c>
      <c r="J21" s="304" t="s">
        <v>4678</v>
      </c>
    </row>
    <row r="22" spans="1:10">
      <c r="A22" s="347">
        <v>41</v>
      </c>
      <c r="B22" s="304" t="s">
        <v>4679</v>
      </c>
      <c r="C22" s="304" t="s">
        <v>128</v>
      </c>
      <c r="D22" s="304" t="s">
        <v>4680</v>
      </c>
      <c r="E22" s="304"/>
      <c r="F22" s="304" t="s">
        <v>2779</v>
      </c>
      <c r="G22" s="1111">
        <v>11468</v>
      </c>
      <c r="H22" s="1110" t="s">
        <v>5610</v>
      </c>
      <c r="I22" s="304" t="s">
        <v>129</v>
      </c>
      <c r="J22" s="304" t="s">
        <v>130</v>
      </c>
    </row>
    <row r="23" spans="1:10">
      <c r="A23" s="347">
        <v>42</v>
      </c>
      <c r="B23" s="304" t="s">
        <v>3609</v>
      </c>
      <c r="C23" s="304" t="s">
        <v>2384</v>
      </c>
      <c r="D23" s="304" t="s">
        <v>3610</v>
      </c>
      <c r="E23" s="304"/>
      <c r="F23" s="304" t="s">
        <v>3611</v>
      </c>
      <c r="G23" s="1111">
        <v>210296</v>
      </c>
      <c r="H23" s="1110" t="s">
        <v>1808</v>
      </c>
      <c r="I23" s="304" t="s">
        <v>6068</v>
      </c>
      <c r="J23" s="304" t="s">
        <v>6069</v>
      </c>
    </row>
    <row r="24" spans="1:10" ht="25.5">
      <c r="A24" s="347">
        <v>43</v>
      </c>
      <c r="B24" s="304" t="s">
        <v>3612</v>
      </c>
      <c r="C24" s="304" t="s">
        <v>3613</v>
      </c>
      <c r="D24" s="304" t="s">
        <v>3292</v>
      </c>
      <c r="E24" s="304"/>
      <c r="F24" s="304" t="s">
        <v>6228</v>
      </c>
      <c r="G24" s="1111">
        <v>210366</v>
      </c>
      <c r="H24" s="1110" t="s">
        <v>5999</v>
      </c>
      <c r="I24" s="304" t="s">
        <v>3614</v>
      </c>
      <c r="J24" s="304" t="s">
        <v>3615</v>
      </c>
    </row>
    <row r="25" spans="1:10">
      <c r="A25" s="347">
        <v>44</v>
      </c>
      <c r="B25" s="304" t="s">
        <v>5737</v>
      </c>
      <c r="C25" s="304" t="s">
        <v>5738</v>
      </c>
      <c r="D25" s="304" t="s">
        <v>564</v>
      </c>
      <c r="E25" s="304" t="s">
        <v>565</v>
      </c>
      <c r="F25" s="304" t="s">
        <v>3706</v>
      </c>
      <c r="G25" s="1111">
        <v>215183</v>
      </c>
      <c r="I25" s="304" t="s">
        <v>4429</v>
      </c>
      <c r="J25" s="304" t="s">
        <v>519</v>
      </c>
    </row>
    <row r="26" spans="1:10">
      <c r="A26" s="347">
        <v>45</v>
      </c>
      <c r="B26" s="304" t="s">
        <v>4430</v>
      </c>
      <c r="C26" s="304" t="s">
        <v>792</v>
      </c>
      <c r="D26" s="304" t="s">
        <v>1588</v>
      </c>
      <c r="E26" s="304"/>
      <c r="F26" s="304" t="s">
        <v>1589</v>
      </c>
    </row>
    <row r="27" spans="1:10">
      <c r="A27" s="347">
        <v>46</v>
      </c>
      <c r="B27" s="304" t="s">
        <v>1590</v>
      </c>
      <c r="C27" s="304" t="s">
        <v>5882</v>
      </c>
      <c r="D27" s="304" t="s">
        <v>1370</v>
      </c>
      <c r="E27" s="304"/>
      <c r="F27" s="304" t="s">
        <v>1371</v>
      </c>
      <c r="G27" s="1111">
        <v>11468</v>
      </c>
      <c r="H27" s="1110" t="s">
        <v>5610</v>
      </c>
      <c r="I27" s="304" t="s">
        <v>2405</v>
      </c>
      <c r="J27" s="304" t="s">
        <v>5883</v>
      </c>
    </row>
    <row r="28" spans="1:10">
      <c r="A28" s="347">
        <v>47</v>
      </c>
      <c r="B28" s="304" t="s">
        <v>1009</v>
      </c>
      <c r="C28" s="304" t="s">
        <v>3576</v>
      </c>
      <c r="D28" s="304" t="s">
        <v>1010</v>
      </c>
      <c r="E28" s="304"/>
      <c r="F28" s="304" t="s">
        <v>1852</v>
      </c>
      <c r="G28" s="1111">
        <v>210522</v>
      </c>
      <c r="H28" s="1110" t="s">
        <v>5440</v>
      </c>
    </row>
    <row r="29" spans="1:10">
      <c r="A29" s="347">
        <v>49</v>
      </c>
      <c r="B29" s="304" t="s">
        <v>1853</v>
      </c>
      <c r="C29" s="304" t="s">
        <v>3576</v>
      </c>
      <c r="D29" s="304" t="s">
        <v>4595</v>
      </c>
      <c r="E29" s="304" t="s">
        <v>3994</v>
      </c>
      <c r="F29" s="304" t="s">
        <v>3995</v>
      </c>
    </row>
    <row r="30" spans="1:10">
      <c r="A30" s="347">
        <v>50</v>
      </c>
      <c r="B30" s="304" t="s">
        <v>4467</v>
      </c>
      <c r="C30" s="304" t="s">
        <v>5055</v>
      </c>
      <c r="D30" s="304" t="s">
        <v>5594</v>
      </c>
      <c r="E30" s="304" t="s">
        <v>3127</v>
      </c>
      <c r="F30" s="304" t="s">
        <v>3126</v>
      </c>
      <c r="G30" s="1111">
        <v>11505</v>
      </c>
      <c r="I30" s="304" t="s">
        <v>4778</v>
      </c>
      <c r="J30" s="304" t="s">
        <v>3128</v>
      </c>
    </row>
    <row r="31" spans="1:10" ht="25.5">
      <c r="A31" s="347">
        <v>51</v>
      </c>
      <c r="B31" s="304" t="s">
        <v>1254</v>
      </c>
      <c r="C31" s="304" t="s">
        <v>5892</v>
      </c>
      <c r="D31" s="304" t="s">
        <v>2221</v>
      </c>
      <c r="E31" s="304"/>
      <c r="F31" s="304" t="s">
        <v>2036</v>
      </c>
      <c r="G31" s="1111">
        <v>14298</v>
      </c>
      <c r="H31" s="1110" t="s">
        <v>4785</v>
      </c>
      <c r="I31" s="304" t="s">
        <v>5893</v>
      </c>
      <c r="J31" s="304" t="s">
        <v>5894</v>
      </c>
    </row>
    <row r="32" spans="1:10">
      <c r="A32" s="347">
        <v>52</v>
      </c>
      <c r="B32" s="304" t="s">
        <v>4981</v>
      </c>
      <c r="C32" s="304" t="s">
        <v>3576</v>
      </c>
      <c r="D32" s="304" t="s">
        <v>3792</v>
      </c>
      <c r="E32" s="304"/>
      <c r="F32" s="304" t="s">
        <v>3793</v>
      </c>
      <c r="G32" s="1111">
        <v>11581</v>
      </c>
      <c r="H32" s="1110" t="s">
        <v>2816</v>
      </c>
    </row>
    <row r="33" spans="1:10">
      <c r="A33" s="347">
        <v>53</v>
      </c>
      <c r="B33" s="304" t="s">
        <v>416</v>
      </c>
      <c r="C33" s="304" t="s">
        <v>3576</v>
      </c>
      <c r="D33" s="304"/>
      <c r="E33" s="304" t="s">
        <v>5662</v>
      </c>
      <c r="F33" s="304" t="s">
        <v>3941</v>
      </c>
      <c r="G33" s="1111">
        <v>11602</v>
      </c>
      <c r="H33" s="1110" t="s">
        <v>6288</v>
      </c>
      <c r="J33" s="304" t="s">
        <v>4206</v>
      </c>
    </row>
    <row r="34" spans="1:10">
      <c r="A34" s="347">
        <v>54</v>
      </c>
      <c r="B34" s="304" t="s">
        <v>4207</v>
      </c>
      <c r="C34" s="304" t="s">
        <v>3576</v>
      </c>
      <c r="D34" s="304" t="s">
        <v>3659</v>
      </c>
      <c r="E34" s="304"/>
      <c r="F34" s="304" t="s">
        <v>3689</v>
      </c>
      <c r="G34" s="1111">
        <v>11690</v>
      </c>
      <c r="H34" s="1110" t="s">
        <v>3690</v>
      </c>
    </row>
    <row r="35" spans="1:10">
      <c r="A35" s="347">
        <v>55</v>
      </c>
      <c r="B35" s="304" t="s">
        <v>3609</v>
      </c>
      <c r="C35" s="304" t="s">
        <v>3973</v>
      </c>
      <c r="D35" s="304"/>
      <c r="E35" s="304" t="s">
        <v>3691</v>
      </c>
      <c r="F35" s="304" t="s">
        <v>3692</v>
      </c>
      <c r="G35" s="1111">
        <v>210296</v>
      </c>
      <c r="H35" s="1110" t="s">
        <v>1808</v>
      </c>
      <c r="I35" s="304" t="s">
        <v>3974</v>
      </c>
      <c r="J35" s="304" t="s">
        <v>3975</v>
      </c>
    </row>
    <row r="36" spans="1:10">
      <c r="A36" s="347">
        <v>56</v>
      </c>
      <c r="B36" s="304" t="s">
        <v>3693</v>
      </c>
      <c r="C36" s="304" t="s">
        <v>3576</v>
      </c>
      <c r="D36" s="304" t="s">
        <v>5913</v>
      </c>
      <c r="E36" s="304" t="s">
        <v>2970</v>
      </c>
      <c r="F36" s="304" t="s">
        <v>5289</v>
      </c>
      <c r="I36" s="304" t="s">
        <v>5290</v>
      </c>
      <c r="J36" s="304" t="s">
        <v>5291</v>
      </c>
    </row>
    <row r="37" spans="1:10">
      <c r="A37" s="347">
        <v>57</v>
      </c>
      <c r="B37" s="304" t="s">
        <v>4746</v>
      </c>
      <c r="C37" s="304" t="s">
        <v>6169</v>
      </c>
      <c r="D37" s="304"/>
      <c r="E37" s="304" t="s">
        <v>5292</v>
      </c>
      <c r="F37" s="304" t="s">
        <v>2257</v>
      </c>
      <c r="G37" s="1111">
        <v>14973</v>
      </c>
      <c r="H37" s="1110" t="s">
        <v>1484</v>
      </c>
      <c r="I37" s="304" t="s">
        <v>622</v>
      </c>
      <c r="J37" s="304" t="s">
        <v>623</v>
      </c>
    </row>
    <row r="38" spans="1:10">
      <c r="A38" s="347">
        <v>58</v>
      </c>
      <c r="B38" s="304" t="s">
        <v>5526</v>
      </c>
      <c r="C38" s="304" t="s">
        <v>3576</v>
      </c>
      <c r="D38" s="304" t="s">
        <v>5527</v>
      </c>
      <c r="E38" s="304"/>
      <c r="F38" s="304" t="s">
        <v>1159</v>
      </c>
      <c r="G38" s="1111">
        <v>11690</v>
      </c>
      <c r="H38" s="1110" t="s">
        <v>3690</v>
      </c>
    </row>
    <row r="39" spans="1:10">
      <c r="A39" s="347">
        <v>59</v>
      </c>
      <c r="B39" s="304" t="s">
        <v>1838</v>
      </c>
      <c r="C39" s="304" t="s">
        <v>391</v>
      </c>
      <c r="D39" s="304" t="s">
        <v>4964</v>
      </c>
      <c r="E39" s="304"/>
      <c r="F39" s="304" t="s">
        <v>4965</v>
      </c>
      <c r="G39" s="1111">
        <v>210366</v>
      </c>
      <c r="H39" s="1110" t="s">
        <v>4966</v>
      </c>
      <c r="I39" s="304" t="s">
        <v>3229</v>
      </c>
      <c r="J39" s="304" t="s">
        <v>3230</v>
      </c>
    </row>
    <row r="40" spans="1:10">
      <c r="A40" s="347">
        <v>60</v>
      </c>
      <c r="B40" s="304" t="s">
        <v>38</v>
      </c>
      <c r="C40" s="304" t="s">
        <v>39</v>
      </c>
      <c r="D40" s="304" t="s">
        <v>4962</v>
      </c>
      <c r="E40" s="304" t="s">
        <v>40</v>
      </c>
      <c r="F40" s="304" t="s">
        <v>1394</v>
      </c>
      <c r="G40" s="1111">
        <v>210365</v>
      </c>
      <c r="H40" s="1110" t="s">
        <v>636</v>
      </c>
      <c r="I40" s="304" t="s">
        <v>377</v>
      </c>
      <c r="J40" s="304" t="s">
        <v>378</v>
      </c>
    </row>
    <row r="41" spans="1:10" ht="25.5">
      <c r="A41" s="347">
        <v>61</v>
      </c>
      <c r="B41" s="304" t="s">
        <v>670</v>
      </c>
      <c r="C41" s="304" t="s">
        <v>2974</v>
      </c>
      <c r="D41" s="304" t="s">
        <v>671</v>
      </c>
      <c r="E41" s="304" t="s">
        <v>6009</v>
      </c>
      <c r="F41" s="304" t="s">
        <v>6010</v>
      </c>
      <c r="G41" s="1111">
        <v>11468</v>
      </c>
      <c r="H41" s="1110" t="s">
        <v>5610</v>
      </c>
      <c r="I41" s="304" t="s">
        <v>1665</v>
      </c>
      <c r="J41" s="304" t="s">
        <v>1171</v>
      </c>
    </row>
    <row r="42" spans="1:10">
      <c r="A42" s="347">
        <v>63</v>
      </c>
      <c r="B42" s="304" t="s">
        <v>5563</v>
      </c>
      <c r="C42" s="304" t="s">
        <v>5564</v>
      </c>
      <c r="D42" s="304" t="s">
        <v>5565</v>
      </c>
      <c r="E42" s="304"/>
      <c r="F42" s="304" t="s">
        <v>5566</v>
      </c>
      <c r="G42" s="1111">
        <v>11690</v>
      </c>
      <c r="H42" s="1110" t="s">
        <v>3506</v>
      </c>
      <c r="I42" s="304" t="s">
        <v>5900</v>
      </c>
      <c r="J42" s="304" t="s">
        <v>5901</v>
      </c>
    </row>
    <row r="43" spans="1:10">
      <c r="A43" s="347">
        <v>64</v>
      </c>
      <c r="B43" s="304" t="s">
        <v>3175</v>
      </c>
      <c r="C43" s="304" t="s">
        <v>3576</v>
      </c>
      <c r="D43" s="304" t="s">
        <v>4878</v>
      </c>
      <c r="E43" s="304"/>
      <c r="F43" s="304" t="s">
        <v>1772</v>
      </c>
      <c r="G43" s="1111">
        <v>209803</v>
      </c>
      <c r="H43" s="1110" t="s">
        <v>1773</v>
      </c>
    </row>
    <row r="44" spans="1:10">
      <c r="A44" s="347">
        <v>65</v>
      </c>
      <c r="B44" s="304" t="s">
        <v>1497</v>
      </c>
      <c r="C44" s="304" t="s">
        <v>1498</v>
      </c>
      <c r="D44" s="304" t="s">
        <v>994</v>
      </c>
      <c r="E44" s="304" t="s">
        <v>3914</v>
      </c>
      <c r="F44" s="304" t="s">
        <v>3589</v>
      </c>
      <c r="G44" s="1111">
        <v>11690</v>
      </c>
      <c r="H44" s="1110" t="s">
        <v>3690</v>
      </c>
      <c r="I44" s="304" t="s">
        <v>1912</v>
      </c>
    </row>
    <row r="45" spans="1:10">
      <c r="A45" s="347">
        <v>66</v>
      </c>
      <c r="B45" s="304" t="s">
        <v>1913</v>
      </c>
      <c r="C45" s="304" t="s">
        <v>103</v>
      </c>
      <c r="D45" s="304" t="s">
        <v>158</v>
      </c>
      <c r="E45" s="304" t="s">
        <v>159</v>
      </c>
      <c r="F45" s="304" t="s">
        <v>160</v>
      </c>
      <c r="I45" s="304" t="s">
        <v>161</v>
      </c>
      <c r="J45" s="304" t="s">
        <v>894</v>
      </c>
    </row>
    <row r="46" spans="1:10" ht="25.5">
      <c r="A46" s="347">
        <v>67</v>
      </c>
      <c r="B46" s="304" t="s">
        <v>895</v>
      </c>
      <c r="C46" s="304" t="s">
        <v>3576</v>
      </c>
      <c r="D46" s="304" t="s">
        <v>896</v>
      </c>
      <c r="E46" s="304" t="s">
        <v>3246</v>
      </c>
      <c r="F46" s="304" t="s">
        <v>631</v>
      </c>
      <c r="I46" s="304" t="s">
        <v>6250</v>
      </c>
      <c r="J46" s="304" t="s">
        <v>6251</v>
      </c>
    </row>
    <row r="47" spans="1:10" s="1115" customFormat="1">
      <c r="A47" s="1112">
        <v>68</v>
      </c>
      <c r="B47" s="1113" t="s">
        <v>4706</v>
      </c>
      <c r="C47" s="1113" t="s">
        <v>593</v>
      </c>
      <c r="D47" s="1113" t="s">
        <v>6308</v>
      </c>
      <c r="E47" s="1113"/>
      <c r="F47" s="1113" t="s">
        <v>4854</v>
      </c>
      <c r="G47" s="1114">
        <v>210296</v>
      </c>
      <c r="H47" s="1115" t="s">
        <v>1808</v>
      </c>
      <c r="I47" s="1113" t="s">
        <v>594</v>
      </c>
      <c r="J47" s="1113" t="s">
        <v>595</v>
      </c>
    </row>
    <row r="48" spans="1:10">
      <c r="A48" s="347">
        <v>69</v>
      </c>
      <c r="B48" s="304" t="s">
        <v>3609</v>
      </c>
      <c r="C48" s="304" t="s">
        <v>3576</v>
      </c>
      <c r="D48" s="304" t="s">
        <v>2382</v>
      </c>
      <c r="F48" s="304" t="s">
        <v>3264</v>
      </c>
      <c r="G48" s="1111">
        <v>210296</v>
      </c>
      <c r="H48" s="1110" t="s">
        <v>1808</v>
      </c>
    </row>
    <row r="49" spans="1:10">
      <c r="A49" s="347">
        <v>70</v>
      </c>
      <c r="B49" s="304" t="s">
        <v>3265</v>
      </c>
      <c r="C49" s="304" t="s">
        <v>4171</v>
      </c>
      <c r="D49" s="304" t="s">
        <v>2167</v>
      </c>
      <c r="E49" s="304" t="s">
        <v>2168</v>
      </c>
      <c r="F49" s="304" t="s">
        <v>2377</v>
      </c>
      <c r="G49" s="1111">
        <v>11581</v>
      </c>
      <c r="H49" s="1110" t="s">
        <v>2816</v>
      </c>
      <c r="I49" s="304" t="s">
        <v>1940</v>
      </c>
      <c r="J49" s="304" t="s">
        <v>1941</v>
      </c>
    </row>
    <row r="50" spans="1:10">
      <c r="A50" s="347">
        <v>71</v>
      </c>
      <c r="B50" s="304" t="s">
        <v>1693</v>
      </c>
      <c r="C50" s="304" t="s">
        <v>3576</v>
      </c>
      <c r="D50" s="304" t="s">
        <v>1694</v>
      </c>
      <c r="E50" s="304"/>
      <c r="F50" s="304" t="s">
        <v>1695</v>
      </c>
      <c r="G50" s="1111">
        <v>210296</v>
      </c>
      <c r="H50" s="1110" t="s">
        <v>1808</v>
      </c>
    </row>
    <row r="51" spans="1:10">
      <c r="A51" s="347">
        <v>72</v>
      </c>
      <c r="B51" s="304" t="s">
        <v>1696</v>
      </c>
      <c r="C51" s="304" t="s">
        <v>3576</v>
      </c>
      <c r="D51" s="304" t="s">
        <v>1697</v>
      </c>
      <c r="E51" s="304"/>
      <c r="F51" s="304" t="s">
        <v>1698</v>
      </c>
      <c r="G51" s="1111">
        <v>210296</v>
      </c>
      <c r="H51" s="1110" t="s">
        <v>1808</v>
      </c>
      <c r="I51" s="304" t="s">
        <v>1699</v>
      </c>
      <c r="J51" s="304" t="s">
        <v>6067</v>
      </c>
    </row>
    <row r="52" spans="1:10">
      <c r="A52" s="347">
        <v>73</v>
      </c>
      <c r="B52" s="304" t="s">
        <v>6363</v>
      </c>
      <c r="C52" s="304" t="s">
        <v>6364</v>
      </c>
      <c r="D52" s="304"/>
      <c r="E52" s="304" t="s">
        <v>5847</v>
      </c>
      <c r="F52" s="304" t="s">
        <v>243</v>
      </c>
      <c r="G52" s="1111">
        <v>11524</v>
      </c>
      <c r="H52" s="1110" t="s">
        <v>3130</v>
      </c>
    </row>
    <row r="53" spans="1:10">
      <c r="A53" s="347">
        <v>75</v>
      </c>
      <c r="B53" s="304" t="s">
        <v>3856</v>
      </c>
      <c r="C53" s="304" t="s">
        <v>3576</v>
      </c>
      <c r="D53" s="304" t="s">
        <v>2568</v>
      </c>
      <c r="E53" s="304"/>
      <c r="F53" s="304" t="s">
        <v>4008</v>
      </c>
      <c r="G53" s="1111">
        <v>210365</v>
      </c>
      <c r="H53" s="1110" t="s">
        <v>636</v>
      </c>
    </row>
    <row r="54" spans="1:10">
      <c r="A54" s="347">
        <v>76</v>
      </c>
      <c r="B54" s="304" t="s">
        <v>2465</v>
      </c>
      <c r="C54" s="304" t="s">
        <v>3576</v>
      </c>
      <c r="D54" s="304" t="s">
        <v>2466</v>
      </c>
      <c r="E54" s="304"/>
      <c r="F54" s="304" t="s">
        <v>2467</v>
      </c>
      <c r="G54" s="1111">
        <v>210365</v>
      </c>
      <c r="H54" s="1110" t="s">
        <v>636</v>
      </c>
    </row>
    <row r="55" spans="1:10">
      <c r="A55" s="347">
        <v>77</v>
      </c>
      <c r="B55" s="304" t="s">
        <v>1590</v>
      </c>
      <c r="C55" s="304" t="s">
        <v>4993</v>
      </c>
      <c r="D55" s="304" t="s">
        <v>5064</v>
      </c>
      <c r="E55" s="304"/>
      <c r="F55" s="304" t="s">
        <v>2651</v>
      </c>
      <c r="G55" s="1111">
        <v>11468</v>
      </c>
      <c r="H55" s="1110" t="s">
        <v>5610</v>
      </c>
      <c r="I55" s="304" t="s">
        <v>800</v>
      </c>
      <c r="J55" s="304" t="s">
        <v>801</v>
      </c>
    </row>
    <row r="56" spans="1:10">
      <c r="A56" s="347">
        <v>78</v>
      </c>
      <c r="B56" s="304" t="s">
        <v>3705</v>
      </c>
      <c r="C56" s="304" t="s">
        <v>4494</v>
      </c>
      <c r="D56" s="304" t="s">
        <v>2604</v>
      </c>
      <c r="E56" s="304" t="s">
        <v>2605</v>
      </c>
      <c r="F56" s="304" t="s">
        <v>3099</v>
      </c>
      <c r="G56" s="1111">
        <v>209679</v>
      </c>
      <c r="H56" s="1110" t="s">
        <v>3100</v>
      </c>
      <c r="I56" s="304" t="s">
        <v>3101</v>
      </c>
      <c r="J56" s="304" t="s">
        <v>3102</v>
      </c>
    </row>
    <row r="57" spans="1:10">
      <c r="A57" s="347">
        <v>79</v>
      </c>
      <c r="B57" s="304" t="s">
        <v>3103</v>
      </c>
      <c r="C57" s="304" t="s">
        <v>5709</v>
      </c>
      <c r="D57" s="304" t="s">
        <v>373</v>
      </c>
      <c r="E57" s="304"/>
      <c r="F57" s="304" t="s">
        <v>2594</v>
      </c>
      <c r="G57" s="1111">
        <v>210296</v>
      </c>
      <c r="H57" s="1110" t="s">
        <v>1808</v>
      </c>
      <c r="J57" s="304" t="s">
        <v>5106</v>
      </c>
    </row>
    <row r="58" spans="1:10">
      <c r="A58" s="347">
        <v>80</v>
      </c>
      <c r="B58" s="304" t="s">
        <v>2581</v>
      </c>
      <c r="C58" s="304" t="s">
        <v>4184</v>
      </c>
      <c r="D58" s="304" t="s">
        <v>4185</v>
      </c>
      <c r="E58" s="304" t="s">
        <v>6170</v>
      </c>
      <c r="F58" s="304" t="s">
        <v>6171</v>
      </c>
      <c r="G58" s="1111">
        <v>11602</v>
      </c>
      <c r="H58" s="1110" t="s">
        <v>6288</v>
      </c>
      <c r="I58" s="304" t="s">
        <v>6172</v>
      </c>
      <c r="J58" s="304" t="s">
        <v>6173</v>
      </c>
    </row>
    <row r="59" spans="1:10">
      <c r="A59" s="347">
        <v>81</v>
      </c>
      <c r="B59" s="304" t="s">
        <v>1009</v>
      </c>
      <c r="C59" s="304" t="s">
        <v>1525</v>
      </c>
      <c r="D59" s="304" t="s">
        <v>1010</v>
      </c>
      <c r="E59" s="304"/>
      <c r="F59" s="304" t="s">
        <v>1852</v>
      </c>
      <c r="G59" s="1111">
        <v>210522</v>
      </c>
      <c r="H59" s="1110" t="s">
        <v>5440</v>
      </c>
      <c r="I59" s="304" t="s">
        <v>3762</v>
      </c>
    </row>
    <row r="60" spans="1:10">
      <c r="A60" s="347">
        <v>82</v>
      </c>
      <c r="B60" s="304" t="s">
        <v>1315</v>
      </c>
      <c r="C60" s="304" t="s">
        <v>1316</v>
      </c>
      <c r="D60" s="304" t="s">
        <v>2500</v>
      </c>
      <c r="E60" s="304"/>
      <c r="F60" s="304" t="s">
        <v>2501</v>
      </c>
      <c r="G60" s="1111">
        <v>11602</v>
      </c>
      <c r="H60" s="1110" t="s">
        <v>6288</v>
      </c>
      <c r="I60" s="304" t="s">
        <v>2502</v>
      </c>
      <c r="J60" s="304" t="s">
        <v>2503</v>
      </c>
    </row>
    <row r="61" spans="1:10">
      <c r="A61" s="347">
        <v>83</v>
      </c>
      <c r="B61" s="304" t="s">
        <v>3763</v>
      </c>
      <c r="C61" s="304" t="s">
        <v>855</v>
      </c>
      <c r="D61" s="304" t="s">
        <v>4013</v>
      </c>
      <c r="E61" s="304"/>
      <c r="F61" s="304" t="s">
        <v>1616</v>
      </c>
      <c r="G61" s="1111">
        <v>210522</v>
      </c>
      <c r="H61" s="1110" t="s">
        <v>5440</v>
      </c>
      <c r="I61" s="304" t="s">
        <v>2307</v>
      </c>
      <c r="J61" s="304" t="s">
        <v>2308</v>
      </c>
    </row>
    <row r="62" spans="1:10">
      <c r="A62" s="347">
        <v>85</v>
      </c>
      <c r="B62" s="304" t="s">
        <v>4095</v>
      </c>
      <c r="C62" s="304" t="s">
        <v>1617</v>
      </c>
      <c r="D62" s="304" t="s">
        <v>530</v>
      </c>
      <c r="E62" s="304"/>
      <c r="F62" s="304" t="s">
        <v>531</v>
      </c>
      <c r="J62" s="304" t="s">
        <v>532</v>
      </c>
    </row>
    <row r="63" spans="1:10">
      <c r="A63" s="347">
        <v>86</v>
      </c>
      <c r="B63" s="304" t="s">
        <v>533</v>
      </c>
      <c r="C63" s="304" t="s">
        <v>3935</v>
      </c>
      <c r="D63" s="304" t="s">
        <v>534</v>
      </c>
      <c r="E63" s="304"/>
      <c r="F63" s="304" t="s">
        <v>829</v>
      </c>
      <c r="G63" s="1111">
        <v>11602</v>
      </c>
      <c r="H63" s="1110" t="s">
        <v>830</v>
      </c>
      <c r="I63" s="304" t="s">
        <v>4397</v>
      </c>
      <c r="J63" s="304" t="s">
        <v>3936</v>
      </c>
    </row>
    <row r="64" spans="1:10">
      <c r="A64" s="347">
        <v>87</v>
      </c>
      <c r="B64" s="304" t="s">
        <v>1278</v>
      </c>
      <c r="C64" s="304" t="s">
        <v>3028</v>
      </c>
      <c r="D64" s="304" t="s">
        <v>1279</v>
      </c>
      <c r="E64" s="304"/>
      <c r="F64" s="304" t="s">
        <v>1200</v>
      </c>
      <c r="G64" s="1111">
        <v>11602</v>
      </c>
      <c r="H64" s="1110" t="s">
        <v>6288</v>
      </c>
      <c r="J64" s="304" t="s">
        <v>1966</v>
      </c>
    </row>
    <row r="65" spans="1:10">
      <c r="A65" s="347">
        <v>88</v>
      </c>
      <c r="B65" s="304" t="s">
        <v>1201</v>
      </c>
      <c r="C65" s="304" t="s">
        <v>281</v>
      </c>
      <c r="D65" s="304" t="s">
        <v>1202</v>
      </c>
      <c r="E65" s="304"/>
      <c r="F65" s="304" t="s">
        <v>1203</v>
      </c>
      <c r="G65" s="1111">
        <v>11581</v>
      </c>
      <c r="H65" s="1110" t="s">
        <v>2816</v>
      </c>
      <c r="I65" s="304" t="s">
        <v>282</v>
      </c>
      <c r="J65" s="304" t="s">
        <v>283</v>
      </c>
    </row>
    <row r="66" spans="1:10" ht="25.5">
      <c r="A66" s="347">
        <v>89</v>
      </c>
      <c r="B66" s="304" t="s">
        <v>529</v>
      </c>
      <c r="C66" s="304" t="s">
        <v>6145</v>
      </c>
      <c r="D66" s="304" t="s">
        <v>5532</v>
      </c>
      <c r="E66" s="304" t="s">
        <v>884</v>
      </c>
      <c r="F66" s="304" t="s">
        <v>885</v>
      </c>
      <c r="G66" s="1111">
        <v>210365</v>
      </c>
      <c r="H66" s="1110" t="s">
        <v>636</v>
      </c>
      <c r="I66" s="304" t="s">
        <v>883</v>
      </c>
      <c r="J66" s="304" t="s">
        <v>4477</v>
      </c>
    </row>
    <row r="67" spans="1:10">
      <c r="A67" s="347">
        <v>90</v>
      </c>
      <c r="B67" s="304" t="s">
        <v>3954</v>
      </c>
      <c r="C67" s="304" t="s">
        <v>620</v>
      </c>
      <c r="D67" s="304" t="s">
        <v>621</v>
      </c>
      <c r="E67" s="304" t="s">
        <v>2968</v>
      </c>
      <c r="F67" s="304" t="s">
        <v>2969</v>
      </c>
      <c r="G67" s="1111">
        <v>13831</v>
      </c>
      <c r="H67" s="1110" t="s">
        <v>5653</v>
      </c>
      <c r="J67" s="304" t="s">
        <v>3937</v>
      </c>
    </row>
    <row r="68" spans="1:10" ht="25.5">
      <c r="A68" s="347">
        <v>91</v>
      </c>
      <c r="B68" s="304" t="s">
        <v>3938</v>
      </c>
      <c r="C68" s="304" t="s">
        <v>3011</v>
      </c>
      <c r="D68" s="304" t="s">
        <v>3012</v>
      </c>
      <c r="E68" s="304"/>
      <c r="F68" s="304" t="s">
        <v>560</v>
      </c>
      <c r="G68" s="1111">
        <v>210366</v>
      </c>
      <c r="H68" s="1110" t="s">
        <v>5999</v>
      </c>
      <c r="I68" s="304" t="s">
        <v>3836</v>
      </c>
      <c r="J68" s="304" t="s">
        <v>3837</v>
      </c>
    </row>
    <row r="69" spans="1:10">
      <c r="A69" s="347">
        <v>92</v>
      </c>
      <c r="B69" s="304" t="s">
        <v>1092</v>
      </c>
      <c r="C69" s="304" t="s">
        <v>3576</v>
      </c>
      <c r="D69" s="304" t="s">
        <v>1093</v>
      </c>
      <c r="E69" s="304" t="s">
        <v>1094</v>
      </c>
      <c r="F69" s="304" t="s">
        <v>1479</v>
      </c>
      <c r="I69" s="304" t="s">
        <v>192</v>
      </c>
      <c r="J69" s="304" t="s">
        <v>193</v>
      </c>
    </row>
    <row r="70" spans="1:10">
      <c r="A70" s="347">
        <v>93</v>
      </c>
      <c r="B70" s="304" t="s">
        <v>4095</v>
      </c>
      <c r="C70" s="304" t="s">
        <v>2932</v>
      </c>
      <c r="D70" s="304" t="s">
        <v>2933</v>
      </c>
      <c r="E70" s="304"/>
      <c r="F70" s="304" t="s">
        <v>5550</v>
      </c>
      <c r="G70" s="1111">
        <v>210522</v>
      </c>
      <c r="H70" s="1110" t="s">
        <v>5440</v>
      </c>
    </row>
    <row r="71" spans="1:10">
      <c r="A71" s="347">
        <v>94</v>
      </c>
      <c r="B71" s="304" t="s">
        <v>5551</v>
      </c>
      <c r="C71" s="304" t="s">
        <v>3576</v>
      </c>
      <c r="D71" s="304"/>
      <c r="E71" s="304" t="s">
        <v>5552</v>
      </c>
      <c r="F71" s="304" t="s">
        <v>5105</v>
      </c>
      <c r="I71" s="304" t="s">
        <v>58</v>
      </c>
      <c r="J71" s="304" t="s">
        <v>59</v>
      </c>
    </row>
    <row r="72" spans="1:10">
      <c r="A72" s="347">
        <v>95</v>
      </c>
      <c r="B72" s="304" t="s">
        <v>4406</v>
      </c>
      <c r="C72" s="304" t="s">
        <v>3576</v>
      </c>
      <c r="D72" s="304" t="s">
        <v>4407</v>
      </c>
      <c r="E72" s="304"/>
      <c r="F72" s="304" t="s">
        <v>4408</v>
      </c>
      <c r="G72" s="1111">
        <v>210769</v>
      </c>
      <c r="H72" s="1110" t="s">
        <v>1675</v>
      </c>
    </row>
    <row r="73" spans="1:10">
      <c r="A73" s="347">
        <v>96</v>
      </c>
      <c r="B73" s="304" t="s">
        <v>5551</v>
      </c>
      <c r="C73" s="304" t="s">
        <v>4409</v>
      </c>
      <c r="D73" s="304" t="s">
        <v>3581</v>
      </c>
      <c r="E73" s="304"/>
      <c r="F73" s="304" t="s">
        <v>3582</v>
      </c>
      <c r="I73" s="304" t="s">
        <v>3583</v>
      </c>
      <c r="J73" s="304" t="s">
        <v>3584</v>
      </c>
    </row>
    <row r="74" spans="1:10">
      <c r="A74" s="347">
        <v>97</v>
      </c>
      <c r="B74" s="304" t="s">
        <v>1124</v>
      </c>
      <c r="C74" s="304" t="s">
        <v>3576</v>
      </c>
      <c r="D74" s="304" t="s">
        <v>1125</v>
      </c>
      <c r="E74" s="304" t="s">
        <v>1126</v>
      </c>
      <c r="F74" s="304" t="s">
        <v>1127</v>
      </c>
      <c r="G74" s="1111">
        <v>11690</v>
      </c>
      <c r="H74" s="1110" t="s">
        <v>3690</v>
      </c>
    </row>
    <row r="75" spans="1:10">
      <c r="A75" s="347">
        <v>98</v>
      </c>
      <c r="B75" s="304" t="s">
        <v>5113</v>
      </c>
      <c r="C75" s="304" t="s">
        <v>3576</v>
      </c>
      <c r="D75" s="304" t="s">
        <v>587</v>
      </c>
      <c r="E75" s="304"/>
      <c r="F75" s="304" t="s">
        <v>588</v>
      </c>
      <c r="G75" s="1111">
        <v>14973</v>
      </c>
      <c r="H75" s="1110" t="s">
        <v>1484</v>
      </c>
    </row>
    <row r="76" spans="1:10" ht="25.5">
      <c r="A76" s="347">
        <v>99</v>
      </c>
      <c r="B76" s="304" t="s">
        <v>589</v>
      </c>
      <c r="C76" s="304" t="s">
        <v>590</v>
      </c>
      <c r="D76" s="304" t="s">
        <v>591</v>
      </c>
      <c r="E76" s="304"/>
      <c r="F76" s="304" t="s">
        <v>5310</v>
      </c>
      <c r="I76" s="304" t="s">
        <v>5311</v>
      </c>
      <c r="J76" s="304" t="s">
        <v>3593</v>
      </c>
    </row>
    <row r="77" spans="1:10">
      <c r="A77" s="347">
        <v>100</v>
      </c>
      <c r="B77" s="304" t="s">
        <v>3594</v>
      </c>
      <c r="C77" s="304" t="s">
        <v>782</v>
      </c>
      <c r="D77" s="304"/>
      <c r="E77" s="304" t="s">
        <v>783</v>
      </c>
      <c r="F77" s="304" t="s">
        <v>784</v>
      </c>
      <c r="I77" s="304" t="s">
        <v>6175</v>
      </c>
      <c r="J77" s="304" t="s">
        <v>3437</v>
      </c>
    </row>
    <row r="78" spans="1:10" ht="25.5">
      <c r="A78" s="347">
        <v>101</v>
      </c>
      <c r="B78" s="304" t="s">
        <v>4428</v>
      </c>
      <c r="C78" s="304" t="s">
        <v>5302</v>
      </c>
      <c r="D78" s="304" t="s">
        <v>3439</v>
      </c>
      <c r="E78" s="304"/>
      <c r="F78" s="304" t="s">
        <v>2530</v>
      </c>
      <c r="G78" s="1111" t="s">
        <v>2531</v>
      </c>
      <c r="H78" s="1110" t="s">
        <v>2563</v>
      </c>
      <c r="I78" s="304" t="s">
        <v>1183</v>
      </c>
      <c r="J78" s="304" t="s">
        <v>3262</v>
      </c>
    </row>
    <row r="79" spans="1:10">
      <c r="A79" s="347">
        <v>102</v>
      </c>
      <c r="B79" s="304" t="s">
        <v>2532</v>
      </c>
      <c r="C79" s="304" t="s">
        <v>5675</v>
      </c>
      <c r="D79" s="304" t="s">
        <v>5676</v>
      </c>
      <c r="E79" s="304" t="s">
        <v>688</v>
      </c>
      <c r="F79" s="304" t="s">
        <v>4067</v>
      </c>
      <c r="G79" s="1111">
        <v>11686</v>
      </c>
      <c r="H79" s="1110" t="s">
        <v>4098</v>
      </c>
      <c r="I79" s="304" t="s">
        <v>470</v>
      </c>
      <c r="J79" s="304" t="s">
        <v>471</v>
      </c>
    </row>
    <row r="80" spans="1:10">
      <c r="A80" s="347">
        <v>103</v>
      </c>
      <c r="B80" s="304" t="s">
        <v>472</v>
      </c>
      <c r="C80" s="304" t="s">
        <v>3576</v>
      </c>
      <c r="D80" s="304" t="s">
        <v>473</v>
      </c>
      <c r="E80" s="304"/>
      <c r="F80" s="304" t="s">
        <v>6302</v>
      </c>
      <c r="G80" s="1111">
        <v>11581</v>
      </c>
      <c r="H80" s="1110" t="s">
        <v>2816</v>
      </c>
      <c r="I80" s="304" t="s">
        <v>6303</v>
      </c>
      <c r="J80" s="304" t="s">
        <v>6304</v>
      </c>
    </row>
    <row r="81" spans="1:10">
      <c r="A81" s="347">
        <v>104</v>
      </c>
      <c r="B81" s="304" t="s">
        <v>6305</v>
      </c>
      <c r="C81" s="304" t="s">
        <v>3576</v>
      </c>
      <c r="D81" s="304" t="s">
        <v>1441</v>
      </c>
      <c r="E81" s="304"/>
      <c r="F81" s="304" t="s">
        <v>1043</v>
      </c>
      <c r="G81" s="1111">
        <v>11946</v>
      </c>
      <c r="H81" s="1110" t="s">
        <v>3506</v>
      </c>
    </row>
    <row r="82" spans="1:10">
      <c r="A82" s="347">
        <v>105</v>
      </c>
      <c r="B82" s="304" t="s">
        <v>1044</v>
      </c>
      <c r="C82" s="304" t="s">
        <v>5403</v>
      </c>
      <c r="D82" s="304" t="s">
        <v>6308</v>
      </c>
      <c r="E82" s="304"/>
      <c r="F82" s="304" t="s">
        <v>4854</v>
      </c>
      <c r="G82" s="1111">
        <v>210296</v>
      </c>
      <c r="H82" s="1110" t="s">
        <v>1808</v>
      </c>
      <c r="I82" s="304" t="s">
        <v>2380</v>
      </c>
      <c r="J82" s="304" t="s">
        <v>2381</v>
      </c>
    </row>
    <row r="83" spans="1:10">
      <c r="A83" s="347">
        <v>106</v>
      </c>
      <c r="B83" s="304" t="s">
        <v>563</v>
      </c>
      <c r="C83" s="304" t="s">
        <v>468</v>
      </c>
      <c r="D83" s="304" t="s">
        <v>2647</v>
      </c>
      <c r="E83" s="304" t="s">
        <v>2648</v>
      </c>
      <c r="F83" s="304" t="s">
        <v>2649</v>
      </c>
      <c r="G83" s="1111">
        <v>210365</v>
      </c>
      <c r="H83" s="1110" t="s">
        <v>636</v>
      </c>
      <c r="I83" s="304" t="s">
        <v>469</v>
      </c>
    </row>
    <row r="84" spans="1:10" ht="25.5">
      <c r="A84" s="347">
        <v>107</v>
      </c>
      <c r="B84" s="304" t="s">
        <v>2650</v>
      </c>
      <c r="C84" s="304" t="s">
        <v>3576</v>
      </c>
      <c r="D84" s="304" t="s">
        <v>5795</v>
      </c>
      <c r="E84" s="304"/>
      <c r="F84" s="304" t="s">
        <v>5796</v>
      </c>
      <c r="G84" s="1111">
        <v>11581</v>
      </c>
      <c r="H84" s="1110" t="s">
        <v>2816</v>
      </c>
    </row>
    <row r="85" spans="1:10">
      <c r="A85" s="347">
        <v>108</v>
      </c>
      <c r="B85" s="304" t="s">
        <v>1839</v>
      </c>
      <c r="C85" s="304" t="s">
        <v>1840</v>
      </c>
      <c r="D85" s="304" t="s">
        <v>1841</v>
      </c>
      <c r="E85" s="304"/>
      <c r="F85" s="304" t="s">
        <v>263</v>
      </c>
      <c r="G85" s="1111">
        <v>210365</v>
      </c>
      <c r="H85" s="1110" t="s">
        <v>636</v>
      </c>
      <c r="I85" s="304" t="s">
        <v>1029</v>
      </c>
      <c r="J85" s="304" t="s">
        <v>1030</v>
      </c>
    </row>
    <row r="86" spans="1:10">
      <c r="A86" s="347">
        <v>109</v>
      </c>
      <c r="B86" s="304" t="s">
        <v>1031</v>
      </c>
      <c r="C86" s="304" t="s">
        <v>3576</v>
      </c>
      <c r="D86" s="304" t="s">
        <v>2694</v>
      </c>
      <c r="E86" s="304"/>
      <c r="F86" s="304" t="s">
        <v>2695</v>
      </c>
      <c r="G86" s="1111">
        <v>11690</v>
      </c>
      <c r="H86" s="1110" t="s">
        <v>3690</v>
      </c>
    </row>
    <row r="87" spans="1:10">
      <c r="A87" s="347">
        <v>110</v>
      </c>
      <c r="B87" s="304" t="s">
        <v>447</v>
      </c>
      <c r="C87" s="304" t="s">
        <v>2571</v>
      </c>
      <c r="D87" s="304" t="s">
        <v>2572</v>
      </c>
      <c r="E87" s="304"/>
      <c r="F87" s="304" t="s">
        <v>4895</v>
      </c>
      <c r="G87" s="1111">
        <v>210522</v>
      </c>
      <c r="H87" s="1110" t="s">
        <v>5440</v>
      </c>
    </row>
    <row r="88" spans="1:10">
      <c r="A88" s="347">
        <v>111</v>
      </c>
      <c r="B88" s="304" t="s">
        <v>4896</v>
      </c>
      <c r="C88" s="304" t="s">
        <v>3576</v>
      </c>
      <c r="D88" s="304" t="s">
        <v>4897</v>
      </c>
      <c r="E88" s="304"/>
      <c r="F88" s="304" t="s">
        <v>4898</v>
      </c>
      <c r="G88" s="1111">
        <v>11602</v>
      </c>
      <c r="H88" s="1110" t="s">
        <v>6288</v>
      </c>
    </row>
    <row r="89" spans="1:10">
      <c r="A89" s="347">
        <v>112</v>
      </c>
      <c r="B89" s="304" t="s">
        <v>5179</v>
      </c>
      <c r="C89" s="304" t="s">
        <v>3576</v>
      </c>
      <c r="D89" s="304" t="s">
        <v>5180</v>
      </c>
      <c r="E89" s="304"/>
      <c r="F89" s="304" t="s">
        <v>2253</v>
      </c>
      <c r="G89" s="1111">
        <v>11690</v>
      </c>
      <c r="H89" s="1110" t="s">
        <v>3690</v>
      </c>
    </row>
    <row r="90" spans="1:10" ht="38.25">
      <c r="A90" s="347">
        <v>113</v>
      </c>
      <c r="B90" s="304" t="s">
        <v>5730</v>
      </c>
      <c r="C90" s="304" t="s">
        <v>856</v>
      </c>
      <c r="D90" s="304" t="s">
        <v>857</v>
      </c>
      <c r="E90" s="304" t="s">
        <v>858</v>
      </c>
      <c r="F90" s="304" t="s">
        <v>2591</v>
      </c>
      <c r="I90" s="304" t="s">
        <v>543</v>
      </c>
      <c r="J90" s="304" t="s">
        <v>544</v>
      </c>
    </row>
    <row r="91" spans="1:10" ht="25.5">
      <c r="A91" s="347">
        <v>114</v>
      </c>
      <c r="B91" s="304" t="s">
        <v>2458</v>
      </c>
      <c r="C91" s="304" t="s">
        <v>3576</v>
      </c>
      <c r="D91" s="304" t="s">
        <v>4989</v>
      </c>
      <c r="E91" s="304" t="s">
        <v>4990</v>
      </c>
      <c r="F91" s="304" t="s">
        <v>3853</v>
      </c>
      <c r="G91" s="1111">
        <v>11686</v>
      </c>
      <c r="H91" s="1110" t="s">
        <v>4098</v>
      </c>
      <c r="I91" s="304" t="s">
        <v>3766</v>
      </c>
      <c r="J91" s="304" t="s">
        <v>3767</v>
      </c>
    </row>
    <row r="92" spans="1:10">
      <c r="A92" s="347">
        <v>115</v>
      </c>
      <c r="B92" s="304" t="s">
        <v>3768</v>
      </c>
      <c r="C92" s="304" t="s">
        <v>3576</v>
      </c>
      <c r="D92" s="304" t="s">
        <v>2702</v>
      </c>
      <c r="E92" s="304"/>
      <c r="F92" s="304" t="s">
        <v>2649</v>
      </c>
      <c r="G92" s="1111">
        <v>210365</v>
      </c>
      <c r="H92" s="1110" t="s">
        <v>636</v>
      </c>
    </row>
    <row r="93" spans="1:10">
      <c r="A93" s="347">
        <v>116</v>
      </c>
      <c r="B93" s="304" t="s">
        <v>4316</v>
      </c>
      <c r="C93" s="304" t="s">
        <v>4317</v>
      </c>
      <c r="D93" s="304" t="s">
        <v>1609</v>
      </c>
      <c r="E93" s="304"/>
      <c r="F93" s="304" t="s">
        <v>1610</v>
      </c>
      <c r="G93" s="1111">
        <v>210365</v>
      </c>
      <c r="H93" s="1110" t="s">
        <v>636</v>
      </c>
      <c r="I93" s="304" t="s">
        <v>1611</v>
      </c>
      <c r="J93" s="304" t="s">
        <v>1538</v>
      </c>
    </row>
    <row r="94" spans="1:10" ht="25.5">
      <c r="A94" s="347">
        <v>117</v>
      </c>
      <c r="B94" s="304" t="s">
        <v>123</v>
      </c>
      <c r="C94" s="304" t="s">
        <v>3576</v>
      </c>
      <c r="D94" s="304" t="s">
        <v>1372</v>
      </c>
      <c r="E94" s="304"/>
      <c r="F94" s="304" t="s">
        <v>1373</v>
      </c>
    </row>
    <row r="95" spans="1:10" ht="25.5">
      <c r="A95" s="347">
        <v>118</v>
      </c>
      <c r="B95" s="304" t="s">
        <v>1374</v>
      </c>
      <c r="C95" s="304" t="s">
        <v>3576</v>
      </c>
      <c r="D95" s="304" t="s">
        <v>3808</v>
      </c>
      <c r="E95" s="304"/>
      <c r="F95" s="304" t="s">
        <v>1089</v>
      </c>
      <c r="G95" s="1111">
        <v>210769</v>
      </c>
      <c r="H95" s="1110" t="s">
        <v>1675</v>
      </c>
      <c r="I95" s="304" t="s">
        <v>1090</v>
      </c>
      <c r="J95" s="304" t="s">
        <v>5036</v>
      </c>
    </row>
    <row r="96" spans="1:10">
      <c r="A96" s="347">
        <v>119</v>
      </c>
      <c r="B96" s="304" t="s">
        <v>1119</v>
      </c>
      <c r="C96" s="304" t="s">
        <v>1120</v>
      </c>
      <c r="D96" s="304" t="s">
        <v>1121</v>
      </c>
      <c r="E96" s="304" t="s">
        <v>1122</v>
      </c>
      <c r="F96" s="304" t="s">
        <v>2467</v>
      </c>
      <c r="G96" s="1111">
        <v>210365</v>
      </c>
      <c r="H96" s="1110" t="s">
        <v>636</v>
      </c>
      <c r="I96" s="304" t="s">
        <v>1339</v>
      </c>
      <c r="J96" s="304" t="s">
        <v>1340</v>
      </c>
    </row>
    <row r="97" spans="1:10">
      <c r="A97" s="347">
        <v>120</v>
      </c>
      <c r="B97" s="304" t="s">
        <v>2685</v>
      </c>
      <c r="C97" s="304" t="s">
        <v>194</v>
      </c>
      <c r="D97" s="304" t="s">
        <v>2686</v>
      </c>
      <c r="E97" s="304"/>
      <c r="F97" s="304" t="s">
        <v>1205</v>
      </c>
      <c r="G97" s="1111">
        <v>209797</v>
      </c>
      <c r="H97" s="1110" t="s">
        <v>2563</v>
      </c>
      <c r="I97" s="304" t="s">
        <v>195</v>
      </c>
      <c r="J97" s="304" t="s">
        <v>5009</v>
      </c>
    </row>
    <row r="98" spans="1:10">
      <c r="A98" s="347">
        <v>121</v>
      </c>
      <c r="B98" s="304" t="s">
        <v>5010</v>
      </c>
      <c r="C98" s="304" t="s">
        <v>5011</v>
      </c>
      <c r="D98" s="304" t="s">
        <v>5012</v>
      </c>
      <c r="E98" s="304" t="s">
        <v>3957</v>
      </c>
      <c r="F98" s="304" t="s">
        <v>4937</v>
      </c>
      <c r="I98" s="304" t="s">
        <v>1657</v>
      </c>
      <c r="J98" s="304" t="s">
        <v>134</v>
      </c>
    </row>
    <row r="99" spans="1:10" ht="25.5">
      <c r="A99" s="347">
        <v>122</v>
      </c>
      <c r="B99" s="304" t="s">
        <v>448</v>
      </c>
      <c r="C99" s="304" t="s">
        <v>2229</v>
      </c>
      <c r="D99" s="304" t="s">
        <v>449</v>
      </c>
      <c r="E99" s="304" t="s">
        <v>450</v>
      </c>
      <c r="F99" s="304" t="s">
        <v>3706</v>
      </c>
      <c r="G99" s="1111">
        <v>215183</v>
      </c>
      <c r="H99" s="1110" t="s">
        <v>4450</v>
      </c>
      <c r="I99" s="304" t="s">
        <v>2230</v>
      </c>
      <c r="J99" s="304" t="s">
        <v>2231</v>
      </c>
    </row>
    <row r="100" spans="1:10">
      <c r="A100" s="347">
        <v>123</v>
      </c>
      <c r="B100" s="304" t="s">
        <v>3905</v>
      </c>
      <c r="C100" s="304" t="s">
        <v>3906</v>
      </c>
      <c r="D100" s="304" t="s">
        <v>2899</v>
      </c>
      <c r="E100" s="304"/>
      <c r="F100" s="304" t="s">
        <v>433</v>
      </c>
      <c r="G100" s="1111">
        <v>11602</v>
      </c>
      <c r="H100" s="1110" t="s">
        <v>6288</v>
      </c>
    </row>
    <row r="101" spans="1:10">
      <c r="A101" s="347">
        <v>125</v>
      </c>
      <c r="B101" s="304" t="s">
        <v>434</v>
      </c>
      <c r="C101" s="304" t="s">
        <v>3576</v>
      </c>
      <c r="D101" s="304" t="s">
        <v>1647</v>
      </c>
      <c r="E101" s="304"/>
      <c r="F101" s="304" t="s">
        <v>1856</v>
      </c>
      <c r="G101" s="1111">
        <v>11693</v>
      </c>
      <c r="H101" s="1110" t="s">
        <v>3036</v>
      </c>
    </row>
    <row r="102" spans="1:10" ht="25.5">
      <c r="A102" s="347">
        <v>126</v>
      </c>
      <c r="B102" s="304" t="s">
        <v>4860</v>
      </c>
      <c r="C102" s="304" t="s">
        <v>4861</v>
      </c>
      <c r="D102" s="304"/>
      <c r="E102" s="304" t="s">
        <v>603</v>
      </c>
      <c r="F102" s="304" t="s">
        <v>604</v>
      </c>
      <c r="G102" s="1111">
        <v>11686</v>
      </c>
      <c r="H102" s="1110" t="s">
        <v>4098</v>
      </c>
    </row>
    <row r="103" spans="1:10">
      <c r="A103" s="347">
        <v>127</v>
      </c>
      <c r="B103" s="304" t="s">
        <v>605</v>
      </c>
      <c r="C103" s="304" t="s">
        <v>886</v>
      </c>
      <c r="D103" s="304" t="s">
        <v>2743</v>
      </c>
      <c r="E103" s="304" t="s">
        <v>5685</v>
      </c>
      <c r="F103" s="304" t="s">
        <v>5686</v>
      </c>
      <c r="G103" s="1111">
        <v>14973</v>
      </c>
      <c r="H103" s="1110" t="s">
        <v>1484</v>
      </c>
    </row>
    <row r="104" spans="1:10">
      <c r="A104" s="347">
        <v>128</v>
      </c>
      <c r="B104" s="304" t="s">
        <v>5687</v>
      </c>
      <c r="C104" s="304" t="s">
        <v>5688</v>
      </c>
      <c r="D104" s="304" t="s">
        <v>5813</v>
      </c>
      <c r="E104" s="304"/>
      <c r="F104" s="304" t="s">
        <v>5814</v>
      </c>
      <c r="G104" s="1111">
        <v>209679</v>
      </c>
      <c r="H104" s="1110" t="s">
        <v>3100</v>
      </c>
      <c r="I104" s="304" t="s">
        <v>5815</v>
      </c>
      <c r="J104" s="304" t="s">
        <v>5816</v>
      </c>
    </row>
    <row r="105" spans="1:10">
      <c r="A105" s="347">
        <v>129</v>
      </c>
      <c r="B105" s="304" t="s">
        <v>1885</v>
      </c>
      <c r="C105" s="304" t="s">
        <v>1886</v>
      </c>
      <c r="D105" s="304" t="s">
        <v>3144</v>
      </c>
      <c r="E105" s="304"/>
      <c r="F105" s="304" t="s">
        <v>5459</v>
      </c>
      <c r="G105" s="1111">
        <v>11524</v>
      </c>
      <c r="H105" s="1110" t="s">
        <v>3130</v>
      </c>
      <c r="I105" s="304" t="s">
        <v>5460</v>
      </c>
      <c r="J105" s="304" t="s">
        <v>5461</v>
      </c>
    </row>
    <row r="106" spans="1:10" ht="25.5">
      <c r="A106" s="347">
        <v>130</v>
      </c>
      <c r="B106" s="304" t="s">
        <v>2630</v>
      </c>
      <c r="C106" s="304" t="s">
        <v>2631</v>
      </c>
      <c r="D106" s="304" t="s">
        <v>2632</v>
      </c>
      <c r="E106" s="304"/>
      <c r="F106" s="304" t="s">
        <v>2633</v>
      </c>
      <c r="G106" s="1111">
        <v>11690</v>
      </c>
      <c r="H106" s="1110" t="s">
        <v>3690</v>
      </c>
      <c r="I106" s="304" t="s">
        <v>5987</v>
      </c>
      <c r="J106" s="304" t="s">
        <v>5986</v>
      </c>
    </row>
    <row r="107" spans="1:10">
      <c r="A107" s="347">
        <v>131</v>
      </c>
      <c r="B107" s="304" t="s">
        <v>2634</v>
      </c>
      <c r="C107" s="304" t="s">
        <v>3858</v>
      </c>
      <c r="D107" s="304" t="s">
        <v>2878</v>
      </c>
      <c r="E107" s="304"/>
      <c r="F107" s="304" t="s">
        <v>3706</v>
      </c>
      <c r="G107" s="1111">
        <v>11686</v>
      </c>
      <c r="H107" s="1110" t="s">
        <v>4098</v>
      </c>
      <c r="I107" s="304" t="s">
        <v>6044</v>
      </c>
      <c r="J107" s="304" t="s">
        <v>2543</v>
      </c>
    </row>
    <row r="108" spans="1:10">
      <c r="A108" s="347">
        <v>132</v>
      </c>
      <c r="B108" s="304" t="s">
        <v>2544</v>
      </c>
      <c r="C108" s="304" t="s">
        <v>2545</v>
      </c>
      <c r="D108" s="304" t="s">
        <v>2546</v>
      </c>
      <c r="E108" s="304"/>
      <c r="F108" s="304" t="s">
        <v>2547</v>
      </c>
      <c r="I108" s="304" t="s">
        <v>5033</v>
      </c>
      <c r="J108" s="304" t="s">
        <v>5780</v>
      </c>
    </row>
    <row r="109" spans="1:10" ht="13.5" customHeight="1">
      <c r="A109" s="347">
        <v>133</v>
      </c>
      <c r="B109" s="304" t="s">
        <v>5781</v>
      </c>
      <c r="C109" s="304" t="s">
        <v>5782</v>
      </c>
      <c r="D109" s="304" t="s">
        <v>2820</v>
      </c>
      <c r="E109" s="304"/>
      <c r="F109" s="304" t="s">
        <v>2444</v>
      </c>
      <c r="G109" s="1111">
        <v>11696</v>
      </c>
      <c r="H109" s="1110" t="s">
        <v>566</v>
      </c>
      <c r="I109" s="304" t="s">
        <v>5264</v>
      </c>
      <c r="J109" s="304" t="s">
        <v>5265</v>
      </c>
    </row>
    <row r="110" spans="1:10" ht="25.5">
      <c r="A110" s="347">
        <v>134</v>
      </c>
      <c r="B110" s="304" t="s">
        <v>607</v>
      </c>
      <c r="C110" s="304" t="s">
        <v>1015</v>
      </c>
      <c r="D110" s="304" t="s">
        <v>3348</v>
      </c>
      <c r="E110" s="304"/>
      <c r="F110" s="304" t="s">
        <v>4689</v>
      </c>
      <c r="G110" s="1111">
        <v>210296</v>
      </c>
      <c r="H110" s="1110" t="s">
        <v>1808</v>
      </c>
      <c r="I110" s="304" t="s">
        <v>4690</v>
      </c>
      <c r="J110" s="304" t="s">
        <v>4691</v>
      </c>
    </row>
    <row r="111" spans="1:10">
      <c r="A111" s="347">
        <v>135</v>
      </c>
      <c r="B111" s="304" t="s">
        <v>4692</v>
      </c>
      <c r="C111" s="304" t="s">
        <v>5766</v>
      </c>
      <c r="D111" s="304" t="s">
        <v>5767</v>
      </c>
      <c r="E111" s="304"/>
      <c r="F111" s="304" t="s">
        <v>5045</v>
      </c>
      <c r="I111" s="304" t="s">
        <v>5046</v>
      </c>
      <c r="J111" s="304" t="s">
        <v>46</v>
      </c>
    </row>
    <row r="112" spans="1:10" ht="25.5">
      <c r="A112" s="347">
        <v>136</v>
      </c>
      <c r="B112" s="304" t="s">
        <v>4489</v>
      </c>
      <c r="C112" s="304" t="s">
        <v>706</v>
      </c>
      <c r="D112" s="304" t="s">
        <v>212</v>
      </c>
      <c r="E112" s="304"/>
      <c r="F112" s="304" t="s">
        <v>6085</v>
      </c>
      <c r="G112" s="1111">
        <v>11690</v>
      </c>
      <c r="H112" s="1110" t="s">
        <v>3690</v>
      </c>
      <c r="I112" s="304" t="s">
        <v>6086</v>
      </c>
      <c r="J112" s="304" t="s">
        <v>6087</v>
      </c>
    </row>
    <row r="113" spans="1:10">
      <c r="A113" s="347">
        <v>137</v>
      </c>
      <c r="B113" s="304" t="s">
        <v>932</v>
      </c>
      <c r="C113" s="304" t="s">
        <v>933</v>
      </c>
      <c r="D113" s="304"/>
      <c r="E113" s="304" t="s">
        <v>934</v>
      </c>
      <c r="F113" s="304" t="s">
        <v>935</v>
      </c>
      <c r="G113" s="1111">
        <v>11686</v>
      </c>
      <c r="H113" s="1110" t="s">
        <v>4098</v>
      </c>
      <c r="I113" s="304" t="s">
        <v>936</v>
      </c>
      <c r="J113" s="304" t="s">
        <v>5077</v>
      </c>
    </row>
    <row r="114" spans="1:10">
      <c r="A114" s="347">
        <v>138</v>
      </c>
      <c r="B114" s="304" t="s">
        <v>5078</v>
      </c>
      <c r="C114" s="304" t="s">
        <v>5079</v>
      </c>
      <c r="D114" s="304" t="s">
        <v>2872</v>
      </c>
      <c r="E114" s="304"/>
      <c r="F114" s="304" t="s">
        <v>2873</v>
      </c>
      <c r="G114" s="1111">
        <v>210522</v>
      </c>
      <c r="H114" s="1110" t="s">
        <v>5440</v>
      </c>
      <c r="I114" s="304" t="s">
        <v>5528</v>
      </c>
      <c r="J114" s="304" t="s">
        <v>5529</v>
      </c>
    </row>
    <row r="115" spans="1:10">
      <c r="A115" s="347">
        <v>139</v>
      </c>
      <c r="B115" s="304" t="s">
        <v>4746</v>
      </c>
      <c r="C115" s="304" t="s">
        <v>5530</v>
      </c>
      <c r="D115" s="304" t="s">
        <v>146</v>
      </c>
      <c r="E115" s="304"/>
      <c r="F115" s="304" t="s">
        <v>5876</v>
      </c>
      <c r="G115" s="1111">
        <v>11472</v>
      </c>
      <c r="H115" s="1110" t="s">
        <v>1484</v>
      </c>
      <c r="I115" s="304" t="s">
        <v>5877</v>
      </c>
      <c r="J115" s="304" t="s">
        <v>4101</v>
      </c>
    </row>
    <row r="116" spans="1:10" ht="25.5">
      <c r="A116" s="347">
        <v>140</v>
      </c>
      <c r="B116" s="304" t="s">
        <v>4102</v>
      </c>
      <c r="C116" s="304" t="s">
        <v>4103</v>
      </c>
      <c r="D116" s="304" t="s">
        <v>4282</v>
      </c>
      <c r="E116" s="304" t="s">
        <v>4283</v>
      </c>
      <c r="F116" s="304" t="s">
        <v>4284</v>
      </c>
      <c r="G116" s="1111">
        <v>11468</v>
      </c>
      <c r="H116" s="1110" t="s">
        <v>5610</v>
      </c>
      <c r="I116" s="304" t="s">
        <v>4285</v>
      </c>
      <c r="J116" s="304" t="s">
        <v>5436</v>
      </c>
    </row>
    <row r="117" spans="1:10">
      <c r="A117" s="347">
        <v>141</v>
      </c>
      <c r="B117" s="304" t="s">
        <v>705</v>
      </c>
      <c r="C117" s="304" t="s">
        <v>5059</v>
      </c>
      <c r="D117" s="304"/>
      <c r="E117" s="304" t="s">
        <v>5060</v>
      </c>
      <c r="F117" s="304" t="s">
        <v>2718</v>
      </c>
      <c r="G117" s="1111">
        <v>11602</v>
      </c>
      <c r="H117" s="1110" t="s">
        <v>6288</v>
      </c>
      <c r="I117" s="304" t="s">
        <v>2719</v>
      </c>
      <c r="J117" s="304" t="s">
        <v>2720</v>
      </c>
    </row>
    <row r="118" spans="1:10" ht="25.5">
      <c r="A118" s="347">
        <v>142</v>
      </c>
      <c r="B118" s="304" t="s">
        <v>2721</v>
      </c>
      <c r="C118" s="304" t="s">
        <v>2722</v>
      </c>
      <c r="D118" s="304" t="s">
        <v>2024</v>
      </c>
      <c r="E118" s="304" t="s">
        <v>2025</v>
      </c>
      <c r="F118" s="304" t="s">
        <v>4322</v>
      </c>
      <c r="I118" s="304" t="s">
        <v>4323</v>
      </c>
      <c r="J118" s="304" t="s">
        <v>3849</v>
      </c>
    </row>
    <row r="119" spans="1:10">
      <c r="A119" s="347">
        <v>143</v>
      </c>
      <c r="B119" s="304" t="s">
        <v>3850</v>
      </c>
      <c r="C119" s="304" t="s">
        <v>3576</v>
      </c>
      <c r="D119" s="304" t="s">
        <v>3370</v>
      </c>
      <c r="E119" s="304" t="s">
        <v>3562</v>
      </c>
      <c r="F119" s="304" t="s">
        <v>1739</v>
      </c>
      <c r="G119" s="1111">
        <v>11581</v>
      </c>
      <c r="H119" s="1110" t="s">
        <v>2816</v>
      </c>
    </row>
    <row r="120" spans="1:10">
      <c r="A120" s="347">
        <v>144</v>
      </c>
      <c r="B120" s="304" t="s">
        <v>2106</v>
      </c>
      <c r="C120" s="304" t="s">
        <v>2796</v>
      </c>
      <c r="D120" s="304" t="s">
        <v>2305</v>
      </c>
      <c r="E120" s="304" t="s">
        <v>2674</v>
      </c>
      <c r="F120" s="304" t="s">
        <v>969</v>
      </c>
      <c r="G120" s="1111">
        <v>209679</v>
      </c>
      <c r="H120" s="1110" t="s">
        <v>3100</v>
      </c>
      <c r="I120" s="304" t="s">
        <v>2797</v>
      </c>
      <c r="J120" s="304" t="s">
        <v>1297</v>
      </c>
    </row>
    <row r="121" spans="1:10">
      <c r="A121" s="347">
        <v>145</v>
      </c>
      <c r="B121" s="304" t="s">
        <v>1982</v>
      </c>
      <c r="C121" s="304" t="s">
        <v>1983</v>
      </c>
      <c r="D121" s="304" t="s">
        <v>1349</v>
      </c>
      <c r="E121" s="304"/>
      <c r="F121" s="304" t="s">
        <v>1784</v>
      </c>
      <c r="G121" s="1111">
        <v>11693</v>
      </c>
      <c r="H121" s="1110" t="s">
        <v>3036</v>
      </c>
      <c r="I121" s="304" t="s">
        <v>1785</v>
      </c>
      <c r="J121" s="304" t="s">
        <v>1786</v>
      </c>
    </row>
    <row r="122" spans="1:10">
      <c r="A122" s="347">
        <v>146</v>
      </c>
      <c r="B122" s="304" t="s">
        <v>4061</v>
      </c>
      <c r="C122" s="304" t="s">
        <v>3576</v>
      </c>
      <c r="D122" s="304"/>
      <c r="E122" s="304" t="s">
        <v>4062</v>
      </c>
      <c r="F122" s="304" t="s">
        <v>1222</v>
      </c>
      <c r="G122" s="1111">
        <v>210365</v>
      </c>
      <c r="H122" s="1110" t="s">
        <v>636</v>
      </c>
      <c r="I122" s="304" t="s">
        <v>4593</v>
      </c>
      <c r="J122" s="304" t="s">
        <v>41</v>
      </c>
    </row>
    <row r="123" spans="1:10">
      <c r="A123" s="347">
        <v>148</v>
      </c>
      <c r="B123" s="304" t="s">
        <v>42</v>
      </c>
      <c r="C123" s="304" t="s">
        <v>43</v>
      </c>
      <c r="D123" s="304" t="s">
        <v>3200</v>
      </c>
      <c r="E123" s="304" t="s">
        <v>1659</v>
      </c>
      <c r="F123" s="304" t="s">
        <v>1660</v>
      </c>
      <c r="G123" s="1111">
        <v>210365</v>
      </c>
      <c r="H123" s="1110" t="s">
        <v>636</v>
      </c>
      <c r="I123" s="304" t="s">
        <v>1661</v>
      </c>
      <c r="J123" s="304" t="s">
        <v>1662</v>
      </c>
    </row>
    <row r="124" spans="1:10">
      <c r="A124" s="347">
        <v>149</v>
      </c>
      <c r="B124" s="304" t="s">
        <v>1663</v>
      </c>
      <c r="C124" s="304" t="s">
        <v>1664</v>
      </c>
      <c r="D124" s="304" t="s">
        <v>2159</v>
      </c>
      <c r="E124" s="304"/>
      <c r="F124" s="304" t="s">
        <v>3794</v>
      </c>
      <c r="G124" s="1111">
        <v>11696</v>
      </c>
      <c r="H124" s="1110" t="s">
        <v>566</v>
      </c>
      <c r="I124" s="304" t="s">
        <v>3795</v>
      </c>
      <c r="J124" s="304" t="s">
        <v>3796</v>
      </c>
    </row>
    <row r="125" spans="1:10">
      <c r="A125" s="347">
        <v>150</v>
      </c>
      <c r="B125" s="304" t="s">
        <v>4679</v>
      </c>
      <c r="C125" s="304" t="s">
        <v>3179</v>
      </c>
      <c r="D125" s="304" t="s">
        <v>278</v>
      </c>
      <c r="E125" s="304" t="s">
        <v>279</v>
      </c>
      <c r="F125" s="304" t="s">
        <v>280</v>
      </c>
      <c r="G125" s="1111">
        <v>11468</v>
      </c>
      <c r="H125" s="1110" t="s">
        <v>5610</v>
      </c>
      <c r="I125" s="304" t="s">
        <v>3180</v>
      </c>
      <c r="J125" s="304" t="s">
        <v>6146</v>
      </c>
    </row>
    <row r="126" spans="1:10">
      <c r="A126" s="347">
        <v>151</v>
      </c>
      <c r="B126" s="304" t="s">
        <v>4816</v>
      </c>
      <c r="C126" s="304" t="s">
        <v>4817</v>
      </c>
      <c r="D126" s="304"/>
      <c r="E126" s="304" t="s">
        <v>4862</v>
      </c>
      <c r="F126" s="304" t="s">
        <v>4863</v>
      </c>
      <c r="G126" s="1111">
        <v>209679</v>
      </c>
      <c r="H126" s="1110" t="s">
        <v>3100</v>
      </c>
    </row>
    <row r="127" spans="1:10">
      <c r="A127" s="347">
        <v>152</v>
      </c>
      <c r="B127" s="304" t="s">
        <v>749</v>
      </c>
      <c r="C127" s="304" t="s">
        <v>750</v>
      </c>
      <c r="D127" s="304" t="s">
        <v>751</v>
      </c>
      <c r="E127" s="304"/>
      <c r="F127" s="304" t="s">
        <v>718</v>
      </c>
      <c r="G127" s="1111">
        <v>11602</v>
      </c>
      <c r="H127" s="1110" t="s">
        <v>6288</v>
      </c>
      <c r="I127" s="304" t="s">
        <v>3879</v>
      </c>
      <c r="J127" s="304" t="s">
        <v>1404</v>
      </c>
    </row>
    <row r="128" spans="1:10">
      <c r="A128" s="347">
        <v>153</v>
      </c>
      <c r="B128" s="304" t="s">
        <v>1405</v>
      </c>
      <c r="C128" s="304" t="s">
        <v>1406</v>
      </c>
      <c r="D128" s="304" t="s">
        <v>1407</v>
      </c>
      <c r="E128" s="304"/>
      <c r="F128" s="304" t="s">
        <v>1408</v>
      </c>
    </row>
    <row r="129" spans="1:10">
      <c r="A129" s="347">
        <v>154</v>
      </c>
      <c r="B129" s="304" t="s">
        <v>1409</v>
      </c>
      <c r="C129" s="304" t="s">
        <v>2340</v>
      </c>
      <c r="D129" s="304" t="s">
        <v>909</v>
      </c>
      <c r="E129" s="304"/>
      <c r="F129" s="304" t="s">
        <v>910</v>
      </c>
      <c r="G129" s="1111">
        <v>11602</v>
      </c>
      <c r="H129" s="1110" t="s">
        <v>6288</v>
      </c>
      <c r="I129" s="304" t="s">
        <v>2341</v>
      </c>
      <c r="J129" s="304" t="s">
        <v>2342</v>
      </c>
    </row>
    <row r="130" spans="1:10">
      <c r="A130" s="347">
        <v>155</v>
      </c>
      <c r="B130" s="304" t="s">
        <v>1410</v>
      </c>
      <c r="C130" s="304" t="s">
        <v>1273</v>
      </c>
      <c r="D130" s="304"/>
      <c r="E130" s="304" t="s">
        <v>1274</v>
      </c>
      <c r="F130" s="304" t="s">
        <v>1592</v>
      </c>
    </row>
    <row r="131" spans="1:10">
      <c r="A131" s="347">
        <v>156</v>
      </c>
      <c r="B131" s="304" t="s">
        <v>3277</v>
      </c>
      <c r="C131" s="304" t="s">
        <v>3278</v>
      </c>
      <c r="D131" s="304" t="s">
        <v>4601</v>
      </c>
      <c r="E131" s="304"/>
      <c r="F131" s="304" t="s">
        <v>4602</v>
      </c>
    </row>
    <row r="132" spans="1:10">
      <c r="A132" s="347">
        <v>157</v>
      </c>
      <c r="B132" s="304" t="s">
        <v>4603</v>
      </c>
      <c r="C132" s="304" t="s">
        <v>4350</v>
      </c>
      <c r="D132" s="304" t="s">
        <v>183</v>
      </c>
      <c r="E132" s="304"/>
      <c r="F132" s="304" t="s">
        <v>184</v>
      </c>
      <c r="G132" s="1111">
        <v>210769</v>
      </c>
      <c r="H132" s="1110" t="s">
        <v>1675</v>
      </c>
      <c r="I132" s="304" t="s">
        <v>185</v>
      </c>
      <c r="J132" s="304" t="s">
        <v>922</v>
      </c>
    </row>
    <row r="133" spans="1:10" ht="25.5">
      <c r="A133" s="347">
        <v>158</v>
      </c>
      <c r="B133" s="304" t="s">
        <v>3670</v>
      </c>
      <c r="C133" s="304" t="s">
        <v>3000</v>
      </c>
      <c r="D133" s="304"/>
      <c r="E133" s="304"/>
      <c r="F133" s="304" t="s">
        <v>5706</v>
      </c>
      <c r="G133" s="1111">
        <v>210366</v>
      </c>
      <c r="H133" s="1110" t="s">
        <v>5999</v>
      </c>
      <c r="I133" s="304" t="s">
        <v>5707</v>
      </c>
      <c r="J133" s="304" t="s">
        <v>5708</v>
      </c>
    </row>
    <row r="134" spans="1:10">
      <c r="A134" s="347">
        <v>159</v>
      </c>
      <c r="B134" s="304" t="s">
        <v>5410</v>
      </c>
      <c r="C134" s="304" t="s">
        <v>5411</v>
      </c>
      <c r="D134" s="304" t="s">
        <v>1673</v>
      </c>
      <c r="E134" s="304"/>
      <c r="F134" s="304" t="s">
        <v>1674</v>
      </c>
      <c r="G134" s="1111">
        <v>11602</v>
      </c>
      <c r="H134" s="1110" t="s">
        <v>6288</v>
      </c>
      <c r="I134" s="304" t="s">
        <v>4612</v>
      </c>
      <c r="J134" s="304" t="s">
        <v>4613</v>
      </c>
    </row>
    <row r="135" spans="1:10">
      <c r="A135" s="347">
        <v>160</v>
      </c>
      <c r="B135" s="304" t="s">
        <v>4614</v>
      </c>
      <c r="C135" s="304" t="s">
        <v>5916</v>
      </c>
      <c r="D135" s="304"/>
      <c r="E135" s="304" t="s">
        <v>1817</v>
      </c>
      <c r="F135" s="304" t="s">
        <v>1818</v>
      </c>
      <c r="G135" s="1111">
        <v>210365</v>
      </c>
      <c r="H135" s="1110" t="s">
        <v>636</v>
      </c>
    </row>
    <row r="136" spans="1:10">
      <c r="A136" s="347">
        <v>161</v>
      </c>
      <c r="B136" s="304" t="s">
        <v>2723</v>
      </c>
      <c r="C136" s="304" t="s">
        <v>2724</v>
      </c>
      <c r="D136" s="304"/>
      <c r="E136" s="304" t="s">
        <v>2725</v>
      </c>
      <c r="F136" s="304" t="s">
        <v>6077</v>
      </c>
      <c r="G136" s="1111">
        <v>210522</v>
      </c>
      <c r="H136" s="1110" t="s">
        <v>5440</v>
      </c>
      <c r="I136" s="304" t="s">
        <v>5694</v>
      </c>
      <c r="J136" s="304" t="s">
        <v>5695</v>
      </c>
    </row>
    <row r="137" spans="1:10" ht="25.5">
      <c r="A137" s="347">
        <v>162</v>
      </c>
      <c r="B137" s="304" t="s">
        <v>2390</v>
      </c>
      <c r="C137" s="304" t="s">
        <v>2391</v>
      </c>
      <c r="D137" s="304" t="s">
        <v>5826</v>
      </c>
      <c r="E137" s="304"/>
      <c r="F137" s="304" t="s">
        <v>5827</v>
      </c>
      <c r="G137" s="1111">
        <v>11602</v>
      </c>
      <c r="H137" s="1110" t="s">
        <v>6288</v>
      </c>
      <c r="I137" s="304" t="s">
        <v>2372</v>
      </c>
      <c r="J137" s="304" t="s">
        <v>2373</v>
      </c>
    </row>
    <row r="138" spans="1:10">
      <c r="A138" s="347">
        <v>163</v>
      </c>
      <c r="B138" s="304" t="s">
        <v>6017</v>
      </c>
      <c r="C138" s="304" t="s">
        <v>6018</v>
      </c>
      <c r="D138" s="304" t="s">
        <v>1376</v>
      </c>
      <c r="E138" s="304" t="s">
        <v>1377</v>
      </c>
      <c r="F138" s="304" t="s">
        <v>559</v>
      </c>
      <c r="G138" s="1111">
        <v>11686</v>
      </c>
      <c r="H138" s="1110" t="s">
        <v>4098</v>
      </c>
      <c r="I138" s="304" t="s">
        <v>3244</v>
      </c>
      <c r="J138" s="304" t="s">
        <v>6139</v>
      </c>
    </row>
    <row r="139" spans="1:10">
      <c r="A139" s="347">
        <v>164</v>
      </c>
      <c r="B139" s="304" t="s">
        <v>6140</v>
      </c>
      <c r="C139" s="304" t="s">
        <v>3576</v>
      </c>
      <c r="D139" s="304" t="s">
        <v>6141</v>
      </c>
      <c r="E139" s="304"/>
      <c r="F139" s="304" t="s">
        <v>3055</v>
      </c>
      <c r="G139" s="1111">
        <v>11581</v>
      </c>
      <c r="H139" s="1110" t="s">
        <v>2816</v>
      </c>
    </row>
    <row r="140" spans="1:10">
      <c r="A140" s="347">
        <v>165</v>
      </c>
      <c r="B140" s="304" t="s">
        <v>2767</v>
      </c>
      <c r="C140" s="304" t="s">
        <v>2768</v>
      </c>
      <c r="D140" s="304" t="s">
        <v>2769</v>
      </c>
      <c r="E140" s="304"/>
      <c r="F140" s="304" t="s">
        <v>3929</v>
      </c>
      <c r="G140" s="1111">
        <v>209797</v>
      </c>
      <c r="H140" s="1110" t="s">
        <v>2563</v>
      </c>
      <c r="I140" s="304" t="s">
        <v>3930</v>
      </c>
      <c r="J140" s="304" t="s">
        <v>3931</v>
      </c>
    </row>
    <row r="141" spans="1:10">
      <c r="A141" s="347">
        <v>166</v>
      </c>
      <c r="B141" s="304" t="s">
        <v>4744</v>
      </c>
      <c r="C141" s="304" t="s">
        <v>3576</v>
      </c>
      <c r="D141" s="304" t="s">
        <v>5050</v>
      </c>
      <c r="E141" s="304"/>
      <c r="F141" s="304" t="s">
        <v>2693</v>
      </c>
      <c r="G141" s="1111">
        <v>11696</v>
      </c>
      <c r="H141" s="1110" t="s">
        <v>566</v>
      </c>
      <c r="I141" s="304" t="s">
        <v>1424</v>
      </c>
      <c r="J141" s="304" t="s">
        <v>5505</v>
      </c>
    </row>
    <row r="142" spans="1:10">
      <c r="A142" s="347">
        <v>167</v>
      </c>
      <c r="B142" s="304" t="s">
        <v>3543</v>
      </c>
      <c r="C142" s="304" t="s">
        <v>3576</v>
      </c>
      <c r="D142" s="304" t="s">
        <v>3286</v>
      </c>
      <c r="E142" s="304"/>
      <c r="F142" s="304" t="s">
        <v>3167</v>
      </c>
      <c r="G142" s="1111">
        <v>210296</v>
      </c>
      <c r="H142" s="1110" t="s">
        <v>1808</v>
      </c>
    </row>
    <row r="143" spans="1:10" ht="25.5">
      <c r="A143" s="347">
        <v>168</v>
      </c>
      <c r="B143" s="304" t="s">
        <v>3168</v>
      </c>
      <c r="C143" s="304" t="s">
        <v>3169</v>
      </c>
      <c r="D143" s="304" t="s">
        <v>3170</v>
      </c>
      <c r="E143" s="304" t="s">
        <v>3171</v>
      </c>
      <c r="F143" s="304" t="s">
        <v>3172</v>
      </c>
      <c r="G143" s="1111">
        <v>210365</v>
      </c>
      <c r="H143" s="1110" t="s">
        <v>636</v>
      </c>
      <c r="I143" s="304" t="s">
        <v>3173</v>
      </c>
      <c r="J143" s="304" t="s">
        <v>1091</v>
      </c>
    </row>
    <row r="144" spans="1:10">
      <c r="A144" s="347">
        <v>169</v>
      </c>
      <c r="B144" s="304" t="s">
        <v>5861</v>
      </c>
      <c r="C144" s="304" t="s">
        <v>5862</v>
      </c>
      <c r="D144" s="304" t="s">
        <v>5154</v>
      </c>
      <c r="E144" s="304"/>
      <c r="F144" s="304" t="s">
        <v>2595</v>
      </c>
      <c r="G144" s="1111">
        <v>209679</v>
      </c>
      <c r="H144" s="1110" t="s">
        <v>3100</v>
      </c>
      <c r="I144" s="304" t="s">
        <v>2596</v>
      </c>
      <c r="J144" s="304" t="s">
        <v>2597</v>
      </c>
    </row>
    <row r="145" spans="1:10" ht="25.5">
      <c r="A145" s="347">
        <v>170</v>
      </c>
      <c r="B145" s="304" t="s">
        <v>3123</v>
      </c>
      <c r="C145" s="304" t="s">
        <v>4810</v>
      </c>
      <c r="D145" s="304" t="s">
        <v>4811</v>
      </c>
      <c r="E145" s="304"/>
      <c r="F145" s="304" t="s">
        <v>4812</v>
      </c>
      <c r="G145" s="1111">
        <v>11687</v>
      </c>
      <c r="H145" s="1110" t="s">
        <v>4426</v>
      </c>
    </row>
    <row r="146" spans="1:10" ht="25.5">
      <c r="A146" s="347">
        <v>171</v>
      </c>
      <c r="B146" s="304" t="s">
        <v>4080</v>
      </c>
      <c r="C146" s="304" t="s">
        <v>4081</v>
      </c>
      <c r="D146" s="304" t="s">
        <v>5266</v>
      </c>
      <c r="E146" s="304"/>
      <c r="F146" s="304" t="s">
        <v>3026</v>
      </c>
      <c r="G146" s="1111">
        <v>11687</v>
      </c>
      <c r="H146" s="1110" t="s">
        <v>4426</v>
      </c>
    </row>
    <row r="147" spans="1:10">
      <c r="A147" s="347">
        <v>172</v>
      </c>
      <c r="B147" s="304" t="s">
        <v>3027</v>
      </c>
      <c r="C147" s="304" t="s">
        <v>3028</v>
      </c>
      <c r="D147" s="304" t="s">
        <v>3029</v>
      </c>
      <c r="E147" s="304"/>
      <c r="F147" s="304" t="s">
        <v>4014</v>
      </c>
      <c r="G147" s="1111">
        <v>11602</v>
      </c>
      <c r="H147" s="1110" t="s">
        <v>6288</v>
      </c>
      <c r="I147" s="304" t="s">
        <v>4015</v>
      </c>
      <c r="J147" s="304" t="s">
        <v>4016</v>
      </c>
    </row>
    <row r="148" spans="1:10">
      <c r="A148" s="347">
        <v>173</v>
      </c>
      <c r="B148" s="304" t="s">
        <v>4746</v>
      </c>
      <c r="C148" s="304" t="s">
        <v>4017</v>
      </c>
      <c r="D148" s="304" t="s">
        <v>2639</v>
      </c>
      <c r="E148" s="304"/>
      <c r="F148" s="304" t="s">
        <v>2640</v>
      </c>
      <c r="G148" s="1111">
        <v>11472</v>
      </c>
      <c r="H148" s="1110" t="s">
        <v>1484</v>
      </c>
      <c r="I148" s="304" t="s">
        <v>1424</v>
      </c>
      <c r="J148" s="304" t="s">
        <v>5505</v>
      </c>
    </row>
    <row r="149" spans="1:10">
      <c r="A149" s="347">
        <v>174</v>
      </c>
      <c r="B149" s="304" t="s">
        <v>5914</v>
      </c>
      <c r="C149" s="304" t="s">
        <v>3576</v>
      </c>
      <c r="D149" s="304" t="s">
        <v>5915</v>
      </c>
      <c r="E149" s="304"/>
      <c r="F149" s="304" t="s">
        <v>6345</v>
      </c>
    </row>
    <row r="150" spans="1:10">
      <c r="A150" s="347">
        <v>175</v>
      </c>
      <c r="B150" s="304" t="s">
        <v>6346</v>
      </c>
      <c r="C150" s="304" t="s">
        <v>6347</v>
      </c>
      <c r="D150" s="304" t="s">
        <v>3854</v>
      </c>
      <c r="E150" s="304" t="s">
        <v>3855</v>
      </c>
      <c r="F150" s="304" t="s">
        <v>5104</v>
      </c>
      <c r="G150" s="1111">
        <v>11686</v>
      </c>
      <c r="H150" s="1110" t="s">
        <v>4098</v>
      </c>
      <c r="I150" s="304" t="s">
        <v>1978</v>
      </c>
      <c r="J150" s="304" t="s">
        <v>4087</v>
      </c>
    </row>
    <row r="151" spans="1:10" ht="25.5">
      <c r="A151" s="347">
        <v>176</v>
      </c>
      <c r="B151" s="304" t="s">
        <v>303</v>
      </c>
      <c r="C151" s="304" t="s">
        <v>4375</v>
      </c>
      <c r="D151" s="304" t="s">
        <v>2192</v>
      </c>
      <c r="E151" s="304"/>
      <c r="F151" s="304" t="s">
        <v>4867</v>
      </c>
      <c r="I151" s="304" t="s">
        <v>4868</v>
      </c>
      <c r="J151" s="304" t="s">
        <v>4869</v>
      </c>
    </row>
    <row r="152" spans="1:10">
      <c r="A152" s="347">
        <v>177</v>
      </c>
      <c r="B152" s="304" t="s">
        <v>4870</v>
      </c>
      <c r="C152" s="304" t="s">
        <v>4177</v>
      </c>
      <c r="D152" s="304" t="s">
        <v>4871</v>
      </c>
      <c r="E152" s="304" t="s">
        <v>4872</v>
      </c>
      <c r="F152" s="304" t="s">
        <v>3448</v>
      </c>
      <c r="G152" s="1111">
        <v>209797</v>
      </c>
      <c r="H152" s="1110" t="s">
        <v>2563</v>
      </c>
      <c r="I152" s="304" t="s">
        <v>5066</v>
      </c>
      <c r="J152" s="304" t="s">
        <v>5200</v>
      </c>
    </row>
    <row r="153" spans="1:10" ht="25.5">
      <c r="A153" s="347">
        <v>178</v>
      </c>
      <c r="B153" s="304" t="s">
        <v>2396</v>
      </c>
      <c r="C153" s="304" t="s">
        <v>4711</v>
      </c>
      <c r="D153" s="304" t="s">
        <v>4712</v>
      </c>
      <c r="E153" s="304"/>
      <c r="F153" s="304" t="s">
        <v>5197</v>
      </c>
      <c r="I153" s="304" t="s">
        <v>5198</v>
      </c>
      <c r="J153" s="304" t="s">
        <v>5199</v>
      </c>
    </row>
    <row r="154" spans="1:10">
      <c r="A154" s="347">
        <v>179</v>
      </c>
      <c r="B154" s="304" t="s">
        <v>465</v>
      </c>
      <c r="C154" s="304" t="s">
        <v>4523</v>
      </c>
      <c r="D154" s="304" t="s">
        <v>721</v>
      </c>
      <c r="E154" s="304" t="s">
        <v>1173</v>
      </c>
      <c r="F154" s="304" t="s">
        <v>5306</v>
      </c>
      <c r="G154" s="1111">
        <v>210769</v>
      </c>
      <c r="H154" s="1110" t="s">
        <v>1675</v>
      </c>
      <c r="I154" s="304" t="s">
        <v>5307</v>
      </c>
      <c r="J154" s="304" t="s">
        <v>5308</v>
      </c>
    </row>
    <row r="155" spans="1:10" ht="13.5" customHeight="1">
      <c r="A155" s="347">
        <v>180</v>
      </c>
      <c r="B155" s="304" t="s">
        <v>4515</v>
      </c>
      <c r="C155" s="304" t="s">
        <v>3576</v>
      </c>
      <c r="D155" s="304" t="s">
        <v>4516</v>
      </c>
      <c r="E155" s="304"/>
      <c r="F155" s="304" t="s">
        <v>1517</v>
      </c>
      <c r="G155" s="1111">
        <v>11690</v>
      </c>
      <c r="H155" s="1110" t="s">
        <v>3690</v>
      </c>
      <c r="I155" s="304" t="s">
        <v>1518</v>
      </c>
      <c r="J155" s="304" t="s">
        <v>1519</v>
      </c>
    </row>
    <row r="156" spans="1:10">
      <c r="A156" s="347">
        <v>181</v>
      </c>
      <c r="B156" s="304" t="s">
        <v>3360</v>
      </c>
      <c r="C156" s="304" t="s">
        <v>3576</v>
      </c>
      <c r="D156" s="304" t="s">
        <v>5421</v>
      </c>
      <c r="E156" s="304"/>
      <c r="F156" s="304" t="s">
        <v>5796</v>
      </c>
      <c r="G156" s="1111">
        <v>11581</v>
      </c>
      <c r="H156" s="1110" t="s">
        <v>2816</v>
      </c>
    </row>
    <row r="157" spans="1:10">
      <c r="A157" s="347">
        <v>182</v>
      </c>
      <c r="B157" s="304" t="s">
        <v>3908</v>
      </c>
      <c r="C157" s="304" t="s">
        <v>6078</v>
      </c>
      <c r="D157" s="304" t="s">
        <v>4732</v>
      </c>
      <c r="E157" s="304"/>
      <c r="F157" s="304" t="s">
        <v>4733</v>
      </c>
    </row>
    <row r="158" spans="1:10">
      <c r="A158" s="347">
        <v>183</v>
      </c>
      <c r="B158" s="304" t="s">
        <v>4734</v>
      </c>
      <c r="C158" s="304" t="s">
        <v>2060</v>
      </c>
      <c r="D158" s="304" t="s">
        <v>2061</v>
      </c>
      <c r="E158" s="304"/>
      <c r="F158" s="304" t="s">
        <v>6247</v>
      </c>
      <c r="G158" s="1111">
        <v>11506</v>
      </c>
      <c r="H158" s="1110" t="s">
        <v>6248</v>
      </c>
    </row>
    <row r="159" spans="1:10">
      <c r="A159" s="347">
        <v>184</v>
      </c>
      <c r="B159" s="304" t="s">
        <v>5521</v>
      </c>
      <c r="C159" s="304" t="s">
        <v>941</v>
      </c>
      <c r="D159" s="304" t="s">
        <v>942</v>
      </c>
      <c r="E159" s="304"/>
      <c r="F159" s="304" t="s">
        <v>2757</v>
      </c>
      <c r="G159" s="1111">
        <v>11690</v>
      </c>
      <c r="H159" s="1110" t="s">
        <v>3690</v>
      </c>
      <c r="I159" s="304" t="s">
        <v>1890</v>
      </c>
      <c r="J159" s="304" t="s">
        <v>1891</v>
      </c>
    </row>
    <row r="160" spans="1:10" ht="38.25">
      <c r="A160" s="347">
        <v>185</v>
      </c>
      <c r="B160" s="304" t="s">
        <v>4679</v>
      </c>
      <c r="C160" s="304" t="s">
        <v>1892</v>
      </c>
      <c r="D160" s="304" t="s">
        <v>1893</v>
      </c>
      <c r="E160" s="304"/>
      <c r="F160" s="304" t="s">
        <v>2997</v>
      </c>
      <c r="G160" s="1111">
        <v>11468</v>
      </c>
      <c r="H160" s="1110" t="s">
        <v>5610</v>
      </c>
      <c r="I160" s="304" t="s">
        <v>2998</v>
      </c>
      <c r="J160" s="304" t="s">
        <v>2999</v>
      </c>
    </row>
    <row r="161" spans="1:10">
      <c r="A161" s="347">
        <v>186</v>
      </c>
      <c r="B161" s="304" t="s">
        <v>906</v>
      </c>
      <c r="C161" s="304" t="s">
        <v>907</v>
      </c>
      <c r="D161" s="304" t="s">
        <v>3916</v>
      </c>
      <c r="E161" s="304"/>
      <c r="F161" s="304" t="s">
        <v>5197</v>
      </c>
    </row>
    <row r="162" spans="1:10">
      <c r="A162" s="347">
        <v>187</v>
      </c>
      <c r="B162" s="304" t="s">
        <v>5925</v>
      </c>
      <c r="C162" s="304" t="s">
        <v>5926</v>
      </c>
      <c r="D162" s="304" t="s">
        <v>4717</v>
      </c>
      <c r="E162" s="304"/>
      <c r="F162" s="304" t="s">
        <v>1954</v>
      </c>
      <c r="I162" s="304" t="s">
        <v>1955</v>
      </c>
      <c r="J162" s="304" t="s">
        <v>1956</v>
      </c>
    </row>
    <row r="163" spans="1:10">
      <c r="A163" s="347">
        <v>188</v>
      </c>
      <c r="B163" s="304" t="s">
        <v>1526</v>
      </c>
      <c r="C163" s="304" t="s">
        <v>1480</v>
      </c>
      <c r="D163" s="304" t="s">
        <v>1992</v>
      </c>
      <c r="E163" s="304"/>
      <c r="F163" s="304" t="s">
        <v>1993</v>
      </c>
      <c r="G163" s="1111">
        <v>11690</v>
      </c>
      <c r="H163" s="1110" t="s">
        <v>3384</v>
      </c>
      <c r="I163" s="304" t="s">
        <v>1994</v>
      </c>
      <c r="J163" s="304" t="s">
        <v>1995</v>
      </c>
    </row>
    <row r="164" spans="1:10">
      <c r="A164" s="347">
        <v>189</v>
      </c>
      <c r="B164" s="304" t="s">
        <v>1209</v>
      </c>
      <c r="C164" s="304" t="s">
        <v>1210</v>
      </c>
      <c r="D164" s="304" t="s">
        <v>1211</v>
      </c>
      <c r="E164" s="304" t="s">
        <v>1212</v>
      </c>
      <c r="F164" s="304" t="s">
        <v>374</v>
      </c>
      <c r="G164" s="1111">
        <v>210296</v>
      </c>
      <c r="H164" s="1110" t="s">
        <v>1808</v>
      </c>
      <c r="I164" s="304" t="s">
        <v>375</v>
      </c>
      <c r="J164" s="304" t="s">
        <v>376</v>
      </c>
    </row>
    <row r="165" spans="1:10">
      <c r="A165" s="347">
        <v>190</v>
      </c>
      <c r="B165" s="304" t="s">
        <v>1119</v>
      </c>
      <c r="C165" s="304" t="s">
        <v>5286</v>
      </c>
      <c r="D165" s="304" t="s">
        <v>2367</v>
      </c>
      <c r="E165" s="304"/>
      <c r="F165" s="304" t="s">
        <v>2368</v>
      </c>
      <c r="G165" s="1111">
        <v>210365</v>
      </c>
      <c r="H165" s="1110" t="s">
        <v>636</v>
      </c>
      <c r="I165" s="304" t="s">
        <v>3479</v>
      </c>
      <c r="J165" s="304" t="s">
        <v>542</v>
      </c>
    </row>
    <row r="166" spans="1:10">
      <c r="A166" s="347">
        <v>191</v>
      </c>
      <c r="B166" s="304" t="s">
        <v>2369</v>
      </c>
      <c r="C166" s="304" t="s">
        <v>6358</v>
      </c>
      <c r="D166" s="304" t="s">
        <v>2370</v>
      </c>
      <c r="E166" s="304"/>
      <c r="F166" s="304" t="s">
        <v>2371</v>
      </c>
      <c r="G166" s="1111">
        <v>11693</v>
      </c>
      <c r="H166" s="1110" t="s">
        <v>3036</v>
      </c>
      <c r="I166" s="304" t="s">
        <v>6359</v>
      </c>
      <c r="J166" s="304" t="s">
        <v>6360</v>
      </c>
    </row>
    <row r="167" spans="1:10" ht="25.5">
      <c r="A167" s="347">
        <v>192</v>
      </c>
      <c r="B167" s="304" t="s">
        <v>2279</v>
      </c>
      <c r="C167" s="304" t="s">
        <v>3576</v>
      </c>
      <c r="D167" s="304" t="s">
        <v>4536</v>
      </c>
      <c r="E167" s="304"/>
      <c r="F167" s="304" t="s">
        <v>4537</v>
      </c>
      <c r="G167" s="1111">
        <v>11691</v>
      </c>
      <c r="H167" s="1110" t="s">
        <v>1133</v>
      </c>
    </row>
    <row r="168" spans="1:10">
      <c r="A168" s="347">
        <v>193</v>
      </c>
      <c r="B168" s="304" t="s">
        <v>4718</v>
      </c>
      <c r="C168" s="304" t="s">
        <v>4719</v>
      </c>
      <c r="D168" s="304" t="s">
        <v>4720</v>
      </c>
      <c r="E168" s="304"/>
      <c r="F168" s="304" t="s">
        <v>5344</v>
      </c>
    </row>
    <row r="169" spans="1:10">
      <c r="A169" s="347">
        <v>194</v>
      </c>
      <c r="B169" s="304" t="s">
        <v>5345</v>
      </c>
      <c r="C169" s="304" t="s">
        <v>3576</v>
      </c>
      <c r="D169" s="304" t="s">
        <v>5346</v>
      </c>
      <c r="E169" s="304"/>
      <c r="F169" s="304" t="s">
        <v>5104</v>
      </c>
      <c r="G169" s="1111">
        <v>11581</v>
      </c>
      <c r="H169" s="1110" t="s">
        <v>2816</v>
      </c>
    </row>
    <row r="170" spans="1:10" ht="25.5">
      <c r="A170" s="347">
        <v>195</v>
      </c>
      <c r="B170" s="304" t="s">
        <v>5347</v>
      </c>
      <c r="C170" s="304" t="s">
        <v>2937</v>
      </c>
      <c r="D170" s="304" t="s">
        <v>5348</v>
      </c>
      <c r="E170" s="304" t="s">
        <v>5349</v>
      </c>
      <c r="F170" s="304" t="s">
        <v>3692</v>
      </c>
      <c r="G170" s="1111">
        <v>210296</v>
      </c>
      <c r="H170" s="1110" t="s">
        <v>1808</v>
      </c>
      <c r="I170" s="304" t="s">
        <v>5350</v>
      </c>
      <c r="J170" s="304" t="s">
        <v>5351</v>
      </c>
    </row>
    <row r="171" spans="1:10" ht="25.5">
      <c r="A171" s="347">
        <v>196</v>
      </c>
      <c r="B171" s="304" t="s">
        <v>4741</v>
      </c>
      <c r="C171" s="304" t="s">
        <v>5352</v>
      </c>
      <c r="D171" s="304" t="s">
        <v>4577</v>
      </c>
      <c r="E171" s="304"/>
      <c r="F171" s="304" t="s">
        <v>6179</v>
      </c>
      <c r="G171" s="1111">
        <v>11472</v>
      </c>
      <c r="H171" s="1110" t="s">
        <v>1484</v>
      </c>
    </row>
    <row r="172" spans="1:10" ht="13.5" customHeight="1">
      <c r="A172" s="347">
        <v>197</v>
      </c>
      <c r="B172" s="304" t="s">
        <v>6180</v>
      </c>
      <c r="C172" s="304" t="s">
        <v>6181</v>
      </c>
      <c r="D172" s="304" t="s">
        <v>6182</v>
      </c>
      <c r="E172" s="304" t="s">
        <v>4440</v>
      </c>
      <c r="F172" s="304" t="s">
        <v>4043</v>
      </c>
      <c r="G172" s="1111">
        <v>11690</v>
      </c>
      <c r="H172" s="1110" t="s">
        <v>3690</v>
      </c>
    </row>
    <row r="173" spans="1:10">
      <c r="A173" s="347">
        <v>198</v>
      </c>
      <c r="B173" s="304" t="s">
        <v>4044</v>
      </c>
      <c r="C173" s="304" t="s">
        <v>5118</v>
      </c>
      <c r="D173" s="304" t="s">
        <v>4047</v>
      </c>
      <c r="E173" s="304"/>
      <c r="F173" s="304" t="s">
        <v>4048</v>
      </c>
    </row>
    <row r="174" spans="1:10">
      <c r="A174" s="347">
        <v>199</v>
      </c>
      <c r="B174" s="304" t="s">
        <v>4049</v>
      </c>
      <c r="C174" s="304" t="s">
        <v>3576</v>
      </c>
      <c r="D174" s="304" t="s">
        <v>549</v>
      </c>
      <c r="E174" s="304"/>
      <c r="F174" s="304" t="s">
        <v>495</v>
      </c>
      <c r="G174" s="1111">
        <v>11693</v>
      </c>
      <c r="H174" s="1110" t="s">
        <v>3036</v>
      </c>
      <c r="I174" s="304" t="s">
        <v>2259</v>
      </c>
      <c r="J174" s="304" t="s">
        <v>2260</v>
      </c>
    </row>
    <row r="175" spans="1:10">
      <c r="A175" s="347">
        <v>200</v>
      </c>
      <c r="B175" s="304" t="s">
        <v>5579</v>
      </c>
      <c r="C175" s="304" t="s">
        <v>5580</v>
      </c>
      <c r="D175" s="304" t="s">
        <v>5581</v>
      </c>
      <c r="E175" s="304"/>
      <c r="F175" s="304" t="s">
        <v>5582</v>
      </c>
      <c r="I175" s="304" t="s">
        <v>5583</v>
      </c>
      <c r="J175" s="304" t="s">
        <v>3572</v>
      </c>
    </row>
    <row r="176" spans="1:10">
      <c r="A176" s="347">
        <v>201</v>
      </c>
      <c r="B176" s="304" t="s">
        <v>3075</v>
      </c>
      <c r="C176" s="304" t="s">
        <v>3076</v>
      </c>
      <c r="D176" s="304" t="s">
        <v>3077</v>
      </c>
      <c r="E176" s="304"/>
      <c r="F176" s="304" t="s">
        <v>3078</v>
      </c>
      <c r="G176" s="1111">
        <v>11686</v>
      </c>
      <c r="H176" s="1110" t="s">
        <v>4098</v>
      </c>
    </row>
    <row r="177" spans="1:10">
      <c r="A177" s="347">
        <v>202</v>
      </c>
      <c r="B177" s="304" t="s">
        <v>3079</v>
      </c>
      <c r="C177" s="304" t="s">
        <v>3080</v>
      </c>
      <c r="D177" s="304" t="s">
        <v>3081</v>
      </c>
      <c r="E177" s="304" t="s">
        <v>3082</v>
      </c>
      <c r="F177" s="304" t="s">
        <v>4849</v>
      </c>
      <c r="I177" s="304" t="s">
        <v>5170</v>
      </c>
      <c r="J177" s="304" t="s">
        <v>5171</v>
      </c>
    </row>
    <row r="178" spans="1:10">
      <c r="A178" s="347">
        <v>203</v>
      </c>
      <c r="B178" s="304" t="s">
        <v>2378</v>
      </c>
      <c r="C178" s="304" t="s">
        <v>2916</v>
      </c>
      <c r="D178" s="304"/>
      <c r="E178" s="304" t="s">
        <v>2379</v>
      </c>
      <c r="F178" s="304" t="s">
        <v>1524</v>
      </c>
      <c r="G178" s="1111">
        <v>11581</v>
      </c>
      <c r="H178" s="1110" t="s">
        <v>4461</v>
      </c>
      <c r="I178" s="304" t="s">
        <v>2917</v>
      </c>
      <c r="J178" s="304" t="s">
        <v>2918</v>
      </c>
    </row>
    <row r="179" spans="1:10">
      <c r="A179" s="347">
        <v>204</v>
      </c>
      <c r="B179" s="304" t="s">
        <v>1827</v>
      </c>
      <c r="C179" s="304" t="s">
        <v>3576</v>
      </c>
      <c r="D179" s="304" t="s">
        <v>1828</v>
      </c>
      <c r="E179" s="304"/>
      <c r="F179" s="304" t="s">
        <v>147</v>
      </c>
      <c r="G179" s="1111">
        <v>11581</v>
      </c>
      <c r="H179" s="1110" t="s">
        <v>2816</v>
      </c>
    </row>
    <row r="180" spans="1:10">
      <c r="A180" s="347">
        <v>205</v>
      </c>
      <c r="B180" s="304" t="s">
        <v>4742</v>
      </c>
      <c r="C180" s="304" t="s">
        <v>4017</v>
      </c>
      <c r="D180" s="304" t="s">
        <v>703</v>
      </c>
      <c r="E180" s="304"/>
      <c r="F180" s="304" t="s">
        <v>3828</v>
      </c>
      <c r="G180" s="1111">
        <v>209866</v>
      </c>
      <c r="H180" s="1110" t="s">
        <v>5723</v>
      </c>
    </row>
    <row r="181" spans="1:10">
      <c r="A181" s="347">
        <v>206</v>
      </c>
      <c r="B181" s="304" t="s">
        <v>5724</v>
      </c>
      <c r="C181" s="304" t="s">
        <v>5725</v>
      </c>
      <c r="D181" s="304" t="s">
        <v>5726</v>
      </c>
      <c r="E181" s="304"/>
      <c r="F181" s="304" t="s">
        <v>808</v>
      </c>
      <c r="G181" s="1111">
        <v>11690</v>
      </c>
      <c r="H181" s="1110" t="s">
        <v>3690</v>
      </c>
      <c r="I181" s="304" t="s">
        <v>809</v>
      </c>
      <c r="J181" s="304" t="s">
        <v>4901</v>
      </c>
    </row>
    <row r="182" spans="1:10" ht="25.5">
      <c r="A182" s="347">
        <v>207</v>
      </c>
      <c r="B182" s="304" t="s">
        <v>5255</v>
      </c>
      <c r="C182" s="304" t="s">
        <v>3576</v>
      </c>
      <c r="D182" s="304" t="s">
        <v>5256</v>
      </c>
      <c r="E182" s="304"/>
      <c r="F182" s="304" t="s">
        <v>4914</v>
      </c>
    </row>
    <row r="183" spans="1:10">
      <c r="A183" s="347">
        <v>209</v>
      </c>
      <c r="B183" s="304" t="s">
        <v>1687</v>
      </c>
      <c r="C183" s="304" t="s">
        <v>4171</v>
      </c>
      <c r="D183" s="304" t="s">
        <v>4374</v>
      </c>
      <c r="E183" s="304"/>
      <c r="F183" s="304" t="s">
        <v>837</v>
      </c>
      <c r="G183" s="1111">
        <v>11581</v>
      </c>
      <c r="H183" s="1110" t="s">
        <v>2816</v>
      </c>
      <c r="I183" s="304" t="s">
        <v>1940</v>
      </c>
      <c r="J183" s="304" t="s">
        <v>1941</v>
      </c>
    </row>
    <row r="184" spans="1:10">
      <c r="A184" s="347">
        <v>210</v>
      </c>
      <c r="B184" s="304" t="s">
        <v>838</v>
      </c>
      <c r="C184" s="304" t="s">
        <v>839</v>
      </c>
      <c r="D184" s="304" t="s">
        <v>840</v>
      </c>
      <c r="E184" s="304"/>
      <c r="F184" s="304" t="s">
        <v>841</v>
      </c>
      <c r="G184" s="1111">
        <v>11686</v>
      </c>
      <c r="H184" s="1110" t="s">
        <v>4098</v>
      </c>
    </row>
    <row r="185" spans="1:10" ht="25.5">
      <c r="A185" s="347">
        <v>211</v>
      </c>
      <c r="B185" s="304" t="s">
        <v>842</v>
      </c>
      <c r="C185" s="304" t="s">
        <v>3576</v>
      </c>
      <c r="D185" s="304" t="s">
        <v>843</v>
      </c>
      <c r="E185" s="304"/>
      <c r="F185" s="304" t="s">
        <v>844</v>
      </c>
      <c r="G185" s="1111">
        <v>11687</v>
      </c>
      <c r="H185" s="1110" t="s">
        <v>4426</v>
      </c>
    </row>
    <row r="186" spans="1:10">
      <c r="A186" s="347">
        <v>212</v>
      </c>
      <c r="B186" s="304" t="s">
        <v>135</v>
      </c>
      <c r="C186" s="304" t="s">
        <v>136</v>
      </c>
      <c r="D186" s="304" t="s">
        <v>5680</v>
      </c>
      <c r="E186" s="304"/>
      <c r="F186" s="304" t="s">
        <v>5681</v>
      </c>
      <c r="I186" s="304" t="s">
        <v>5682</v>
      </c>
      <c r="J186" s="304" t="s">
        <v>5683</v>
      </c>
    </row>
    <row r="187" spans="1:10">
      <c r="A187" s="347">
        <v>213</v>
      </c>
      <c r="B187" s="304" t="s">
        <v>5684</v>
      </c>
      <c r="C187" s="304" t="s">
        <v>2362</v>
      </c>
      <c r="D187" s="304" t="s">
        <v>2363</v>
      </c>
      <c r="E187" s="304"/>
      <c r="F187" s="304" t="s">
        <v>5042</v>
      </c>
      <c r="G187" s="1111">
        <v>209679</v>
      </c>
      <c r="H187" s="1110" t="s">
        <v>3100</v>
      </c>
      <c r="I187" s="304" t="s">
        <v>1025</v>
      </c>
      <c r="J187" s="304" t="s">
        <v>1026</v>
      </c>
    </row>
    <row r="188" spans="1:10" ht="25.5">
      <c r="A188" s="347">
        <v>214</v>
      </c>
      <c r="B188" s="304" t="s">
        <v>5229</v>
      </c>
      <c r="C188" s="304" t="s">
        <v>4709</v>
      </c>
      <c r="D188" s="304" t="s">
        <v>1767</v>
      </c>
      <c r="E188" s="304"/>
      <c r="F188" s="304" t="s">
        <v>6345</v>
      </c>
    </row>
    <row r="189" spans="1:10">
      <c r="A189" s="347">
        <v>215</v>
      </c>
      <c r="B189" s="304" t="s">
        <v>1020</v>
      </c>
      <c r="C189" s="304" t="s">
        <v>3576</v>
      </c>
      <c r="D189" s="304" t="s">
        <v>5543</v>
      </c>
      <c r="E189" s="304"/>
      <c r="F189" s="304" t="s">
        <v>5622</v>
      </c>
      <c r="G189" s="1111">
        <v>11690</v>
      </c>
      <c r="H189" s="1110" t="s">
        <v>3690</v>
      </c>
    </row>
    <row r="190" spans="1:10">
      <c r="A190" s="347">
        <v>216</v>
      </c>
      <c r="B190" s="304" t="s">
        <v>5623</v>
      </c>
      <c r="C190" s="304" t="s">
        <v>5624</v>
      </c>
      <c r="D190" s="304" t="s">
        <v>4526</v>
      </c>
      <c r="E190" s="304"/>
      <c r="F190" s="304" t="s">
        <v>5566</v>
      </c>
      <c r="I190" s="304" t="s">
        <v>4527</v>
      </c>
      <c r="J190" s="304" t="s">
        <v>4528</v>
      </c>
    </row>
    <row r="191" spans="1:10" ht="25.5">
      <c r="A191" s="347">
        <v>217</v>
      </c>
      <c r="B191" s="304" t="s">
        <v>4249</v>
      </c>
      <c r="C191" s="304" t="s">
        <v>4250</v>
      </c>
      <c r="D191" s="304" t="s">
        <v>4251</v>
      </c>
      <c r="E191" s="304"/>
      <c r="F191" s="304" t="s">
        <v>4252</v>
      </c>
      <c r="G191" s="1111">
        <v>209797</v>
      </c>
      <c r="H191" s="1110" t="s">
        <v>2563</v>
      </c>
      <c r="I191" s="304" t="s">
        <v>4201</v>
      </c>
      <c r="J191" s="304" t="s">
        <v>4202</v>
      </c>
    </row>
    <row r="192" spans="1:10">
      <c r="A192" s="347">
        <v>218</v>
      </c>
      <c r="B192" s="304" t="s">
        <v>4203</v>
      </c>
      <c r="C192" s="304" t="s">
        <v>1633</v>
      </c>
      <c r="D192" s="304" t="s">
        <v>3374</v>
      </c>
      <c r="E192" s="304" t="s">
        <v>466</v>
      </c>
      <c r="F192" s="304" t="s">
        <v>2795</v>
      </c>
      <c r="G192" s="1111">
        <v>209797</v>
      </c>
      <c r="H192" s="1110" t="s">
        <v>2217</v>
      </c>
      <c r="I192" s="304" t="s">
        <v>2218</v>
      </c>
      <c r="J192" s="304" t="s">
        <v>2219</v>
      </c>
    </row>
    <row r="193" spans="1:10">
      <c r="A193" s="347">
        <v>221</v>
      </c>
      <c r="B193" s="304" t="s">
        <v>1071</v>
      </c>
      <c r="C193" s="304" t="s">
        <v>1072</v>
      </c>
      <c r="D193" s="304" t="s">
        <v>1073</v>
      </c>
      <c r="E193" s="304"/>
      <c r="F193" s="304" t="s">
        <v>1074</v>
      </c>
      <c r="I193" s="304" t="s">
        <v>1075</v>
      </c>
      <c r="J193" s="304" t="s">
        <v>1076</v>
      </c>
    </row>
    <row r="194" spans="1:10">
      <c r="A194" s="347">
        <v>222</v>
      </c>
      <c r="B194" s="304" t="s">
        <v>4394</v>
      </c>
      <c r="C194" s="304" t="s">
        <v>4395</v>
      </c>
      <c r="D194" s="304" t="s">
        <v>5502</v>
      </c>
      <c r="E194" s="304"/>
      <c r="F194" s="304" t="s">
        <v>5503</v>
      </c>
      <c r="G194" s="1111">
        <v>210522</v>
      </c>
      <c r="H194" s="1110" t="s">
        <v>5440</v>
      </c>
      <c r="I194" s="304" t="s">
        <v>5504</v>
      </c>
      <c r="J194" s="304" t="s">
        <v>1189</v>
      </c>
    </row>
    <row r="195" spans="1:10">
      <c r="A195" s="347">
        <v>223</v>
      </c>
      <c r="B195" s="304" t="s">
        <v>4476</v>
      </c>
      <c r="C195" s="304" t="s">
        <v>4313</v>
      </c>
      <c r="D195" s="304" t="s">
        <v>4314</v>
      </c>
      <c r="E195" s="304"/>
      <c r="F195" s="304" t="s">
        <v>4315</v>
      </c>
    </row>
    <row r="196" spans="1:10">
      <c r="A196" s="347">
        <v>224</v>
      </c>
      <c r="B196" s="304" t="s">
        <v>1971</v>
      </c>
      <c r="C196" s="304" t="s">
        <v>1972</v>
      </c>
      <c r="D196" s="304" t="s">
        <v>1973</v>
      </c>
      <c r="E196" s="304"/>
      <c r="F196" s="304" t="s">
        <v>3044</v>
      </c>
      <c r="I196" s="304" t="s">
        <v>3045</v>
      </c>
      <c r="J196" s="304" t="s">
        <v>5447</v>
      </c>
    </row>
    <row r="197" spans="1:10" ht="13.5" customHeight="1">
      <c r="A197" s="347">
        <v>225</v>
      </c>
      <c r="B197" s="304" t="s">
        <v>5448</v>
      </c>
      <c r="C197" s="304" t="s">
        <v>5449</v>
      </c>
      <c r="D197" s="304" t="s">
        <v>2345</v>
      </c>
      <c r="E197" s="304"/>
      <c r="F197" s="304" t="s">
        <v>2087</v>
      </c>
      <c r="I197" s="304" t="s">
        <v>2088</v>
      </c>
      <c r="J197" s="304" t="s">
        <v>4707</v>
      </c>
    </row>
    <row r="198" spans="1:10">
      <c r="A198" s="347">
        <v>226</v>
      </c>
      <c r="B198" s="304" t="s">
        <v>2980</v>
      </c>
      <c r="C198" s="304" t="s">
        <v>2981</v>
      </c>
      <c r="D198" s="304" t="s">
        <v>1136</v>
      </c>
      <c r="E198" s="304"/>
      <c r="F198" s="304" t="s">
        <v>5312</v>
      </c>
      <c r="G198" s="1111">
        <v>11581</v>
      </c>
      <c r="H198" s="1110" t="s">
        <v>2816</v>
      </c>
    </row>
    <row r="199" spans="1:10" ht="25.5">
      <c r="A199" s="347">
        <v>227</v>
      </c>
      <c r="B199" s="304" t="s">
        <v>4743</v>
      </c>
      <c r="C199" s="304" t="s">
        <v>5437</v>
      </c>
      <c r="D199" s="304" t="s">
        <v>2821</v>
      </c>
      <c r="E199" s="304" t="s">
        <v>2822</v>
      </c>
      <c r="F199" s="304" t="s">
        <v>2202</v>
      </c>
      <c r="G199" s="1111">
        <v>11472</v>
      </c>
      <c r="H199" s="1110" t="s">
        <v>1484</v>
      </c>
      <c r="I199" s="304" t="s">
        <v>5438</v>
      </c>
      <c r="J199" s="304" t="s">
        <v>4609</v>
      </c>
    </row>
    <row r="200" spans="1:10">
      <c r="A200" s="347">
        <v>228</v>
      </c>
      <c r="B200" s="304" t="s">
        <v>2203</v>
      </c>
      <c r="C200" s="304" t="s">
        <v>3576</v>
      </c>
      <c r="D200" s="304"/>
      <c r="E200" s="304" t="s">
        <v>1056</v>
      </c>
      <c r="F200" s="304" t="s">
        <v>1057</v>
      </c>
      <c r="G200" s="1111">
        <v>210769</v>
      </c>
      <c r="H200" s="1110" t="s">
        <v>1675</v>
      </c>
    </row>
    <row r="201" spans="1:10">
      <c r="A201" s="347">
        <v>229</v>
      </c>
      <c r="B201" s="304" t="s">
        <v>1058</v>
      </c>
      <c r="C201" s="304" t="s">
        <v>3576</v>
      </c>
      <c r="D201" s="304" t="s">
        <v>1059</v>
      </c>
      <c r="E201" s="304"/>
      <c r="F201" s="304" t="s">
        <v>405</v>
      </c>
      <c r="G201" s="1111">
        <v>11690</v>
      </c>
      <c r="H201" s="1110" t="s">
        <v>3690</v>
      </c>
      <c r="I201" s="304" t="s">
        <v>406</v>
      </c>
      <c r="J201" s="304" t="s">
        <v>719</v>
      </c>
    </row>
    <row r="202" spans="1:10">
      <c r="A202" s="347">
        <v>230</v>
      </c>
      <c r="B202" s="304" t="s">
        <v>720</v>
      </c>
      <c r="C202" s="304" t="s">
        <v>3576</v>
      </c>
      <c r="D202" s="304" t="s">
        <v>2658</v>
      </c>
      <c r="E202" s="304"/>
      <c r="F202" s="304" t="s">
        <v>3811</v>
      </c>
      <c r="G202" s="1111">
        <v>209797</v>
      </c>
      <c r="H202" s="1110" t="s">
        <v>2563</v>
      </c>
    </row>
    <row r="203" spans="1:10" ht="25.5">
      <c r="A203" s="347">
        <v>231</v>
      </c>
      <c r="B203" s="304" t="s">
        <v>3812</v>
      </c>
      <c r="C203" s="304" t="s">
        <v>3576</v>
      </c>
      <c r="D203" s="304" t="s">
        <v>2026</v>
      </c>
      <c r="E203" s="304" t="s">
        <v>1759</v>
      </c>
      <c r="F203" s="304" t="s">
        <v>329</v>
      </c>
      <c r="G203" s="1111">
        <v>11687</v>
      </c>
      <c r="H203" s="1110" t="s">
        <v>4426</v>
      </c>
      <c r="I203" s="304" t="s">
        <v>330</v>
      </c>
      <c r="J203" s="304" t="s">
        <v>331</v>
      </c>
    </row>
    <row r="204" spans="1:10" ht="25.5">
      <c r="A204" s="347">
        <v>232</v>
      </c>
      <c r="B204" s="304" t="s">
        <v>332</v>
      </c>
      <c r="C204" s="304" t="s">
        <v>3576</v>
      </c>
      <c r="D204" s="304"/>
      <c r="E204" s="304" t="s">
        <v>333</v>
      </c>
      <c r="F204" s="304" t="s">
        <v>4329</v>
      </c>
      <c r="G204" s="1111">
        <v>210522</v>
      </c>
      <c r="H204" s="1110" t="s">
        <v>5440</v>
      </c>
    </row>
    <row r="205" spans="1:10">
      <c r="A205" s="347">
        <v>233</v>
      </c>
      <c r="B205" s="304" t="s">
        <v>4330</v>
      </c>
      <c r="C205" s="304" t="s">
        <v>4331</v>
      </c>
      <c r="D205" s="304" t="s">
        <v>4332</v>
      </c>
      <c r="E205" s="304"/>
      <c r="F205" s="304" t="s">
        <v>4780</v>
      </c>
      <c r="G205" s="1111">
        <v>11696</v>
      </c>
      <c r="H205" s="1110" t="s">
        <v>566</v>
      </c>
      <c r="I205" s="304" t="s">
        <v>5792</v>
      </c>
      <c r="J205" s="304" t="s">
        <v>5038</v>
      </c>
    </row>
    <row r="206" spans="1:10">
      <c r="A206" s="347">
        <v>234</v>
      </c>
      <c r="B206" s="304" t="s">
        <v>3186</v>
      </c>
      <c r="C206" s="304" t="s">
        <v>5872</v>
      </c>
      <c r="D206" s="304" t="s">
        <v>3756</v>
      </c>
      <c r="E206" s="304"/>
      <c r="F206" s="304" t="s">
        <v>1632</v>
      </c>
      <c r="G206" s="1111">
        <v>11686</v>
      </c>
      <c r="H206" s="1110" t="s">
        <v>4098</v>
      </c>
    </row>
    <row r="207" spans="1:10">
      <c r="A207" s="347">
        <v>235</v>
      </c>
      <c r="B207" s="304" t="s">
        <v>207</v>
      </c>
      <c r="C207" s="304" t="s">
        <v>3576</v>
      </c>
      <c r="D207" s="304" t="s">
        <v>208</v>
      </c>
      <c r="E207" s="304"/>
      <c r="F207" s="304" t="s">
        <v>209</v>
      </c>
      <c r="G207" s="1111">
        <v>11581</v>
      </c>
      <c r="H207" s="1110" t="s">
        <v>2816</v>
      </c>
    </row>
    <row r="208" spans="1:10">
      <c r="A208" s="347">
        <v>236</v>
      </c>
      <c r="B208" s="304" t="s">
        <v>2386</v>
      </c>
      <c r="C208" s="304" t="s">
        <v>3576</v>
      </c>
      <c r="D208" s="304" t="s">
        <v>2387</v>
      </c>
      <c r="E208" s="304"/>
      <c r="F208" s="304" t="s">
        <v>1184</v>
      </c>
      <c r="G208" s="1111">
        <v>210296</v>
      </c>
      <c r="H208" s="1110" t="s">
        <v>1808</v>
      </c>
    </row>
    <row r="209" spans="1:10">
      <c r="A209" s="347">
        <v>237</v>
      </c>
      <c r="B209" s="304" t="s">
        <v>1590</v>
      </c>
      <c r="C209" s="304" t="s">
        <v>1185</v>
      </c>
      <c r="D209" s="304" t="s">
        <v>1033</v>
      </c>
      <c r="E209" s="304"/>
      <c r="F209" s="304" t="s">
        <v>1371</v>
      </c>
      <c r="G209" s="1111">
        <v>11468</v>
      </c>
      <c r="H209" s="1110" t="s">
        <v>5610</v>
      </c>
      <c r="I209" s="304" t="s">
        <v>1034</v>
      </c>
      <c r="J209" s="304" t="s">
        <v>6142</v>
      </c>
    </row>
    <row r="210" spans="1:10" ht="25.5">
      <c r="A210" s="347">
        <v>238</v>
      </c>
      <c r="B210" s="304" t="s">
        <v>6143</v>
      </c>
      <c r="C210" s="304" t="s">
        <v>6144</v>
      </c>
      <c r="D210" s="304" t="s">
        <v>4000</v>
      </c>
      <c r="E210" s="304" t="s">
        <v>3423</v>
      </c>
      <c r="F210" s="304" t="s">
        <v>803</v>
      </c>
      <c r="G210" s="1111">
        <v>210365</v>
      </c>
      <c r="H210" s="1110" t="s">
        <v>636</v>
      </c>
      <c r="I210" s="304" t="s">
        <v>5326</v>
      </c>
      <c r="J210" s="304" t="s">
        <v>3332</v>
      </c>
    </row>
    <row r="211" spans="1:10" ht="25.5">
      <c r="A211" s="347">
        <v>239</v>
      </c>
      <c r="B211" s="304" t="s">
        <v>2617</v>
      </c>
      <c r="C211" s="304" t="s">
        <v>3576</v>
      </c>
      <c r="D211" s="304" t="s">
        <v>2618</v>
      </c>
      <c r="E211" s="304"/>
      <c r="F211" s="304" t="s">
        <v>1969</v>
      </c>
      <c r="G211" s="1111">
        <v>11693</v>
      </c>
      <c r="H211" s="1110" t="s">
        <v>3036</v>
      </c>
    </row>
    <row r="212" spans="1:10">
      <c r="A212" s="347">
        <v>240</v>
      </c>
      <c r="B212" s="304" t="s">
        <v>1970</v>
      </c>
      <c r="C212" s="304" t="s">
        <v>3576</v>
      </c>
      <c r="D212" s="304" t="s">
        <v>897</v>
      </c>
      <c r="E212" s="304" t="s">
        <v>5148</v>
      </c>
      <c r="F212" s="304" t="s">
        <v>5149</v>
      </c>
    </row>
    <row r="213" spans="1:10" ht="25.5">
      <c r="A213" s="347">
        <v>241</v>
      </c>
      <c r="B213" s="304" t="s">
        <v>5150</v>
      </c>
      <c r="C213" s="304" t="s">
        <v>6079</v>
      </c>
      <c r="D213" s="304" t="s">
        <v>1346</v>
      </c>
      <c r="E213" s="304" t="s">
        <v>1347</v>
      </c>
      <c r="F213" s="304" t="s">
        <v>1348</v>
      </c>
      <c r="G213" s="1111">
        <v>11695</v>
      </c>
      <c r="H213" s="1110" t="s">
        <v>5221</v>
      </c>
      <c r="J213" s="304" t="s">
        <v>846</v>
      </c>
    </row>
    <row r="214" spans="1:10">
      <c r="A214" s="347">
        <v>242</v>
      </c>
      <c r="B214" s="304" t="s">
        <v>4744</v>
      </c>
      <c r="C214" s="304" t="s">
        <v>847</v>
      </c>
      <c r="D214" s="304" t="s">
        <v>848</v>
      </c>
      <c r="E214" s="304"/>
      <c r="F214" s="304" t="s">
        <v>1089</v>
      </c>
      <c r="G214" s="1111">
        <v>11472</v>
      </c>
      <c r="H214" s="1110" t="s">
        <v>1484</v>
      </c>
    </row>
    <row r="215" spans="1:10">
      <c r="A215" s="347">
        <v>243</v>
      </c>
      <c r="B215" s="304" t="s">
        <v>5287</v>
      </c>
      <c r="C215" s="304" t="s">
        <v>2355</v>
      </c>
      <c r="D215" s="304" t="s">
        <v>4412</v>
      </c>
      <c r="E215" s="304"/>
      <c r="F215" s="304" t="s">
        <v>4413</v>
      </c>
      <c r="G215" s="1111">
        <v>11690</v>
      </c>
      <c r="H215" s="1110" t="s">
        <v>3690</v>
      </c>
      <c r="I215" s="304" t="s">
        <v>4414</v>
      </c>
      <c r="J215" s="304" t="s">
        <v>4415</v>
      </c>
    </row>
    <row r="216" spans="1:10">
      <c r="A216" s="347">
        <v>244</v>
      </c>
      <c r="B216" s="304" t="s">
        <v>4416</v>
      </c>
      <c r="C216" s="304" t="s">
        <v>4417</v>
      </c>
      <c r="D216" s="304" t="s">
        <v>4606</v>
      </c>
      <c r="E216" s="304"/>
      <c r="F216" s="304" t="s">
        <v>5119</v>
      </c>
      <c r="G216" s="1111">
        <v>11686</v>
      </c>
      <c r="H216" s="1110" t="s">
        <v>4098</v>
      </c>
      <c r="I216" s="304" t="s">
        <v>1722</v>
      </c>
      <c r="J216" s="304" t="s">
        <v>2315</v>
      </c>
    </row>
    <row r="217" spans="1:10" ht="25.5">
      <c r="A217" s="347">
        <v>245</v>
      </c>
      <c r="B217" s="304" t="s">
        <v>2316</v>
      </c>
      <c r="C217" s="304" t="s">
        <v>3576</v>
      </c>
      <c r="D217" s="304" t="s">
        <v>2770</v>
      </c>
      <c r="E217" s="304" t="s">
        <v>943</v>
      </c>
      <c r="F217" s="304" t="s">
        <v>944</v>
      </c>
      <c r="G217" s="1111">
        <v>11468</v>
      </c>
      <c r="H217" s="1110" t="s">
        <v>5610</v>
      </c>
      <c r="I217" s="304" t="s">
        <v>945</v>
      </c>
      <c r="J217" s="304" t="s">
        <v>946</v>
      </c>
    </row>
    <row r="218" spans="1:10" ht="25.5">
      <c r="A218" s="347">
        <v>246</v>
      </c>
      <c r="B218" s="304" t="s">
        <v>947</v>
      </c>
      <c r="C218" s="304" t="s">
        <v>3181</v>
      </c>
      <c r="D218" s="304" t="s">
        <v>3182</v>
      </c>
      <c r="E218" s="304" t="s">
        <v>4451</v>
      </c>
      <c r="F218" s="304" t="s">
        <v>4452</v>
      </c>
      <c r="G218" s="1111">
        <v>209797</v>
      </c>
      <c r="H218" s="1110" t="s">
        <v>2563</v>
      </c>
    </row>
    <row r="219" spans="1:10" ht="25.5">
      <c r="A219" s="347">
        <v>247</v>
      </c>
      <c r="B219" s="304" t="s">
        <v>4453</v>
      </c>
      <c r="C219" s="304" t="s">
        <v>4396</v>
      </c>
      <c r="D219" s="304" t="s">
        <v>1461</v>
      </c>
      <c r="E219" s="304" t="s">
        <v>1462</v>
      </c>
      <c r="F219" s="304" t="s">
        <v>5554</v>
      </c>
      <c r="G219" s="1111">
        <v>210296</v>
      </c>
      <c r="H219" s="1110" t="s">
        <v>1808</v>
      </c>
    </row>
    <row r="220" spans="1:10">
      <c r="A220" s="347">
        <v>248</v>
      </c>
      <c r="B220" s="304" t="s">
        <v>5555</v>
      </c>
      <c r="C220" s="304" t="s">
        <v>5556</v>
      </c>
      <c r="D220" s="304" t="s">
        <v>5557</v>
      </c>
      <c r="E220" s="304"/>
      <c r="F220" s="304" t="s">
        <v>437</v>
      </c>
      <c r="G220" s="1111">
        <v>11686</v>
      </c>
      <c r="H220" s="1110" t="s">
        <v>4098</v>
      </c>
      <c r="I220" s="304" t="s">
        <v>438</v>
      </c>
      <c r="J220" s="304" t="s">
        <v>4026</v>
      </c>
    </row>
    <row r="221" spans="1:10" ht="25.5">
      <c r="A221" s="347">
        <v>249</v>
      </c>
      <c r="B221" s="304" t="s">
        <v>4027</v>
      </c>
      <c r="C221" s="304" t="s">
        <v>962</v>
      </c>
      <c r="D221" s="304"/>
      <c r="E221" s="304" t="s">
        <v>2807</v>
      </c>
      <c r="F221" s="304" t="s">
        <v>4738</v>
      </c>
      <c r="G221" s="1111">
        <v>210366</v>
      </c>
      <c r="H221" s="1110" t="s">
        <v>5999</v>
      </c>
      <c r="I221" s="304" t="s">
        <v>4324</v>
      </c>
      <c r="J221" s="304" t="s">
        <v>601</v>
      </c>
    </row>
    <row r="222" spans="1:10" ht="25.5">
      <c r="A222" s="347">
        <v>250</v>
      </c>
      <c r="B222" s="304" t="s">
        <v>602</v>
      </c>
      <c r="C222" s="304" t="s">
        <v>3576</v>
      </c>
      <c r="D222" s="304"/>
      <c r="E222" s="304" t="s">
        <v>4986</v>
      </c>
      <c r="F222" s="304" t="s">
        <v>3692</v>
      </c>
      <c r="G222" s="1111">
        <v>11687</v>
      </c>
      <c r="H222" s="1110" t="s">
        <v>4426</v>
      </c>
    </row>
    <row r="223" spans="1:10" ht="25.5">
      <c r="A223" s="347">
        <v>251</v>
      </c>
      <c r="B223" s="304" t="s">
        <v>4987</v>
      </c>
      <c r="C223" s="304" t="s">
        <v>4988</v>
      </c>
      <c r="D223" s="304" t="s">
        <v>4704</v>
      </c>
      <c r="E223" s="304"/>
      <c r="F223" s="304" t="s">
        <v>4483</v>
      </c>
      <c r="G223" s="1111">
        <v>11686</v>
      </c>
      <c r="H223" s="1110" t="s">
        <v>4098</v>
      </c>
      <c r="I223" s="304" t="s">
        <v>4484</v>
      </c>
      <c r="J223" s="304" t="s">
        <v>5386</v>
      </c>
    </row>
    <row r="224" spans="1:10">
      <c r="A224" s="347">
        <v>252</v>
      </c>
      <c r="B224" s="304" t="s">
        <v>1263</v>
      </c>
      <c r="C224" s="304" t="s">
        <v>3576</v>
      </c>
      <c r="D224" s="304" t="s">
        <v>1264</v>
      </c>
      <c r="E224" s="304"/>
      <c r="F224" s="304" t="s">
        <v>2256</v>
      </c>
      <c r="G224" s="1111">
        <v>11581</v>
      </c>
      <c r="H224" s="1110" t="s">
        <v>2816</v>
      </c>
    </row>
    <row r="225" spans="1:10">
      <c r="A225" s="347">
        <v>253</v>
      </c>
      <c r="B225" s="304" t="s">
        <v>3851</v>
      </c>
      <c r="C225" s="304" t="s">
        <v>3852</v>
      </c>
      <c r="D225" s="304" t="s">
        <v>4340</v>
      </c>
      <c r="E225" s="304"/>
      <c r="F225" s="304" t="s">
        <v>4683</v>
      </c>
      <c r="G225" s="1111">
        <v>11602</v>
      </c>
      <c r="H225" s="1110" t="s">
        <v>6288</v>
      </c>
    </row>
    <row r="226" spans="1:10">
      <c r="A226" s="347">
        <v>254</v>
      </c>
      <c r="B226" s="304" t="s">
        <v>3650</v>
      </c>
      <c r="C226" s="304" t="s">
        <v>3576</v>
      </c>
      <c r="D226" s="304"/>
      <c r="E226" s="304" t="s">
        <v>3651</v>
      </c>
      <c r="F226" s="304" t="s">
        <v>1745</v>
      </c>
      <c r="G226" s="1111">
        <v>209679</v>
      </c>
      <c r="H226" s="1110" t="s">
        <v>3100</v>
      </c>
    </row>
    <row r="227" spans="1:10">
      <c r="A227" s="347">
        <v>256</v>
      </c>
      <c r="B227" s="304" t="s">
        <v>5514</v>
      </c>
      <c r="C227" s="304" t="s">
        <v>244</v>
      </c>
      <c r="D227" s="304" t="s">
        <v>2309</v>
      </c>
      <c r="E227" s="304"/>
      <c r="F227" s="304" t="s">
        <v>2310</v>
      </c>
      <c r="I227" s="304" t="s">
        <v>2311</v>
      </c>
      <c r="J227" s="304" t="s">
        <v>2312</v>
      </c>
    </row>
    <row r="228" spans="1:10" ht="25.5">
      <c r="A228" s="347">
        <v>257</v>
      </c>
      <c r="B228" s="304" t="s">
        <v>687</v>
      </c>
      <c r="C228" s="304" t="s">
        <v>3302</v>
      </c>
      <c r="D228" s="304" t="s">
        <v>4262</v>
      </c>
      <c r="E228" s="304"/>
      <c r="F228" s="304" t="s">
        <v>4263</v>
      </c>
      <c r="G228" s="1111">
        <v>210296</v>
      </c>
      <c r="H228" s="1110" t="s">
        <v>1808</v>
      </c>
      <c r="I228" s="304" t="s">
        <v>4264</v>
      </c>
      <c r="J228" s="304" t="s">
        <v>4761</v>
      </c>
    </row>
    <row r="229" spans="1:10" ht="25.5">
      <c r="A229" s="347">
        <v>258</v>
      </c>
      <c r="B229" s="304" t="s">
        <v>643</v>
      </c>
      <c r="C229" s="304" t="s">
        <v>644</v>
      </c>
      <c r="D229" s="304" t="s">
        <v>4462</v>
      </c>
      <c r="E229" s="304"/>
      <c r="F229" s="304" t="s">
        <v>2524</v>
      </c>
      <c r="G229" s="1111">
        <v>11686</v>
      </c>
      <c r="H229" s="1110" t="s">
        <v>4098</v>
      </c>
      <c r="I229" s="304" t="s">
        <v>4646</v>
      </c>
      <c r="J229" s="304" t="s">
        <v>6006</v>
      </c>
    </row>
    <row r="230" spans="1:10" ht="25.5">
      <c r="A230" s="347">
        <v>259</v>
      </c>
      <c r="B230" s="304" t="s">
        <v>3005</v>
      </c>
      <c r="C230" s="304" t="s">
        <v>3576</v>
      </c>
      <c r="D230" s="304" t="s">
        <v>3006</v>
      </c>
      <c r="E230" s="304" t="s">
        <v>3007</v>
      </c>
      <c r="F230" s="304" t="s">
        <v>3008</v>
      </c>
      <c r="G230" s="1111">
        <v>210769</v>
      </c>
      <c r="H230" s="1110" t="s">
        <v>1675</v>
      </c>
    </row>
    <row r="231" spans="1:10">
      <c r="A231" s="347">
        <v>260</v>
      </c>
      <c r="B231" s="304" t="s">
        <v>3009</v>
      </c>
      <c r="C231" s="304" t="s">
        <v>3010</v>
      </c>
      <c r="D231" s="304" t="s">
        <v>2973</v>
      </c>
      <c r="E231" s="304"/>
      <c r="F231" s="304" t="s">
        <v>3018</v>
      </c>
      <c r="G231" s="1111">
        <v>14973</v>
      </c>
      <c r="H231" s="1110" t="s">
        <v>1484</v>
      </c>
      <c r="I231" s="304" t="s">
        <v>182</v>
      </c>
      <c r="J231" s="304" t="s">
        <v>4535</v>
      </c>
    </row>
    <row r="232" spans="1:10">
      <c r="A232" s="347">
        <v>261</v>
      </c>
      <c r="B232" s="304" t="s">
        <v>6042</v>
      </c>
      <c r="C232" s="304" t="s">
        <v>3576</v>
      </c>
      <c r="D232" s="304" t="s">
        <v>6043</v>
      </c>
      <c r="E232" s="304"/>
      <c r="F232" s="304" t="s">
        <v>3463</v>
      </c>
    </row>
    <row r="233" spans="1:10">
      <c r="A233" s="347">
        <v>262</v>
      </c>
      <c r="B233" s="304" t="s">
        <v>3266</v>
      </c>
      <c r="C233" s="304" t="s">
        <v>3576</v>
      </c>
      <c r="D233" s="304" t="s">
        <v>3267</v>
      </c>
      <c r="E233" s="304"/>
      <c r="F233" s="304" t="s">
        <v>5462</v>
      </c>
      <c r="G233" s="1111">
        <v>11686</v>
      </c>
      <c r="H233" s="1110" t="s">
        <v>4098</v>
      </c>
    </row>
    <row r="234" spans="1:10" ht="25.5">
      <c r="A234" s="347">
        <v>263</v>
      </c>
      <c r="B234" s="304" t="s">
        <v>5463</v>
      </c>
      <c r="C234" s="304" t="s">
        <v>5464</v>
      </c>
      <c r="D234" s="304" t="s">
        <v>794</v>
      </c>
      <c r="E234" s="304" t="s">
        <v>640</v>
      </c>
      <c r="F234" s="304" t="s">
        <v>641</v>
      </c>
      <c r="G234" s="1111">
        <v>210365</v>
      </c>
      <c r="H234" s="1110" t="s">
        <v>636</v>
      </c>
    </row>
    <row r="235" spans="1:10">
      <c r="A235" s="347">
        <v>264</v>
      </c>
      <c r="B235" s="304" t="s">
        <v>642</v>
      </c>
      <c r="C235" s="304" t="s">
        <v>3576</v>
      </c>
      <c r="D235" s="304" t="s">
        <v>421</v>
      </c>
      <c r="E235" s="304"/>
      <c r="F235" s="304" t="s">
        <v>5144</v>
      </c>
      <c r="G235" s="1111">
        <v>11602</v>
      </c>
      <c r="H235" s="1110" t="s">
        <v>6288</v>
      </c>
    </row>
    <row r="236" spans="1:10" ht="25.5">
      <c r="A236" s="347">
        <v>265</v>
      </c>
      <c r="B236" s="304" t="s">
        <v>5145</v>
      </c>
      <c r="C236" s="304" t="s">
        <v>5146</v>
      </c>
      <c r="D236" s="304" t="s">
        <v>5147</v>
      </c>
      <c r="E236" s="304" t="s">
        <v>1363</v>
      </c>
      <c r="F236" s="304" t="s">
        <v>4836</v>
      </c>
      <c r="G236" s="1111">
        <v>11468</v>
      </c>
      <c r="H236" s="1110" t="s">
        <v>3885</v>
      </c>
    </row>
    <row r="237" spans="1:10">
      <c r="A237" s="347">
        <v>266</v>
      </c>
      <c r="B237" s="304" t="s">
        <v>3977</v>
      </c>
      <c r="C237" s="304" t="s">
        <v>3576</v>
      </c>
      <c r="D237" s="304" t="s">
        <v>5988</v>
      </c>
      <c r="E237" s="304"/>
      <c r="F237" s="304" t="s">
        <v>3688</v>
      </c>
      <c r="G237" s="1111">
        <v>210296</v>
      </c>
      <c r="H237" s="1110" t="s">
        <v>1808</v>
      </c>
    </row>
    <row r="238" spans="1:10" ht="25.5">
      <c r="A238" s="347">
        <v>267</v>
      </c>
      <c r="B238" s="304" t="s">
        <v>5865</v>
      </c>
      <c r="C238" s="304" t="s">
        <v>2525</v>
      </c>
      <c r="D238" s="304" t="s">
        <v>5391</v>
      </c>
      <c r="E238" s="304"/>
      <c r="F238" s="304" t="s">
        <v>428</v>
      </c>
      <c r="G238" s="1111">
        <v>11581</v>
      </c>
      <c r="H238" s="1110" t="s">
        <v>2816</v>
      </c>
    </row>
    <row r="239" spans="1:10" ht="25.5">
      <c r="A239" s="347">
        <v>268</v>
      </c>
      <c r="B239" s="304" t="s">
        <v>4578</v>
      </c>
      <c r="C239" s="304" t="s">
        <v>4579</v>
      </c>
      <c r="D239" s="304" t="s">
        <v>4580</v>
      </c>
      <c r="E239" s="304" t="s">
        <v>2264</v>
      </c>
      <c r="F239" s="304" t="s">
        <v>3577</v>
      </c>
      <c r="G239" s="1111">
        <v>11687</v>
      </c>
      <c r="H239" s="1110" t="s">
        <v>4426</v>
      </c>
      <c r="I239" s="304" t="s">
        <v>3578</v>
      </c>
      <c r="J239" s="304" t="s">
        <v>3579</v>
      </c>
    </row>
    <row r="240" spans="1:10" ht="38.25">
      <c r="A240" s="347">
        <v>269</v>
      </c>
      <c r="B240" s="304" t="s">
        <v>5878</v>
      </c>
      <c r="C240" s="304" t="s">
        <v>4480</v>
      </c>
      <c r="D240" s="304" t="s">
        <v>4481</v>
      </c>
      <c r="E240" s="1110" t="s">
        <v>4482</v>
      </c>
      <c r="F240" s="304" t="s">
        <v>802</v>
      </c>
      <c r="G240" s="1111">
        <v>11696</v>
      </c>
      <c r="H240" s="1110" t="s">
        <v>566</v>
      </c>
    </row>
    <row r="241" spans="1:10" ht="25.5">
      <c r="A241" s="347">
        <v>270</v>
      </c>
      <c r="B241" s="304" t="s">
        <v>709</v>
      </c>
      <c r="C241" s="304" t="s">
        <v>710</v>
      </c>
      <c r="D241" s="304" t="s">
        <v>5320</v>
      </c>
      <c r="E241" s="304" t="s">
        <v>5321</v>
      </c>
      <c r="F241" s="304" t="s">
        <v>3385</v>
      </c>
      <c r="G241" s="1111">
        <v>11696</v>
      </c>
      <c r="H241" s="1110" t="s">
        <v>566</v>
      </c>
      <c r="I241" s="304" t="s">
        <v>372</v>
      </c>
      <c r="J241" s="304" t="s">
        <v>1505</v>
      </c>
    </row>
    <row r="242" spans="1:10" ht="25.5">
      <c r="A242" s="347">
        <v>271</v>
      </c>
      <c r="B242" s="304" t="s">
        <v>1506</v>
      </c>
      <c r="C242" s="304" t="s">
        <v>3576</v>
      </c>
      <c r="D242" s="304" t="s">
        <v>3158</v>
      </c>
      <c r="E242" s="304"/>
      <c r="F242" s="304" t="s">
        <v>3159</v>
      </c>
      <c r="G242" s="1111">
        <v>11581</v>
      </c>
      <c r="H242" s="1110" t="s">
        <v>2816</v>
      </c>
    </row>
    <row r="243" spans="1:10">
      <c r="A243" s="347">
        <v>272</v>
      </c>
      <c r="B243" s="304" t="s">
        <v>3160</v>
      </c>
      <c r="C243" s="304" t="s">
        <v>881</v>
      </c>
      <c r="D243" s="304"/>
      <c r="E243" s="304" t="s">
        <v>4920</v>
      </c>
      <c r="F243" s="304" t="s">
        <v>4921</v>
      </c>
      <c r="G243" s="1111">
        <v>11686</v>
      </c>
      <c r="H243" s="1110" t="s">
        <v>4098</v>
      </c>
    </row>
    <row r="244" spans="1:10">
      <c r="A244" s="347">
        <v>273</v>
      </c>
      <c r="B244" s="304" t="s">
        <v>5997</v>
      </c>
      <c r="C244" s="304" t="s">
        <v>5998</v>
      </c>
      <c r="D244" s="304" t="s">
        <v>2297</v>
      </c>
      <c r="E244" s="304"/>
      <c r="F244" s="304" t="s">
        <v>2054</v>
      </c>
      <c r="G244" s="1111">
        <v>210365</v>
      </c>
      <c r="H244" s="1110" t="s">
        <v>636</v>
      </c>
    </row>
    <row r="245" spans="1:10">
      <c r="A245" s="347">
        <v>274</v>
      </c>
      <c r="B245" s="304" t="s">
        <v>2465</v>
      </c>
      <c r="C245" s="304" t="s">
        <v>3976</v>
      </c>
      <c r="D245" s="304"/>
      <c r="E245" s="304" t="s">
        <v>798</v>
      </c>
      <c r="F245" s="304" t="s">
        <v>4121</v>
      </c>
      <c r="G245" s="1111">
        <v>11686</v>
      </c>
      <c r="H245" s="1110" t="s">
        <v>4098</v>
      </c>
    </row>
    <row r="246" spans="1:10">
      <c r="A246" s="347">
        <v>275</v>
      </c>
      <c r="B246" s="304" t="s">
        <v>4122</v>
      </c>
      <c r="C246" s="304" t="s">
        <v>5710</v>
      </c>
      <c r="D246" s="304" t="s">
        <v>5711</v>
      </c>
      <c r="E246" s="304"/>
      <c r="F246" s="304" t="s">
        <v>5712</v>
      </c>
      <c r="I246" s="304" t="s">
        <v>5713</v>
      </c>
      <c r="J246" s="304" t="s">
        <v>1776</v>
      </c>
    </row>
    <row r="247" spans="1:10" ht="25.5">
      <c r="A247" s="347">
        <v>276</v>
      </c>
      <c r="B247" s="304" t="s">
        <v>6344</v>
      </c>
      <c r="C247" s="304" t="s">
        <v>3576</v>
      </c>
      <c r="D247" s="304" t="s">
        <v>4218</v>
      </c>
      <c r="E247" s="304"/>
      <c r="F247" s="304" t="s">
        <v>2608</v>
      </c>
      <c r="I247" s="304" t="s">
        <v>2609</v>
      </c>
      <c r="J247" s="304" t="s">
        <v>2610</v>
      </c>
    </row>
    <row r="248" spans="1:10" ht="25.5">
      <c r="A248" s="347">
        <v>277</v>
      </c>
      <c r="B248" s="304" t="s">
        <v>2611</v>
      </c>
      <c r="C248" s="304" t="s">
        <v>67</v>
      </c>
      <c r="D248" s="304" t="s">
        <v>68</v>
      </c>
      <c r="E248" s="304" t="s">
        <v>69</v>
      </c>
      <c r="F248" s="304" t="s">
        <v>442</v>
      </c>
      <c r="G248" s="1111">
        <v>210296</v>
      </c>
      <c r="H248" s="1110" t="s">
        <v>1808</v>
      </c>
      <c r="I248" s="304" t="s">
        <v>443</v>
      </c>
      <c r="J248" s="304" t="s">
        <v>5540</v>
      </c>
    </row>
    <row r="249" spans="1:10" ht="25.5">
      <c r="A249" s="347">
        <v>278</v>
      </c>
      <c r="B249" s="304" t="s">
        <v>5541</v>
      </c>
      <c r="C249" s="304" t="s">
        <v>5542</v>
      </c>
      <c r="D249" s="304" t="s">
        <v>5072</v>
      </c>
      <c r="E249" s="304"/>
      <c r="F249" s="304" t="s">
        <v>3151</v>
      </c>
      <c r="G249" s="1111">
        <v>11687</v>
      </c>
      <c r="H249" s="1110" t="s">
        <v>4426</v>
      </c>
    </row>
    <row r="250" spans="1:10" ht="25.5">
      <c r="A250" s="347">
        <v>279</v>
      </c>
      <c r="B250" s="304" t="s">
        <v>3152</v>
      </c>
      <c r="C250" s="304" t="s">
        <v>3153</v>
      </c>
      <c r="D250" s="304" t="s">
        <v>3154</v>
      </c>
      <c r="E250" s="304" t="s">
        <v>3155</v>
      </c>
      <c r="F250" s="304" t="s">
        <v>3156</v>
      </c>
      <c r="G250" s="1111">
        <v>210366</v>
      </c>
      <c r="H250" s="1110" t="s">
        <v>5999</v>
      </c>
    </row>
    <row r="251" spans="1:10">
      <c r="A251" s="347">
        <v>280</v>
      </c>
      <c r="B251" s="304" t="s">
        <v>3157</v>
      </c>
      <c r="C251" s="304" t="s">
        <v>3576</v>
      </c>
      <c r="D251" s="304" t="s">
        <v>810</v>
      </c>
      <c r="E251" s="304"/>
      <c r="F251" s="304" t="s">
        <v>345</v>
      </c>
      <c r="I251" s="304" t="s">
        <v>3698</v>
      </c>
      <c r="J251" s="304" t="s">
        <v>3699</v>
      </c>
    </row>
    <row r="252" spans="1:10">
      <c r="A252" s="347">
        <v>281</v>
      </c>
      <c r="B252" s="304" t="s">
        <v>3700</v>
      </c>
      <c r="C252" s="304" t="s">
        <v>5825</v>
      </c>
      <c r="D252" s="304" t="s">
        <v>4729</v>
      </c>
      <c r="E252" s="304"/>
      <c r="F252" s="304" t="s">
        <v>1438</v>
      </c>
    </row>
    <row r="253" spans="1:10">
      <c r="A253" s="347">
        <v>282</v>
      </c>
      <c r="B253" s="304" t="s">
        <v>1439</v>
      </c>
      <c r="C253" s="304" t="s">
        <v>1440</v>
      </c>
      <c r="D253" s="304" t="s">
        <v>1245</v>
      </c>
      <c r="E253" s="304"/>
      <c r="F253" s="304" t="s">
        <v>1246</v>
      </c>
      <c r="G253" s="1111">
        <v>210522</v>
      </c>
      <c r="H253" s="1110" t="s">
        <v>5440</v>
      </c>
      <c r="I253" s="304" t="s">
        <v>1247</v>
      </c>
      <c r="J253" s="304" t="s">
        <v>1248</v>
      </c>
    </row>
    <row r="254" spans="1:10" ht="25.5">
      <c r="A254" s="347">
        <v>283</v>
      </c>
      <c r="B254" s="304" t="s">
        <v>1721</v>
      </c>
      <c r="C254" s="304" t="s">
        <v>3964</v>
      </c>
      <c r="D254" s="304" t="s">
        <v>2062</v>
      </c>
      <c r="E254" s="304"/>
      <c r="F254" s="304" t="s">
        <v>2063</v>
      </c>
      <c r="G254" s="1111">
        <v>209679</v>
      </c>
      <c r="H254" s="1110" t="s">
        <v>3100</v>
      </c>
      <c r="I254" s="304" t="s">
        <v>2064</v>
      </c>
      <c r="J254" s="304" t="s">
        <v>3322</v>
      </c>
    </row>
    <row r="255" spans="1:10">
      <c r="A255" s="347">
        <v>284</v>
      </c>
      <c r="B255" s="304" t="s">
        <v>2100</v>
      </c>
      <c r="C255" s="304" t="s">
        <v>2101</v>
      </c>
      <c r="D255" s="304" t="s">
        <v>4881</v>
      </c>
      <c r="E255" s="304"/>
      <c r="F255" s="304" t="s">
        <v>4882</v>
      </c>
      <c r="G255" s="1111">
        <v>209797</v>
      </c>
      <c r="H255" s="1110" t="s">
        <v>2563</v>
      </c>
      <c r="I255" s="304" t="s">
        <v>5911</v>
      </c>
      <c r="J255" s="304" t="s">
        <v>1260</v>
      </c>
    </row>
    <row r="256" spans="1:10">
      <c r="A256" s="347">
        <v>285</v>
      </c>
      <c r="B256" s="304" t="s">
        <v>2092</v>
      </c>
      <c r="C256" s="304" t="s">
        <v>3576</v>
      </c>
      <c r="D256" s="304" t="s">
        <v>2093</v>
      </c>
      <c r="E256" s="304"/>
      <c r="F256" s="304" t="s">
        <v>2377</v>
      </c>
      <c r="G256" s="1111">
        <v>11581</v>
      </c>
      <c r="H256" s="1110" t="s">
        <v>2816</v>
      </c>
    </row>
    <row r="257" spans="1:10" ht="25.5">
      <c r="A257" s="347">
        <v>286</v>
      </c>
      <c r="B257" s="304" t="s">
        <v>4745</v>
      </c>
      <c r="C257" s="304" t="s">
        <v>2094</v>
      </c>
      <c r="D257" s="304" t="s">
        <v>826</v>
      </c>
      <c r="E257" s="304" t="s">
        <v>827</v>
      </c>
      <c r="F257" s="304" t="s">
        <v>828</v>
      </c>
      <c r="G257" s="1111">
        <v>11472</v>
      </c>
      <c r="H257" s="1110" t="s">
        <v>1484</v>
      </c>
      <c r="I257" s="304" t="s">
        <v>6037</v>
      </c>
      <c r="J257" s="304" t="s">
        <v>6282</v>
      </c>
    </row>
    <row r="258" spans="1:10">
      <c r="A258" s="347">
        <v>287</v>
      </c>
      <c r="B258" s="304" t="s">
        <v>746</v>
      </c>
      <c r="C258" s="304" t="s">
        <v>747</v>
      </c>
      <c r="D258" s="304" t="s">
        <v>748</v>
      </c>
      <c r="E258" s="304"/>
      <c r="F258" s="304" t="s">
        <v>2926</v>
      </c>
      <c r="G258" s="1111">
        <v>11602</v>
      </c>
      <c r="H258" s="1110" t="s">
        <v>6288</v>
      </c>
      <c r="I258" s="304" t="s">
        <v>2927</v>
      </c>
      <c r="J258" s="304" t="s">
        <v>2928</v>
      </c>
    </row>
    <row r="259" spans="1:10">
      <c r="A259" s="347">
        <v>288</v>
      </c>
      <c r="B259" s="304" t="s">
        <v>707</v>
      </c>
      <c r="C259" s="304" t="s">
        <v>3485</v>
      </c>
      <c r="D259" s="304" t="s">
        <v>3486</v>
      </c>
      <c r="E259" s="304"/>
      <c r="F259" s="304" t="s">
        <v>5293</v>
      </c>
      <c r="G259" s="1111">
        <v>11696</v>
      </c>
      <c r="H259" s="1110" t="s">
        <v>566</v>
      </c>
      <c r="I259" s="304" t="s">
        <v>5294</v>
      </c>
    </row>
    <row r="260" spans="1:10" ht="25.5">
      <c r="A260" s="347">
        <v>289</v>
      </c>
      <c r="B260" s="304" t="s">
        <v>5295</v>
      </c>
      <c r="C260" s="304" t="s">
        <v>5296</v>
      </c>
      <c r="D260" s="304" t="s">
        <v>6249</v>
      </c>
      <c r="E260" s="304"/>
      <c r="F260" s="304" t="s">
        <v>1046</v>
      </c>
      <c r="G260" s="1111">
        <v>210365</v>
      </c>
      <c r="H260" s="1110" t="s">
        <v>636</v>
      </c>
      <c r="I260" s="304" t="s">
        <v>1047</v>
      </c>
      <c r="J260" s="304" t="s">
        <v>1435</v>
      </c>
    </row>
    <row r="261" spans="1:10">
      <c r="A261" s="347">
        <v>290</v>
      </c>
      <c r="B261" s="304" t="s">
        <v>1436</v>
      </c>
      <c r="C261" s="304" t="s">
        <v>3576</v>
      </c>
      <c r="D261" s="304" t="s">
        <v>1829</v>
      </c>
      <c r="E261" s="304" t="s">
        <v>1830</v>
      </c>
      <c r="F261" s="304" t="s">
        <v>3482</v>
      </c>
      <c r="G261" s="1111">
        <v>11686</v>
      </c>
      <c r="H261" s="1110" t="s">
        <v>4098</v>
      </c>
    </row>
    <row r="262" spans="1:10" ht="25.5">
      <c r="A262" s="347">
        <v>291</v>
      </c>
      <c r="B262" s="304" t="s">
        <v>3483</v>
      </c>
      <c r="C262" s="304" t="s">
        <v>3484</v>
      </c>
      <c r="D262" s="304" t="s">
        <v>3754</v>
      </c>
      <c r="E262" s="304"/>
      <c r="F262" s="304" t="s">
        <v>3755</v>
      </c>
      <c r="G262" s="1111">
        <v>11687</v>
      </c>
      <c r="H262" s="1110" t="s">
        <v>4426</v>
      </c>
    </row>
    <row r="263" spans="1:10">
      <c r="A263" s="347">
        <v>292</v>
      </c>
      <c r="B263" s="304" t="s">
        <v>1544</v>
      </c>
      <c r="C263" s="304" t="s">
        <v>1545</v>
      </c>
      <c r="D263" s="304" t="s">
        <v>1546</v>
      </c>
      <c r="E263" s="304"/>
      <c r="F263" s="304" t="s">
        <v>1547</v>
      </c>
      <c r="I263" s="304" t="s">
        <v>1548</v>
      </c>
      <c r="J263" s="304" t="s">
        <v>1549</v>
      </c>
    </row>
    <row r="264" spans="1:10">
      <c r="A264" s="347">
        <v>293</v>
      </c>
      <c r="B264" s="304" t="s">
        <v>2635</v>
      </c>
      <c r="C264" s="304" t="s">
        <v>2636</v>
      </c>
      <c r="D264" s="304" t="s">
        <v>2637</v>
      </c>
      <c r="E264" s="304"/>
      <c r="F264" s="304" t="s">
        <v>4116</v>
      </c>
    </row>
    <row r="265" spans="1:10">
      <c r="A265" s="347">
        <v>294</v>
      </c>
      <c r="B265" s="304" t="s">
        <v>4117</v>
      </c>
      <c r="C265" s="304" t="s">
        <v>937</v>
      </c>
      <c r="D265" s="304" t="s">
        <v>938</v>
      </c>
      <c r="E265" s="304"/>
      <c r="F265" s="304" t="s">
        <v>584</v>
      </c>
      <c r="G265" s="1111">
        <v>11690</v>
      </c>
      <c r="H265" s="1110" t="s">
        <v>3690</v>
      </c>
    </row>
    <row r="266" spans="1:10">
      <c r="A266" s="347">
        <v>295</v>
      </c>
      <c r="B266" s="304" t="s">
        <v>585</v>
      </c>
      <c r="C266" s="304" t="s">
        <v>2448</v>
      </c>
      <c r="D266" s="304" t="s">
        <v>2931</v>
      </c>
      <c r="E266" s="304"/>
      <c r="F266" s="304" t="s">
        <v>3770</v>
      </c>
      <c r="G266" s="1111">
        <v>210291</v>
      </c>
      <c r="H266" s="1110" t="s">
        <v>3942</v>
      </c>
      <c r="I266" s="304" t="s">
        <v>3030</v>
      </c>
      <c r="J266" s="304" t="s">
        <v>3031</v>
      </c>
    </row>
    <row r="267" spans="1:10">
      <c r="A267" s="347">
        <v>296</v>
      </c>
      <c r="B267" s="304" t="s">
        <v>1275</v>
      </c>
      <c r="C267" s="304" t="s">
        <v>3576</v>
      </c>
      <c r="D267" s="304" t="s">
        <v>1276</v>
      </c>
      <c r="E267" s="304"/>
      <c r="F267" s="304" t="s">
        <v>4216</v>
      </c>
      <c r="G267" s="1111">
        <v>11602</v>
      </c>
      <c r="H267" s="1110" t="s">
        <v>6288</v>
      </c>
    </row>
    <row r="268" spans="1:10" ht="25.5">
      <c r="A268" s="347">
        <v>297</v>
      </c>
      <c r="B268" s="304" t="s">
        <v>4217</v>
      </c>
      <c r="C268" s="304" t="s">
        <v>109</v>
      </c>
      <c r="D268" s="304" t="s">
        <v>110</v>
      </c>
      <c r="E268" s="304"/>
      <c r="F268" s="304" t="s">
        <v>5462</v>
      </c>
      <c r="G268" s="1111">
        <v>11687</v>
      </c>
      <c r="H268" s="1110" t="s">
        <v>4426</v>
      </c>
      <c r="I268" s="304" t="s">
        <v>111</v>
      </c>
      <c r="J268" s="304" t="s">
        <v>3003</v>
      </c>
    </row>
    <row r="269" spans="1:10">
      <c r="A269" s="347">
        <v>298</v>
      </c>
      <c r="B269" s="304" t="s">
        <v>1990</v>
      </c>
      <c r="C269" s="304" t="s">
        <v>3576</v>
      </c>
      <c r="D269" s="304" t="s">
        <v>2773</v>
      </c>
      <c r="E269" s="304"/>
      <c r="F269" s="304" t="s">
        <v>2774</v>
      </c>
      <c r="I269" s="304" t="s">
        <v>2775</v>
      </c>
    </row>
    <row r="270" spans="1:10" ht="25.5">
      <c r="A270" s="347">
        <v>299</v>
      </c>
      <c r="B270" s="304" t="s">
        <v>2776</v>
      </c>
      <c r="C270" s="304" t="s">
        <v>4094</v>
      </c>
      <c r="D270" s="304" t="s">
        <v>5058</v>
      </c>
      <c r="E270" s="304" t="s">
        <v>5419</v>
      </c>
      <c r="F270" s="304" t="s">
        <v>467</v>
      </c>
      <c r="G270" s="1111">
        <v>210769</v>
      </c>
      <c r="H270" s="1110" t="s">
        <v>1675</v>
      </c>
    </row>
    <row r="271" spans="1:10">
      <c r="A271" s="347">
        <v>300</v>
      </c>
      <c r="B271" s="304" t="s">
        <v>347</v>
      </c>
      <c r="C271" s="304" t="s">
        <v>5039</v>
      </c>
      <c r="D271" s="304" t="s">
        <v>348</v>
      </c>
      <c r="E271" s="304"/>
      <c r="F271" s="304" t="s">
        <v>349</v>
      </c>
      <c r="G271" s="1111">
        <v>210365</v>
      </c>
      <c r="H271" s="1110" t="s">
        <v>636</v>
      </c>
      <c r="I271" s="304" t="s">
        <v>5040</v>
      </c>
      <c r="J271" s="304" t="s">
        <v>3860</v>
      </c>
    </row>
    <row r="272" spans="1:10" ht="25.5">
      <c r="A272" s="347">
        <v>301</v>
      </c>
      <c r="B272" s="304" t="s">
        <v>4870</v>
      </c>
      <c r="C272" s="304" t="s">
        <v>3576</v>
      </c>
      <c r="D272" s="304" t="s">
        <v>5895</v>
      </c>
      <c r="E272" s="304"/>
      <c r="F272" s="304" t="s">
        <v>6330</v>
      </c>
      <c r="G272" s="1111">
        <v>11687</v>
      </c>
      <c r="H272" s="1110" t="s">
        <v>4426</v>
      </c>
    </row>
    <row r="273" spans="1:10" ht="25.5">
      <c r="A273" s="347">
        <v>302</v>
      </c>
      <c r="B273" s="304" t="s">
        <v>6331</v>
      </c>
      <c r="C273" s="304" t="s">
        <v>3576</v>
      </c>
      <c r="D273" s="304" t="s">
        <v>5722</v>
      </c>
      <c r="E273" s="304"/>
      <c r="F273" s="304" t="s">
        <v>4007</v>
      </c>
      <c r="G273" s="1111">
        <v>11687</v>
      </c>
      <c r="H273" s="1110" t="s">
        <v>4426</v>
      </c>
    </row>
    <row r="274" spans="1:10" ht="25.5">
      <c r="A274" s="347">
        <v>303</v>
      </c>
      <c r="B274" s="304" t="s">
        <v>5783</v>
      </c>
      <c r="C274" s="304" t="s">
        <v>898</v>
      </c>
      <c r="D274" s="304" t="s">
        <v>2744</v>
      </c>
      <c r="E274" s="304"/>
      <c r="F274" s="304" t="s">
        <v>683</v>
      </c>
      <c r="G274" s="1111">
        <v>11686</v>
      </c>
      <c r="H274" s="1110" t="s">
        <v>4098</v>
      </c>
      <c r="I274" s="304" t="s">
        <v>2085</v>
      </c>
      <c r="J274" s="304" t="s">
        <v>2086</v>
      </c>
    </row>
    <row r="275" spans="1:10" ht="13.5" customHeight="1">
      <c r="A275" s="347">
        <v>304</v>
      </c>
      <c r="B275" s="304" t="s">
        <v>3939</v>
      </c>
      <c r="C275" s="304" t="s">
        <v>669</v>
      </c>
      <c r="D275" s="304" t="s">
        <v>3195</v>
      </c>
      <c r="E275" s="304"/>
      <c r="F275" s="304" t="s">
        <v>3196</v>
      </c>
      <c r="G275" s="1111">
        <v>11687</v>
      </c>
      <c r="H275" s="1110" t="s">
        <v>4426</v>
      </c>
    </row>
    <row r="276" spans="1:10">
      <c r="A276" s="347">
        <v>305</v>
      </c>
      <c r="B276" s="304" t="s">
        <v>3197</v>
      </c>
      <c r="C276" s="304" t="s">
        <v>3198</v>
      </c>
      <c r="D276" s="304" t="s">
        <v>446</v>
      </c>
      <c r="E276" s="304"/>
      <c r="F276" s="304" t="s">
        <v>407</v>
      </c>
      <c r="I276" s="304" t="s">
        <v>408</v>
      </c>
      <c r="J276" s="304" t="s">
        <v>1178</v>
      </c>
    </row>
    <row r="277" spans="1:10">
      <c r="A277" s="347">
        <v>306</v>
      </c>
      <c r="B277" s="304" t="s">
        <v>3728</v>
      </c>
      <c r="C277" s="304" t="s">
        <v>1483</v>
      </c>
      <c r="D277" s="304" t="s">
        <v>1761</v>
      </c>
      <c r="E277" s="304"/>
      <c r="F277" s="304" t="s">
        <v>1612</v>
      </c>
      <c r="G277" s="1111">
        <v>209679</v>
      </c>
      <c r="H277" s="1110" t="s">
        <v>3100</v>
      </c>
      <c r="I277" s="304" t="s">
        <v>1613</v>
      </c>
      <c r="J277" s="304" t="s">
        <v>4063</v>
      </c>
    </row>
    <row r="278" spans="1:10" ht="25.5">
      <c r="A278" s="347">
        <v>307</v>
      </c>
      <c r="B278" s="304" t="s">
        <v>4736</v>
      </c>
      <c r="C278" s="304" t="s">
        <v>4737</v>
      </c>
      <c r="D278" s="304" t="s">
        <v>4499</v>
      </c>
      <c r="E278" s="304"/>
      <c r="F278" s="304" t="s">
        <v>5819</v>
      </c>
      <c r="G278" s="1111">
        <v>210366</v>
      </c>
      <c r="H278" s="1110" t="s">
        <v>5999</v>
      </c>
      <c r="I278" s="304" t="s">
        <v>5820</v>
      </c>
      <c r="J278" s="304" t="s">
        <v>5821</v>
      </c>
    </row>
    <row r="279" spans="1:10">
      <c r="A279" s="347">
        <v>308</v>
      </c>
      <c r="B279" s="304" t="s">
        <v>5822</v>
      </c>
      <c r="C279" s="304" t="s">
        <v>5823</v>
      </c>
      <c r="D279" s="304" t="s">
        <v>5824</v>
      </c>
      <c r="E279" s="304"/>
      <c r="F279" s="304" t="s">
        <v>4486</v>
      </c>
      <c r="G279" s="1111">
        <v>210769</v>
      </c>
      <c r="H279" s="1110" t="s">
        <v>1675</v>
      </c>
    </row>
    <row r="280" spans="1:10">
      <c r="A280" s="347">
        <v>309</v>
      </c>
      <c r="B280" s="304" t="s">
        <v>4487</v>
      </c>
      <c r="C280" s="304" t="s">
        <v>4488</v>
      </c>
      <c r="D280" s="304"/>
      <c r="E280" s="304" t="s">
        <v>3214</v>
      </c>
      <c r="F280" s="304" t="s">
        <v>5870</v>
      </c>
      <c r="G280" s="1111">
        <v>210365</v>
      </c>
      <c r="H280" s="1110" t="s">
        <v>636</v>
      </c>
    </row>
    <row r="281" spans="1:10" ht="25.5">
      <c r="A281" s="347">
        <v>310</v>
      </c>
      <c r="B281" s="304" t="s">
        <v>1982</v>
      </c>
      <c r="C281" s="304" t="s">
        <v>5871</v>
      </c>
      <c r="D281" s="304" t="s">
        <v>4505</v>
      </c>
      <c r="E281" s="304" t="s">
        <v>4506</v>
      </c>
      <c r="F281" s="304" t="s">
        <v>4507</v>
      </c>
    </row>
    <row r="282" spans="1:10">
      <c r="A282" s="347">
        <v>311</v>
      </c>
      <c r="B282" s="304" t="s">
        <v>5865</v>
      </c>
      <c r="C282" s="304" t="s">
        <v>3282</v>
      </c>
      <c r="D282" s="304" t="s">
        <v>735</v>
      </c>
      <c r="E282" s="304" t="s">
        <v>1680</v>
      </c>
      <c r="F282" s="304" t="s">
        <v>1681</v>
      </c>
      <c r="G282" s="1111">
        <v>11581</v>
      </c>
      <c r="H282" s="1110" t="s">
        <v>2816</v>
      </c>
      <c r="I282" s="304" t="s">
        <v>3283</v>
      </c>
      <c r="J282" s="304" t="s">
        <v>1984</v>
      </c>
    </row>
    <row r="283" spans="1:10">
      <c r="A283" s="347">
        <v>312</v>
      </c>
      <c r="B283" s="304" t="s">
        <v>1682</v>
      </c>
      <c r="C283" s="304" t="s">
        <v>1683</v>
      </c>
      <c r="D283" s="304" t="s">
        <v>1684</v>
      </c>
      <c r="E283" s="304"/>
      <c r="F283" s="304" t="s">
        <v>5185</v>
      </c>
      <c r="G283" s="1111">
        <v>11602</v>
      </c>
      <c r="H283" s="1110" t="s">
        <v>6288</v>
      </c>
    </row>
    <row r="284" spans="1:10">
      <c r="A284" s="347">
        <v>313</v>
      </c>
      <c r="B284" s="304" t="s">
        <v>5186</v>
      </c>
      <c r="C284" s="304" t="s">
        <v>5187</v>
      </c>
      <c r="D284" s="304" t="s">
        <v>2111</v>
      </c>
      <c r="E284" s="304"/>
      <c r="F284" s="304" t="s">
        <v>3058</v>
      </c>
      <c r="G284" s="1111">
        <v>210522</v>
      </c>
      <c r="H284" s="1110" t="s">
        <v>5440</v>
      </c>
      <c r="J284" s="304" t="s">
        <v>3059</v>
      </c>
    </row>
    <row r="285" spans="1:10" ht="25.5">
      <c r="A285" s="347">
        <v>314</v>
      </c>
      <c r="B285" s="304" t="s">
        <v>3060</v>
      </c>
      <c r="C285" s="304" t="s">
        <v>3758</v>
      </c>
      <c r="D285" s="304" t="s">
        <v>5162</v>
      </c>
      <c r="E285" s="304" t="s">
        <v>804</v>
      </c>
      <c r="F285" s="304" t="s">
        <v>5051</v>
      </c>
      <c r="G285" s="1111">
        <v>11687</v>
      </c>
      <c r="H285" s="1110" t="s">
        <v>4426</v>
      </c>
      <c r="I285" s="304" t="s">
        <v>2982</v>
      </c>
      <c r="J285" s="304" t="s">
        <v>2983</v>
      </c>
    </row>
    <row r="286" spans="1:10" ht="25.5">
      <c r="A286" s="347">
        <v>315</v>
      </c>
      <c r="B286" s="304" t="s">
        <v>5808</v>
      </c>
      <c r="C286" s="304" t="s">
        <v>3667</v>
      </c>
      <c r="D286" s="304" t="s">
        <v>3668</v>
      </c>
      <c r="E286" s="304" t="s">
        <v>3669</v>
      </c>
      <c r="F286" s="304" t="s">
        <v>5085</v>
      </c>
      <c r="G286" s="1111">
        <v>210769</v>
      </c>
      <c r="H286" s="1110" t="s">
        <v>1675</v>
      </c>
    </row>
    <row r="287" spans="1:10" ht="25.5">
      <c r="A287" s="347">
        <v>316</v>
      </c>
      <c r="B287" s="304" t="s">
        <v>5086</v>
      </c>
      <c r="C287" s="304" t="s">
        <v>3576</v>
      </c>
      <c r="D287" s="304" t="s">
        <v>5359</v>
      </c>
      <c r="E287" s="304" t="s">
        <v>5360</v>
      </c>
      <c r="F287" s="304" t="s">
        <v>2273</v>
      </c>
      <c r="G287" s="1111">
        <v>11693</v>
      </c>
      <c r="H287" s="1110" t="s">
        <v>3036</v>
      </c>
    </row>
    <row r="288" spans="1:10" ht="25.5">
      <c r="A288" s="347">
        <v>317</v>
      </c>
      <c r="B288" s="304" t="s">
        <v>2866</v>
      </c>
      <c r="C288" s="304" t="s">
        <v>3576</v>
      </c>
      <c r="D288" s="304" t="s">
        <v>2867</v>
      </c>
      <c r="E288" s="304"/>
      <c r="F288" s="304" t="s">
        <v>2633</v>
      </c>
      <c r="G288" s="1111">
        <v>11696</v>
      </c>
      <c r="H288" s="1110" t="s">
        <v>566</v>
      </c>
    </row>
    <row r="289" spans="1:10" ht="25.5">
      <c r="A289" s="347">
        <v>318</v>
      </c>
      <c r="B289" s="304" t="s">
        <v>2868</v>
      </c>
      <c r="C289" s="304" t="s">
        <v>3576</v>
      </c>
      <c r="D289" s="304"/>
      <c r="E289" s="304" t="s">
        <v>2869</v>
      </c>
      <c r="F289" s="304" t="s">
        <v>3367</v>
      </c>
      <c r="G289" s="1111">
        <v>11686</v>
      </c>
      <c r="H289" s="1110" t="s">
        <v>4098</v>
      </c>
    </row>
    <row r="290" spans="1:10">
      <c r="A290" s="347">
        <v>319</v>
      </c>
      <c r="B290" s="304" t="s">
        <v>4679</v>
      </c>
      <c r="C290" s="304" t="s">
        <v>6365</v>
      </c>
      <c r="D290" s="304" t="s">
        <v>1893</v>
      </c>
      <c r="E290" s="304"/>
      <c r="F290" s="304" t="s">
        <v>2997</v>
      </c>
      <c r="G290" s="1111">
        <v>11468</v>
      </c>
      <c r="H290" s="1110" t="s">
        <v>5610</v>
      </c>
    </row>
    <row r="291" spans="1:10" ht="25.5">
      <c r="A291" s="347">
        <v>320</v>
      </c>
      <c r="B291" s="304" t="s">
        <v>2866</v>
      </c>
      <c r="C291" s="304" t="s">
        <v>1985</v>
      </c>
      <c r="D291" s="304" t="s">
        <v>2485</v>
      </c>
      <c r="E291" s="304"/>
      <c r="F291" s="304" t="s">
        <v>2486</v>
      </c>
      <c r="G291" s="1111">
        <v>14973</v>
      </c>
      <c r="H291" s="1110" t="s">
        <v>1484</v>
      </c>
      <c r="I291" s="304" t="s">
        <v>1986</v>
      </c>
      <c r="J291" s="304" t="s">
        <v>2487</v>
      </c>
    </row>
    <row r="292" spans="1:10">
      <c r="A292" s="347">
        <v>321</v>
      </c>
      <c r="B292" s="304" t="s">
        <v>2488</v>
      </c>
      <c r="C292" s="304" t="s">
        <v>3576</v>
      </c>
      <c r="D292" s="304" t="s">
        <v>2489</v>
      </c>
      <c r="E292" s="304"/>
      <c r="F292" s="304" t="s">
        <v>2490</v>
      </c>
    </row>
    <row r="293" spans="1:10" ht="25.5">
      <c r="A293" s="347">
        <v>322</v>
      </c>
      <c r="B293" s="304" t="s">
        <v>2491</v>
      </c>
      <c r="C293" s="304" t="s">
        <v>2492</v>
      </c>
      <c r="D293" s="304"/>
      <c r="E293" s="304" t="s">
        <v>4204</v>
      </c>
      <c r="F293" s="304" t="s">
        <v>6065</v>
      </c>
      <c r="G293" s="1111">
        <v>210366</v>
      </c>
      <c r="H293" s="1110" t="s">
        <v>5999</v>
      </c>
    </row>
    <row r="294" spans="1:10">
      <c r="A294" s="347">
        <v>323</v>
      </c>
      <c r="B294" s="304" t="s">
        <v>5442</v>
      </c>
      <c r="C294" s="304" t="s">
        <v>3576</v>
      </c>
      <c r="D294" s="304" t="s">
        <v>5444</v>
      </c>
      <c r="E294" s="304"/>
      <c r="F294" s="304" t="s">
        <v>1541</v>
      </c>
      <c r="G294" s="1111">
        <v>11581</v>
      </c>
      <c r="H294" s="1110" t="s">
        <v>2816</v>
      </c>
    </row>
    <row r="295" spans="1:10" ht="25.5">
      <c r="A295" s="347">
        <v>324</v>
      </c>
      <c r="B295" s="304" t="s">
        <v>6210</v>
      </c>
      <c r="C295" s="304" t="s">
        <v>4106</v>
      </c>
      <c r="D295" s="304" t="s">
        <v>3992</v>
      </c>
      <c r="E295" s="304" t="s">
        <v>3993</v>
      </c>
      <c r="F295" s="304" t="s">
        <v>5681</v>
      </c>
      <c r="I295" s="304" t="s">
        <v>3660</v>
      </c>
      <c r="J295" s="304" t="s">
        <v>3661</v>
      </c>
    </row>
    <row r="296" spans="1:10" ht="25.5">
      <c r="A296" s="347">
        <v>325</v>
      </c>
      <c r="B296" s="304" t="s">
        <v>3662</v>
      </c>
      <c r="C296" s="304" t="s">
        <v>2758</v>
      </c>
      <c r="D296" s="304" t="s">
        <v>2759</v>
      </c>
      <c r="E296" s="304"/>
      <c r="F296" s="304" t="s">
        <v>5971</v>
      </c>
      <c r="G296" s="1111">
        <v>210296</v>
      </c>
      <c r="H296" s="1110" t="s">
        <v>1808</v>
      </c>
    </row>
    <row r="297" spans="1:10" ht="13.5" customHeight="1">
      <c r="A297" s="347">
        <v>326</v>
      </c>
      <c r="B297" s="304" t="s">
        <v>3434</v>
      </c>
      <c r="C297" s="304" t="s">
        <v>4288</v>
      </c>
      <c r="D297" s="304" t="s">
        <v>3435</v>
      </c>
      <c r="E297" s="304" t="s">
        <v>4291</v>
      </c>
      <c r="F297" s="304" t="s">
        <v>5141</v>
      </c>
      <c r="G297" s="1111">
        <v>11602</v>
      </c>
      <c r="H297" s="1110" t="s">
        <v>6288</v>
      </c>
      <c r="I297" s="304" t="s">
        <v>4289</v>
      </c>
      <c r="J297" s="304" t="s">
        <v>4290</v>
      </c>
    </row>
    <row r="298" spans="1:10">
      <c r="A298" s="347">
        <v>327</v>
      </c>
      <c r="B298" s="304" t="s">
        <v>3801</v>
      </c>
      <c r="C298" s="304" t="s">
        <v>5142</v>
      </c>
      <c r="D298" s="304" t="s">
        <v>5143</v>
      </c>
      <c r="E298" s="304"/>
      <c r="F298" s="304" t="s">
        <v>5073</v>
      </c>
      <c r="G298" s="1111">
        <v>210365</v>
      </c>
      <c r="H298" s="1110" t="s">
        <v>636</v>
      </c>
      <c r="I298" s="304" t="s">
        <v>5074</v>
      </c>
    </row>
    <row r="299" spans="1:10">
      <c r="A299" s="347">
        <v>329</v>
      </c>
      <c r="B299" s="304" t="s">
        <v>5075</v>
      </c>
      <c r="C299" s="304" t="s">
        <v>5076</v>
      </c>
      <c r="D299" s="304" t="s">
        <v>6073</v>
      </c>
      <c r="E299" s="304"/>
      <c r="F299" s="304" t="s">
        <v>1364</v>
      </c>
      <c r="G299" s="1111">
        <v>210365</v>
      </c>
      <c r="H299" s="1110" t="s">
        <v>636</v>
      </c>
    </row>
    <row r="300" spans="1:10">
      <c r="A300" s="347">
        <v>330</v>
      </c>
      <c r="B300" s="304" t="s">
        <v>2908</v>
      </c>
      <c r="C300" s="304" t="s">
        <v>2909</v>
      </c>
      <c r="D300" s="304" t="s">
        <v>2910</v>
      </c>
      <c r="E300" s="304" t="s">
        <v>3118</v>
      </c>
      <c r="F300" s="304" t="s">
        <v>4915</v>
      </c>
      <c r="G300" s="1111">
        <v>209679</v>
      </c>
      <c r="H300" s="1110" t="s">
        <v>3100</v>
      </c>
      <c r="I300" s="304" t="s">
        <v>3497</v>
      </c>
      <c r="J300" s="304" t="s">
        <v>3498</v>
      </c>
    </row>
    <row r="301" spans="1:10">
      <c r="A301" s="347">
        <v>331</v>
      </c>
      <c r="B301" s="304" t="s">
        <v>3801</v>
      </c>
      <c r="C301" s="304" t="s">
        <v>3499</v>
      </c>
      <c r="D301" s="304" t="s">
        <v>3500</v>
      </c>
      <c r="E301" s="304" t="s">
        <v>5117</v>
      </c>
      <c r="F301" s="304" t="s">
        <v>2717</v>
      </c>
      <c r="I301" s="304" t="s">
        <v>1249</v>
      </c>
      <c r="J301" s="304" t="s">
        <v>1250</v>
      </c>
    </row>
    <row r="302" spans="1:10" ht="25.5">
      <c r="A302" s="347">
        <v>332</v>
      </c>
      <c r="B302" s="304" t="s">
        <v>2954</v>
      </c>
      <c r="C302" s="304" t="s">
        <v>3576</v>
      </c>
      <c r="D302" s="304" t="s">
        <v>2955</v>
      </c>
      <c r="E302" s="304"/>
      <c r="F302" s="304" t="s">
        <v>2956</v>
      </c>
      <c r="G302" s="1111">
        <v>11687</v>
      </c>
      <c r="H302" s="1110" t="s">
        <v>4426</v>
      </c>
      <c r="I302" s="304" t="s">
        <v>1280</v>
      </c>
      <c r="J302" s="304" t="s">
        <v>776</v>
      </c>
    </row>
    <row r="303" spans="1:10" ht="25.5">
      <c r="A303" s="347">
        <v>333</v>
      </c>
      <c r="B303" s="304" t="s">
        <v>777</v>
      </c>
      <c r="C303" s="304" t="s">
        <v>2621</v>
      </c>
      <c r="D303" s="304" t="s">
        <v>3713</v>
      </c>
      <c r="E303" s="304" t="s">
        <v>4244</v>
      </c>
      <c r="F303" s="304" t="s">
        <v>4245</v>
      </c>
      <c r="G303" s="1111">
        <v>210522</v>
      </c>
      <c r="H303" s="1110" t="s">
        <v>5440</v>
      </c>
    </row>
    <row r="304" spans="1:10">
      <c r="A304" s="347">
        <v>334</v>
      </c>
      <c r="B304" s="304" t="s">
        <v>873</v>
      </c>
      <c r="C304" s="304" t="s">
        <v>3311</v>
      </c>
      <c r="D304" s="304" t="s">
        <v>4209</v>
      </c>
      <c r="E304" s="304"/>
      <c r="F304" s="304" t="s">
        <v>791</v>
      </c>
      <c r="G304" s="1111">
        <v>11693</v>
      </c>
      <c r="H304" s="1110" t="s">
        <v>3036</v>
      </c>
    </row>
    <row r="305" spans="1:10" ht="25.5">
      <c r="A305" s="347">
        <v>335</v>
      </c>
      <c r="B305" s="304" t="s">
        <v>4658</v>
      </c>
      <c r="C305" s="304" t="s">
        <v>5123</v>
      </c>
      <c r="D305" s="304" t="s">
        <v>6326</v>
      </c>
      <c r="E305" s="304"/>
      <c r="F305" s="304" t="s">
        <v>1631</v>
      </c>
      <c r="G305" s="1111">
        <v>210769</v>
      </c>
      <c r="H305" s="1110" t="s">
        <v>1675</v>
      </c>
    </row>
    <row r="306" spans="1:10">
      <c r="A306" s="347">
        <v>336</v>
      </c>
      <c r="B306" s="304" t="s">
        <v>3136</v>
      </c>
      <c r="C306" s="304" t="s">
        <v>1666</v>
      </c>
      <c r="D306" s="304" t="s">
        <v>3747</v>
      </c>
      <c r="E306" s="304"/>
      <c r="F306" s="304" t="s">
        <v>2787</v>
      </c>
      <c r="G306" s="1111">
        <v>11686</v>
      </c>
      <c r="H306" s="1110" t="s">
        <v>4098</v>
      </c>
    </row>
    <row r="307" spans="1:10">
      <c r="A307" s="347">
        <v>337</v>
      </c>
      <c r="B307" s="304" t="s">
        <v>2788</v>
      </c>
      <c r="C307" s="304" t="s">
        <v>2789</v>
      </c>
      <c r="D307" s="304" t="s">
        <v>2790</v>
      </c>
      <c r="E307" s="304"/>
      <c r="F307" s="304" t="s">
        <v>2098</v>
      </c>
      <c r="G307" s="1111">
        <v>11690</v>
      </c>
      <c r="H307" s="1110" t="s">
        <v>3690</v>
      </c>
      <c r="I307" s="304" t="s">
        <v>2099</v>
      </c>
      <c r="J307" s="304" t="s">
        <v>2599</v>
      </c>
    </row>
    <row r="308" spans="1:10">
      <c r="A308" s="347">
        <v>338</v>
      </c>
      <c r="B308" s="304" t="s">
        <v>2606</v>
      </c>
      <c r="C308" s="304" t="s">
        <v>2607</v>
      </c>
      <c r="D308" s="304" t="s">
        <v>1862</v>
      </c>
      <c r="E308" s="304"/>
      <c r="F308" s="304" t="s">
        <v>1863</v>
      </c>
      <c r="G308" s="1111">
        <v>209679</v>
      </c>
      <c r="H308" s="1110" t="s">
        <v>3100</v>
      </c>
      <c r="I308" s="304" t="s">
        <v>4698</v>
      </c>
      <c r="J308" s="304" t="s">
        <v>5584</v>
      </c>
    </row>
    <row r="309" spans="1:10">
      <c r="A309" s="347">
        <v>339</v>
      </c>
      <c r="B309" s="304" t="s">
        <v>5585</v>
      </c>
      <c r="C309" s="304" t="s">
        <v>5586</v>
      </c>
      <c r="D309" s="304" t="s">
        <v>5587</v>
      </c>
      <c r="E309" s="304" t="s">
        <v>3333</v>
      </c>
      <c r="F309" s="304" t="s">
        <v>3334</v>
      </c>
      <c r="I309" s="304" t="s">
        <v>1897</v>
      </c>
      <c r="J309" s="304" t="s">
        <v>4466</v>
      </c>
    </row>
    <row r="310" spans="1:10">
      <c r="A310" s="347">
        <v>340</v>
      </c>
      <c r="B310" s="304" t="s">
        <v>3923</v>
      </c>
      <c r="C310" s="304" t="s">
        <v>3861</v>
      </c>
      <c r="D310" s="304" t="s">
        <v>1476</v>
      </c>
      <c r="E310" s="304"/>
      <c r="F310" s="304" t="s">
        <v>5523</v>
      </c>
      <c r="G310" s="1111">
        <v>11690</v>
      </c>
      <c r="H310" s="1110" t="s">
        <v>3690</v>
      </c>
    </row>
    <row r="311" spans="1:10">
      <c r="A311" s="347">
        <v>341</v>
      </c>
      <c r="B311" s="304" t="s">
        <v>4517</v>
      </c>
      <c r="C311" s="304" t="s">
        <v>4518</v>
      </c>
      <c r="D311" s="304" t="s">
        <v>4519</v>
      </c>
      <c r="E311" s="304"/>
      <c r="F311" s="304" t="s">
        <v>2969</v>
      </c>
    </row>
    <row r="312" spans="1:10">
      <c r="A312" s="347">
        <v>342</v>
      </c>
      <c r="B312" s="304" t="s">
        <v>4307</v>
      </c>
      <c r="C312" s="304" t="s">
        <v>5234</v>
      </c>
      <c r="D312" s="304" t="s">
        <v>2357</v>
      </c>
      <c r="E312" s="304" t="s">
        <v>4538</v>
      </c>
      <c r="F312" s="304" t="s">
        <v>5048</v>
      </c>
      <c r="G312" s="1111">
        <v>14973</v>
      </c>
      <c r="H312" s="1110" t="s">
        <v>1484</v>
      </c>
      <c r="I312" s="304" t="s">
        <v>5235</v>
      </c>
      <c r="J312" s="304" t="s">
        <v>5049</v>
      </c>
    </row>
    <row r="313" spans="1:10">
      <c r="A313" s="347">
        <v>344</v>
      </c>
      <c r="B313" s="304" t="s">
        <v>701</v>
      </c>
      <c r="C313" s="304" t="s">
        <v>95</v>
      </c>
      <c r="D313" s="304" t="s">
        <v>96</v>
      </c>
      <c r="E313" s="304"/>
      <c r="F313" s="304" t="s">
        <v>5974</v>
      </c>
      <c r="I313" s="304" t="s">
        <v>5975</v>
      </c>
      <c r="J313" s="304" t="s">
        <v>3409</v>
      </c>
    </row>
    <row r="314" spans="1:10">
      <c r="A314" s="347">
        <v>345</v>
      </c>
      <c r="B314" s="304" t="s">
        <v>995</v>
      </c>
      <c r="C314" s="304" t="s">
        <v>996</v>
      </c>
      <c r="D314" s="304" t="s">
        <v>997</v>
      </c>
      <c r="E314" s="304"/>
      <c r="F314" s="304" t="s">
        <v>998</v>
      </c>
      <c r="G314" s="1111">
        <v>11602</v>
      </c>
      <c r="H314" s="1110" t="s">
        <v>6288</v>
      </c>
    </row>
    <row r="315" spans="1:10" ht="25.5">
      <c r="A315" s="347">
        <v>346</v>
      </c>
      <c r="B315" s="304" t="s">
        <v>38</v>
      </c>
      <c r="C315" s="304" t="s">
        <v>3761</v>
      </c>
      <c r="D315" s="304" t="s">
        <v>652</v>
      </c>
      <c r="E315" s="304" t="s">
        <v>653</v>
      </c>
      <c r="F315" s="304" t="s">
        <v>5</v>
      </c>
      <c r="G315" s="1111">
        <v>11690</v>
      </c>
      <c r="H315" s="1110" t="s">
        <v>3690</v>
      </c>
      <c r="I315" s="304" t="s">
        <v>6</v>
      </c>
      <c r="J315" s="304" t="s">
        <v>7</v>
      </c>
    </row>
    <row r="316" spans="1:10" ht="25.5">
      <c r="A316" s="347">
        <v>347</v>
      </c>
      <c r="B316" s="304" t="s">
        <v>256</v>
      </c>
      <c r="C316" s="304" t="s">
        <v>257</v>
      </c>
      <c r="D316" s="304" t="s">
        <v>258</v>
      </c>
      <c r="E316" s="304"/>
      <c r="F316" s="304" t="s">
        <v>259</v>
      </c>
      <c r="G316" s="1111">
        <v>210296</v>
      </c>
      <c r="H316" s="1110" t="s">
        <v>1808</v>
      </c>
    </row>
    <row r="317" spans="1:10">
      <c r="A317" s="347">
        <v>348</v>
      </c>
      <c r="B317" s="304" t="s">
        <v>260</v>
      </c>
      <c r="C317" s="304" t="s">
        <v>3576</v>
      </c>
      <c r="D317" s="304" t="s">
        <v>261</v>
      </c>
      <c r="E317" s="304" t="s">
        <v>262</v>
      </c>
      <c r="F317" s="304" t="s">
        <v>5364</v>
      </c>
      <c r="G317" s="1111">
        <v>209679</v>
      </c>
      <c r="H317" s="1110" t="s">
        <v>3100</v>
      </c>
    </row>
    <row r="318" spans="1:10">
      <c r="A318" s="347">
        <v>349</v>
      </c>
      <c r="B318" s="304" t="s">
        <v>5365</v>
      </c>
      <c r="C318" s="304" t="s">
        <v>3576</v>
      </c>
      <c r="D318" s="304"/>
      <c r="E318" s="304" t="s">
        <v>6013</v>
      </c>
      <c r="F318" s="304" t="s">
        <v>4866</v>
      </c>
      <c r="G318" s="1111">
        <v>11691</v>
      </c>
      <c r="H318" s="1110" t="s">
        <v>1133</v>
      </c>
    </row>
    <row r="319" spans="1:10" ht="25.5">
      <c r="A319" s="347">
        <v>350</v>
      </c>
      <c r="B319" s="304" t="s">
        <v>4782</v>
      </c>
      <c r="C319" s="304" t="s">
        <v>4094</v>
      </c>
      <c r="D319" s="304" t="s">
        <v>4783</v>
      </c>
      <c r="E319" s="304" t="s">
        <v>5419</v>
      </c>
      <c r="F319" s="304" t="s">
        <v>4970</v>
      </c>
      <c r="G319" s="1111">
        <v>210769</v>
      </c>
      <c r="H319" s="1110" t="s">
        <v>1675</v>
      </c>
      <c r="I319" s="304" t="s">
        <v>4971</v>
      </c>
      <c r="J319" s="304" t="s">
        <v>4972</v>
      </c>
    </row>
    <row r="320" spans="1:10">
      <c r="A320" s="347">
        <v>351</v>
      </c>
      <c r="B320" s="304" t="s">
        <v>605</v>
      </c>
      <c r="C320" s="304" t="s">
        <v>4973</v>
      </c>
      <c r="D320" s="304" t="s">
        <v>4974</v>
      </c>
      <c r="E320" s="304" t="s">
        <v>4975</v>
      </c>
      <c r="F320" s="304" t="s">
        <v>5649</v>
      </c>
      <c r="I320" s="304" t="s">
        <v>5650</v>
      </c>
      <c r="J320" s="304" t="s">
        <v>5651</v>
      </c>
    </row>
    <row r="321" spans="1:10" ht="25.5">
      <c r="A321" s="347">
        <v>352</v>
      </c>
      <c r="B321" s="304" t="s">
        <v>3729</v>
      </c>
      <c r="C321" s="304" t="s">
        <v>3730</v>
      </c>
      <c r="D321" s="304"/>
      <c r="E321" s="304" t="s">
        <v>3731</v>
      </c>
      <c r="F321" s="304" t="s">
        <v>3732</v>
      </c>
      <c r="G321" s="1111">
        <v>11687</v>
      </c>
      <c r="H321" s="1110" t="s">
        <v>4426</v>
      </c>
    </row>
    <row r="322" spans="1:10" ht="25.5">
      <c r="A322" s="347">
        <v>353</v>
      </c>
      <c r="B322" s="304" t="s">
        <v>3733</v>
      </c>
      <c r="C322" s="304" t="s">
        <v>3734</v>
      </c>
      <c r="D322" s="304" t="s">
        <v>1481</v>
      </c>
      <c r="E322" s="304"/>
      <c r="F322" s="304" t="s">
        <v>1482</v>
      </c>
      <c r="G322" s="1111">
        <v>11687</v>
      </c>
      <c r="H322" s="1110" t="s">
        <v>4426</v>
      </c>
      <c r="I322" s="304" t="s">
        <v>6361</v>
      </c>
      <c r="J322" s="304" t="s">
        <v>6245</v>
      </c>
    </row>
    <row r="323" spans="1:10" ht="25.5">
      <c r="A323" s="347">
        <v>354</v>
      </c>
      <c r="B323" s="304" t="s">
        <v>5065</v>
      </c>
      <c r="C323" s="304" t="s">
        <v>702</v>
      </c>
      <c r="D323" s="304" t="s">
        <v>3020</v>
      </c>
      <c r="E323" s="304"/>
      <c r="F323" s="304" t="s">
        <v>2533</v>
      </c>
      <c r="G323" s="1111">
        <v>11602</v>
      </c>
      <c r="H323" s="1110" t="s">
        <v>6288</v>
      </c>
      <c r="I323" s="304" t="s">
        <v>98</v>
      </c>
    </row>
    <row r="324" spans="1:10" ht="25.5">
      <c r="A324" s="347">
        <v>355</v>
      </c>
      <c r="B324" s="304" t="s">
        <v>99</v>
      </c>
      <c r="C324" s="304" t="s">
        <v>5776</v>
      </c>
      <c r="D324" s="304" t="s">
        <v>5777</v>
      </c>
      <c r="E324" s="304"/>
      <c r="F324" s="304" t="s">
        <v>2083</v>
      </c>
      <c r="G324" s="1111">
        <v>11690</v>
      </c>
      <c r="H324" s="1110" t="s">
        <v>3690</v>
      </c>
    </row>
    <row r="325" spans="1:10">
      <c r="A325" s="347">
        <v>356</v>
      </c>
      <c r="B325" s="304" t="s">
        <v>2084</v>
      </c>
      <c r="C325" s="304" t="s">
        <v>4596</v>
      </c>
      <c r="D325" s="304" t="s">
        <v>4597</v>
      </c>
      <c r="E325" s="304"/>
      <c r="F325" s="304" t="s">
        <v>1161</v>
      </c>
    </row>
    <row r="326" spans="1:10">
      <c r="A326" s="347">
        <v>357</v>
      </c>
      <c r="B326" s="304" t="s">
        <v>1162</v>
      </c>
      <c r="C326" s="304" t="s">
        <v>3576</v>
      </c>
      <c r="D326" s="304" t="s">
        <v>3527</v>
      </c>
      <c r="E326" s="304" t="s">
        <v>5328</v>
      </c>
      <c r="F326" s="304" t="s">
        <v>4780</v>
      </c>
      <c r="G326" s="1111">
        <v>11690</v>
      </c>
      <c r="H326" s="1110" t="s">
        <v>3690</v>
      </c>
    </row>
    <row r="327" spans="1:10" ht="25.5">
      <c r="A327" s="347">
        <v>358</v>
      </c>
      <c r="B327" s="304" t="s">
        <v>411</v>
      </c>
      <c r="C327" s="304" t="s">
        <v>412</v>
      </c>
      <c r="D327" s="304" t="s">
        <v>1614</v>
      </c>
      <c r="E327" s="304"/>
      <c r="F327" s="304" t="s">
        <v>4893</v>
      </c>
      <c r="G327" s="1111">
        <v>11687</v>
      </c>
      <c r="H327" s="1110" t="s">
        <v>4426</v>
      </c>
    </row>
    <row r="328" spans="1:10">
      <c r="A328" s="347">
        <v>359</v>
      </c>
      <c r="B328" s="304" t="s">
        <v>4894</v>
      </c>
      <c r="C328" s="304" t="s">
        <v>3576</v>
      </c>
      <c r="D328" s="304" t="s">
        <v>2523</v>
      </c>
      <c r="E328" s="304"/>
      <c r="F328" s="304" t="s">
        <v>2118</v>
      </c>
      <c r="I328" s="304" t="s">
        <v>4971</v>
      </c>
      <c r="J328" s="304" t="s">
        <v>4972</v>
      </c>
    </row>
    <row r="329" spans="1:10">
      <c r="A329" s="347">
        <v>360</v>
      </c>
      <c r="B329" s="304" t="s">
        <v>4679</v>
      </c>
      <c r="C329" s="304" t="s">
        <v>2214</v>
      </c>
      <c r="D329" s="304" t="s">
        <v>2215</v>
      </c>
      <c r="E329" s="304"/>
      <c r="F329" s="304" t="s">
        <v>2997</v>
      </c>
      <c r="G329" s="1111">
        <v>11468</v>
      </c>
      <c r="H329" s="1110" t="s">
        <v>5610</v>
      </c>
      <c r="J329" s="304" t="s">
        <v>2216</v>
      </c>
    </row>
    <row r="330" spans="1:10">
      <c r="A330" s="347">
        <v>361</v>
      </c>
      <c r="B330" s="304" t="s">
        <v>774</v>
      </c>
      <c r="C330" s="304" t="s">
        <v>4902</v>
      </c>
      <c r="D330" s="304" t="s">
        <v>4068</v>
      </c>
      <c r="E330" s="304"/>
      <c r="F330" s="304" t="s">
        <v>4069</v>
      </c>
      <c r="G330" s="1111">
        <v>210522</v>
      </c>
      <c r="H330" s="1110" t="s">
        <v>5440</v>
      </c>
    </row>
    <row r="331" spans="1:10">
      <c r="A331" s="347">
        <v>362</v>
      </c>
      <c r="B331" s="304" t="s">
        <v>4070</v>
      </c>
      <c r="C331" s="304" t="s">
        <v>4071</v>
      </c>
      <c r="D331" s="304" t="s">
        <v>4072</v>
      </c>
      <c r="E331" s="304"/>
      <c r="F331" s="304" t="s">
        <v>5796</v>
      </c>
      <c r="G331" s="1111">
        <v>11581</v>
      </c>
      <c r="H331" s="1110" t="s">
        <v>2816</v>
      </c>
    </row>
    <row r="332" spans="1:10" ht="25.5">
      <c r="A332" s="347">
        <v>363</v>
      </c>
      <c r="B332" s="304" t="s">
        <v>4073</v>
      </c>
      <c r="C332" s="304" t="s">
        <v>4074</v>
      </c>
      <c r="D332" s="304" t="s">
        <v>2506</v>
      </c>
      <c r="E332" s="304"/>
      <c r="F332" s="304" t="s">
        <v>2507</v>
      </c>
      <c r="G332" s="1111">
        <v>11695</v>
      </c>
      <c r="H332" s="1110" t="s">
        <v>5221</v>
      </c>
    </row>
    <row r="333" spans="1:10" ht="25.5">
      <c r="A333" s="347">
        <v>364</v>
      </c>
      <c r="B333" s="304" t="s">
        <v>2280</v>
      </c>
      <c r="C333" s="304" t="s">
        <v>3576</v>
      </c>
      <c r="D333" s="304"/>
      <c r="E333" s="304" t="s">
        <v>4512</v>
      </c>
      <c r="F333" s="304" t="s">
        <v>4284</v>
      </c>
      <c r="G333" s="1111">
        <v>209797</v>
      </c>
      <c r="H333" s="1110" t="s">
        <v>2563</v>
      </c>
    </row>
    <row r="334" spans="1:10" ht="25.5">
      <c r="A334" s="347">
        <v>365</v>
      </c>
      <c r="B334" s="304" t="s">
        <v>5455</v>
      </c>
      <c r="C334" s="304" t="s">
        <v>5456</v>
      </c>
      <c r="D334" s="304" t="s">
        <v>5457</v>
      </c>
      <c r="E334" s="304"/>
      <c r="F334" s="304" t="s">
        <v>1784</v>
      </c>
      <c r="G334" s="1111">
        <v>11687</v>
      </c>
      <c r="H334" s="1110" t="s">
        <v>4426</v>
      </c>
      <c r="I334" s="304" t="s">
        <v>5458</v>
      </c>
      <c r="J334" s="304" t="s">
        <v>775</v>
      </c>
    </row>
    <row r="335" spans="1:10">
      <c r="A335" s="347">
        <v>366</v>
      </c>
      <c r="B335" s="304" t="s">
        <v>4504</v>
      </c>
      <c r="C335" s="304" t="s">
        <v>4142</v>
      </c>
      <c r="D335" s="304" t="s">
        <v>3267</v>
      </c>
      <c r="E335" s="304"/>
      <c r="F335" s="304" t="s">
        <v>5462</v>
      </c>
      <c r="G335" s="1111">
        <v>11686</v>
      </c>
      <c r="H335" s="1110" t="s">
        <v>4098</v>
      </c>
      <c r="I335" s="304" t="s">
        <v>4143</v>
      </c>
      <c r="J335" s="304" t="s">
        <v>4144</v>
      </c>
    </row>
    <row r="336" spans="1:10" ht="25.5">
      <c r="A336" s="347">
        <v>367</v>
      </c>
      <c r="B336" s="304" t="s">
        <v>5696</v>
      </c>
      <c r="C336" s="304" t="s">
        <v>1068</v>
      </c>
      <c r="D336" s="304" t="s">
        <v>1069</v>
      </c>
      <c r="E336" s="304" t="s">
        <v>1070</v>
      </c>
      <c r="F336" s="304" t="s">
        <v>1127</v>
      </c>
      <c r="G336" s="1111">
        <v>11690</v>
      </c>
      <c r="H336" s="1110" t="s">
        <v>3690</v>
      </c>
    </row>
    <row r="337" spans="1:10" ht="25.5">
      <c r="A337" s="347">
        <v>368</v>
      </c>
      <c r="B337" s="304" t="s">
        <v>4248</v>
      </c>
      <c r="C337" s="304" t="s">
        <v>2150</v>
      </c>
      <c r="D337" s="304" t="s">
        <v>3694</v>
      </c>
      <c r="E337" s="304" t="s">
        <v>3695</v>
      </c>
      <c r="F337" s="304" t="s">
        <v>3646</v>
      </c>
      <c r="G337" s="1111">
        <v>210522</v>
      </c>
      <c r="H337" s="1110" t="s">
        <v>5440</v>
      </c>
      <c r="I337" s="304" t="s">
        <v>2151</v>
      </c>
      <c r="J337" s="304" t="s">
        <v>3647</v>
      </c>
    </row>
    <row r="338" spans="1:10" ht="25.5">
      <c r="A338" s="347">
        <v>369</v>
      </c>
      <c r="B338" s="304" t="s">
        <v>3648</v>
      </c>
      <c r="C338" s="304" t="s">
        <v>3649</v>
      </c>
      <c r="D338" s="304" t="s">
        <v>267</v>
      </c>
      <c r="E338" s="304"/>
      <c r="F338" s="304" t="s">
        <v>268</v>
      </c>
      <c r="G338" s="1111">
        <v>210366</v>
      </c>
      <c r="H338" s="1110" t="s">
        <v>5999</v>
      </c>
      <c r="I338" s="304" t="s">
        <v>269</v>
      </c>
      <c r="J338" s="304" t="s">
        <v>6280</v>
      </c>
    </row>
    <row r="339" spans="1:10" ht="25.5">
      <c r="A339" s="347">
        <v>370</v>
      </c>
      <c r="B339" s="304" t="s">
        <v>6281</v>
      </c>
      <c r="C339" s="304" t="s">
        <v>3576</v>
      </c>
      <c r="D339" s="304" t="s">
        <v>637</v>
      </c>
      <c r="E339" s="304"/>
      <c r="F339" s="304" t="s">
        <v>638</v>
      </c>
      <c r="G339" s="1111">
        <v>11694</v>
      </c>
      <c r="H339" s="1110" t="s">
        <v>3048</v>
      </c>
    </row>
    <row r="340" spans="1:10">
      <c r="A340" s="347">
        <v>371</v>
      </c>
      <c r="B340" s="304" t="s">
        <v>3049</v>
      </c>
      <c r="C340" s="304" t="s">
        <v>4205</v>
      </c>
      <c r="D340" s="304" t="s">
        <v>4652</v>
      </c>
      <c r="E340" s="304"/>
      <c r="F340" s="304" t="s">
        <v>808</v>
      </c>
      <c r="G340" s="1111">
        <v>11690</v>
      </c>
      <c r="H340" s="1110" t="s">
        <v>3690</v>
      </c>
      <c r="I340" s="304" t="s">
        <v>4653</v>
      </c>
      <c r="J340" s="304" t="s">
        <v>4654</v>
      </c>
    </row>
    <row r="341" spans="1:10" ht="25.5">
      <c r="A341" s="347">
        <v>372</v>
      </c>
      <c r="B341" s="304" t="s">
        <v>290</v>
      </c>
      <c r="C341" s="304" t="s">
        <v>3576</v>
      </c>
      <c r="D341" s="304" t="s">
        <v>2626</v>
      </c>
      <c r="E341" s="304"/>
      <c r="F341" s="304" t="s">
        <v>2627</v>
      </c>
      <c r="G341" s="1111">
        <v>11687</v>
      </c>
      <c r="H341" s="1110" t="s">
        <v>4426</v>
      </c>
    </row>
    <row r="342" spans="1:10" ht="25.5">
      <c r="A342" s="347">
        <v>373</v>
      </c>
      <c r="B342" s="304" t="s">
        <v>3961</v>
      </c>
      <c r="C342" s="304" t="s">
        <v>3962</v>
      </c>
      <c r="D342" s="304" t="s">
        <v>2612</v>
      </c>
      <c r="E342" s="304" t="s">
        <v>5080</v>
      </c>
      <c r="F342" s="304" t="s">
        <v>5081</v>
      </c>
      <c r="G342" s="1111">
        <v>11468</v>
      </c>
      <c r="H342" s="1110" t="s">
        <v>5610</v>
      </c>
      <c r="I342" s="304" t="s">
        <v>5082</v>
      </c>
      <c r="J342" s="304" t="s">
        <v>5083</v>
      </c>
    </row>
    <row r="343" spans="1:10" ht="25.5">
      <c r="A343" s="347">
        <v>374</v>
      </c>
      <c r="B343" s="304" t="s">
        <v>1497</v>
      </c>
      <c r="C343" s="304" t="s">
        <v>5084</v>
      </c>
      <c r="D343" s="304" t="s">
        <v>153</v>
      </c>
      <c r="E343" s="304" t="s">
        <v>154</v>
      </c>
      <c r="F343" s="304" t="s">
        <v>5994</v>
      </c>
      <c r="G343" s="1111">
        <v>11690</v>
      </c>
      <c r="H343" s="1110" t="s">
        <v>3690</v>
      </c>
    </row>
    <row r="344" spans="1:10">
      <c r="A344" s="347">
        <v>375</v>
      </c>
      <c r="B344" s="304" t="s">
        <v>2979</v>
      </c>
      <c r="C344" s="304" t="s">
        <v>1022</v>
      </c>
      <c r="D344" s="304" t="s">
        <v>398</v>
      </c>
      <c r="E344" s="304"/>
      <c r="F344" s="304" t="s">
        <v>399</v>
      </c>
      <c r="G344" s="1111">
        <v>11686</v>
      </c>
      <c r="H344" s="1110" t="s">
        <v>4098</v>
      </c>
      <c r="I344" s="304" t="s">
        <v>400</v>
      </c>
      <c r="J344" s="304" t="s">
        <v>401</v>
      </c>
    </row>
    <row r="345" spans="1:10">
      <c r="A345" s="347">
        <v>376</v>
      </c>
      <c r="B345" s="304" t="s">
        <v>5113</v>
      </c>
      <c r="C345" s="304" t="s">
        <v>2687</v>
      </c>
      <c r="D345" s="304" t="s">
        <v>2688</v>
      </c>
      <c r="E345" s="304"/>
      <c r="F345" s="304" t="s">
        <v>2633</v>
      </c>
      <c r="G345" s="1111">
        <v>11696</v>
      </c>
      <c r="H345" s="1110" t="s">
        <v>566</v>
      </c>
      <c r="J345" s="304" t="s">
        <v>2689</v>
      </c>
    </row>
    <row r="346" spans="1:10" ht="25.5">
      <c r="A346" s="347">
        <v>377</v>
      </c>
      <c r="B346" s="304" t="s">
        <v>4246</v>
      </c>
      <c r="C346" s="304" t="s">
        <v>4247</v>
      </c>
      <c r="D346" s="304" t="s">
        <v>4850</v>
      </c>
      <c r="E346" s="304"/>
      <c r="F346" s="304" t="s">
        <v>4851</v>
      </c>
    </row>
    <row r="347" spans="1:10">
      <c r="A347" s="347">
        <v>378</v>
      </c>
      <c r="B347" s="304" t="s">
        <v>3218</v>
      </c>
      <c r="C347" s="304" t="s">
        <v>4224</v>
      </c>
      <c r="D347" s="304" t="s">
        <v>4225</v>
      </c>
      <c r="E347" s="304"/>
      <c r="F347" s="304" t="s">
        <v>4226</v>
      </c>
      <c r="G347" s="1111">
        <v>209866</v>
      </c>
      <c r="H347" s="1110" t="s">
        <v>5723</v>
      </c>
      <c r="I347" s="304" t="s">
        <v>4227</v>
      </c>
      <c r="J347" s="304" t="s">
        <v>389</v>
      </c>
    </row>
    <row r="348" spans="1:10" ht="13.5" customHeight="1">
      <c r="A348" s="347">
        <v>379</v>
      </c>
      <c r="B348" s="304" t="s">
        <v>3440</v>
      </c>
      <c r="C348" s="304" t="s">
        <v>3576</v>
      </c>
      <c r="D348" s="304" t="s">
        <v>5989</v>
      </c>
      <c r="E348" s="304"/>
      <c r="F348" s="304" t="s">
        <v>5990</v>
      </c>
      <c r="G348" s="1111">
        <v>210296</v>
      </c>
      <c r="H348" s="1110" t="s">
        <v>1808</v>
      </c>
    </row>
    <row r="349" spans="1:10" ht="25.5">
      <c r="A349" s="347">
        <v>380</v>
      </c>
      <c r="B349" s="304" t="s">
        <v>5991</v>
      </c>
      <c r="C349" s="304" t="s">
        <v>5992</v>
      </c>
      <c r="D349" s="304" t="s">
        <v>5993</v>
      </c>
      <c r="E349" s="304"/>
      <c r="F349" s="304" t="s">
        <v>4001</v>
      </c>
      <c r="G349" s="1111">
        <v>210522</v>
      </c>
      <c r="H349" s="1110" t="s">
        <v>5440</v>
      </c>
      <c r="I349" s="304" t="s">
        <v>4002</v>
      </c>
      <c r="J349" s="304" t="s">
        <v>4003</v>
      </c>
    </row>
    <row r="350" spans="1:10">
      <c r="A350" s="347">
        <v>381</v>
      </c>
      <c r="B350" s="304" t="s">
        <v>4004</v>
      </c>
      <c r="C350" s="304" t="s">
        <v>4005</v>
      </c>
      <c r="D350" s="304" t="s">
        <v>4006</v>
      </c>
      <c r="E350" s="304" t="s">
        <v>6072</v>
      </c>
      <c r="F350" s="304" t="s">
        <v>6040</v>
      </c>
      <c r="G350" s="1111">
        <v>11690</v>
      </c>
      <c r="H350" s="1110" t="s">
        <v>3690</v>
      </c>
    </row>
    <row r="351" spans="1:10">
      <c r="A351" s="347">
        <v>382</v>
      </c>
      <c r="B351" s="304" t="s">
        <v>6041</v>
      </c>
      <c r="C351" s="304" t="s">
        <v>3576</v>
      </c>
      <c r="D351" s="304" t="s">
        <v>5313</v>
      </c>
      <c r="E351" s="304"/>
      <c r="F351" s="304" t="s">
        <v>5314</v>
      </c>
      <c r="G351" s="1111">
        <v>210522</v>
      </c>
      <c r="H351" s="1110" t="s">
        <v>5440</v>
      </c>
      <c r="I351" s="304" t="s">
        <v>5315</v>
      </c>
      <c r="J351" s="304" t="s">
        <v>1577</v>
      </c>
    </row>
    <row r="352" spans="1:10">
      <c r="A352" s="347">
        <v>383</v>
      </c>
      <c r="B352" s="304" t="s">
        <v>1578</v>
      </c>
      <c r="C352" s="304" t="s">
        <v>1579</v>
      </c>
      <c r="D352" s="304" t="s">
        <v>2903</v>
      </c>
      <c r="E352" s="304" t="s">
        <v>247</v>
      </c>
      <c r="F352" s="304" t="s">
        <v>248</v>
      </c>
      <c r="G352" s="1111">
        <v>11602</v>
      </c>
      <c r="H352" s="1110" t="s">
        <v>6288</v>
      </c>
      <c r="I352" s="304" t="s">
        <v>249</v>
      </c>
      <c r="J352" s="304" t="s">
        <v>4111</v>
      </c>
    </row>
    <row r="353" spans="1:10" ht="25.5">
      <c r="A353" s="347">
        <v>384</v>
      </c>
      <c r="B353" s="304" t="s">
        <v>4744</v>
      </c>
      <c r="C353" s="304" t="s">
        <v>1987</v>
      </c>
      <c r="D353" s="304"/>
      <c r="E353" s="304" t="s">
        <v>5368</v>
      </c>
      <c r="F353" s="304" t="s">
        <v>1503</v>
      </c>
      <c r="G353" s="1111">
        <v>11472</v>
      </c>
      <c r="H353" s="1110" t="s">
        <v>1484</v>
      </c>
      <c r="I353" s="304" t="s">
        <v>1988</v>
      </c>
      <c r="J353" s="304" t="s">
        <v>4302</v>
      </c>
    </row>
    <row r="354" spans="1:10">
      <c r="A354" s="347">
        <v>385</v>
      </c>
      <c r="B354" s="304" t="s">
        <v>3609</v>
      </c>
      <c r="C354" s="304" t="s">
        <v>3279</v>
      </c>
      <c r="D354" s="304" t="s">
        <v>4304</v>
      </c>
      <c r="E354" s="304"/>
      <c r="F354" s="304" t="s">
        <v>3611</v>
      </c>
      <c r="G354" s="1111">
        <v>210296</v>
      </c>
      <c r="H354" s="1110" t="s">
        <v>1808</v>
      </c>
      <c r="I354" s="304" t="s">
        <v>6031</v>
      </c>
    </row>
    <row r="355" spans="1:10">
      <c r="A355" s="347">
        <v>386</v>
      </c>
      <c r="B355" s="304" t="s">
        <v>6032</v>
      </c>
      <c r="C355" s="304" t="s">
        <v>6153</v>
      </c>
      <c r="D355" s="304" t="s">
        <v>3585</v>
      </c>
      <c r="E355" s="304" t="s">
        <v>5120</v>
      </c>
      <c r="F355" s="304" t="s">
        <v>913</v>
      </c>
      <c r="G355" s="1111">
        <v>209679</v>
      </c>
      <c r="H355" s="1110" t="s">
        <v>3100</v>
      </c>
      <c r="I355" s="304" t="s">
        <v>6154</v>
      </c>
      <c r="J355" s="304" t="s">
        <v>929</v>
      </c>
    </row>
    <row r="356" spans="1:10">
      <c r="A356" s="347">
        <v>387</v>
      </c>
      <c r="B356" s="304" t="s">
        <v>3216</v>
      </c>
      <c r="C356" s="304" t="s">
        <v>3217</v>
      </c>
      <c r="D356" s="304" t="s">
        <v>6309</v>
      </c>
      <c r="E356" s="304"/>
      <c r="F356" s="304" t="s">
        <v>6310</v>
      </c>
      <c r="G356" s="1111">
        <v>11472</v>
      </c>
      <c r="H356" s="1110" t="s">
        <v>1484</v>
      </c>
      <c r="I356" s="304" t="s">
        <v>6311</v>
      </c>
      <c r="J356" s="304" t="s">
        <v>6312</v>
      </c>
    </row>
    <row r="357" spans="1:10">
      <c r="A357" s="347">
        <v>388</v>
      </c>
      <c r="B357" s="304" t="s">
        <v>6313</v>
      </c>
      <c r="C357" s="304" t="s">
        <v>3862</v>
      </c>
      <c r="D357" s="304" t="s">
        <v>2808</v>
      </c>
      <c r="E357" s="304"/>
      <c r="F357" s="304" t="s">
        <v>3294</v>
      </c>
      <c r="G357" s="1111">
        <v>11602</v>
      </c>
      <c r="H357" s="1110" t="s">
        <v>6288</v>
      </c>
    </row>
    <row r="358" spans="1:10">
      <c r="A358" s="347">
        <v>389</v>
      </c>
      <c r="B358" s="304" t="s">
        <v>3295</v>
      </c>
      <c r="C358" s="304" t="s">
        <v>3296</v>
      </c>
      <c r="D358" s="304" t="s">
        <v>3297</v>
      </c>
      <c r="E358" s="304"/>
      <c r="F358" s="304" t="s">
        <v>2782</v>
      </c>
      <c r="I358" s="304" t="s">
        <v>2783</v>
      </c>
      <c r="J358" s="304" t="s">
        <v>2784</v>
      </c>
    </row>
    <row r="359" spans="1:10">
      <c r="A359" s="347">
        <v>390</v>
      </c>
      <c r="B359" s="304" t="s">
        <v>2785</v>
      </c>
      <c r="C359" s="304" t="s">
        <v>2786</v>
      </c>
      <c r="D359" s="304"/>
      <c r="E359" s="304"/>
      <c r="F359" s="304" t="s">
        <v>1991</v>
      </c>
    </row>
    <row r="360" spans="1:10" ht="25.5">
      <c r="A360" s="347">
        <v>391</v>
      </c>
      <c r="B360" s="304" t="s">
        <v>2178</v>
      </c>
      <c r="C360" s="304" t="s">
        <v>2179</v>
      </c>
      <c r="D360" s="304" t="s">
        <v>5367</v>
      </c>
      <c r="E360" s="304" t="s">
        <v>1581</v>
      </c>
      <c r="F360" s="304" t="s">
        <v>1582</v>
      </c>
      <c r="G360" s="1111">
        <v>11468</v>
      </c>
      <c r="H360" s="1110" t="s">
        <v>5610</v>
      </c>
      <c r="I360" s="304" t="s">
        <v>1583</v>
      </c>
      <c r="J360" s="304" t="s">
        <v>1584</v>
      </c>
    </row>
    <row r="361" spans="1:10" ht="25.5">
      <c r="A361" s="347">
        <v>392</v>
      </c>
      <c r="B361" s="304" t="s">
        <v>1585</v>
      </c>
      <c r="C361" s="304" t="s">
        <v>1586</v>
      </c>
      <c r="D361" s="304" t="s">
        <v>4182</v>
      </c>
      <c r="E361" s="304" t="s">
        <v>1281</v>
      </c>
      <c r="F361" s="304" t="s">
        <v>4382</v>
      </c>
      <c r="G361" s="1111">
        <v>15512</v>
      </c>
      <c r="H361" s="1110" t="s">
        <v>5879</v>
      </c>
      <c r="I361" s="304" t="s">
        <v>1948</v>
      </c>
      <c r="J361" s="304" t="s">
        <v>1949</v>
      </c>
    </row>
    <row r="362" spans="1:10">
      <c r="A362" s="347">
        <v>393</v>
      </c>
      <c r="B362" s="304" t="s">
        <v>4730</v>
      </c>
      <c r="C362" s="304" t="s">
        <v>4731</v>
      </c>
      <c r="D362" s="304" t="s">
        <v>1011</v>
      </c>
      <c r="E362" s="304"/>
      <c r="F362" s="304" t="s">
        <v>4604</v>
      </c>
      <c r="G362" s="1111">
        <v>11690</v>
      </c>
      <c r="H362" s="1110" t="s">
        <v>3690</v>
      </c>
    </row>
    <row r="363" spans="1:10">
      <c r="A363" s="347">
        <v>394</v>
      </c>
      <c r="B363" s="304" t="s">
        <v>4330</v>
      </c>
      <c r="C363" s="304" t="s">
        <v>4605</v>
      </c>
      <c r="D363" s="304" t="s">
        <v>5404</v>
      </c>
      <c r="E363" s="304"/>
      <c r="F363" s="304" t="s">
        <v>5405</v>
      </c>
      <c r="G363" s="1111">
        <v>14973</v>
      </c>
      <c r="H363" s="1110" t="s">
        <v>1484</v>
      </c>
      <c r="J363" s="304" t="s">
        <v>5406</v>
      </c>
    </row>
    <row r="364" spans="1:10">
      <c r="A364" s="347">
        <v>395</v>
      </c>
      <c r="B364" s="304" t="s">
        <v>3702</v>
      </c>
      <c r="C364" s="304" t="s">
        <v>3576</v>
      </c>
      <c r="D364" s="304" t="s">
        <v>2012</v>
      </c>
      <c r="E364" s="304"/>
      <c r="F364" s="304" t="s">
        <v>1540</v>
      </c>
      <c r="G364" s="1111">
        <v>210365</v>
      </c>
      <c r="H364" s="1110" t="s">
        <v>636</v>
      </c>
    </row>
    <row r="365" spans="1:10" ht="25.5">
      <c r="A365" s="347">
        <v>396</v>
      </c>
      <c r="B365" s="304" t="s">
        <v>626</v>
      </c>
      <c r="C365" s="304" t="s">
        <v>2565</v>
      </c>
      <c r="D365" s="304" t="s">
        <v>285</v>
      </c>
      <c r="E365" s="304"/>
      <c r="F365" s="304" t="s">
        <v>4780</v>
      </c>
      <c r="G365" s="1111">
        <v>11696</v>
      </c>
      <c r="H365" s="1110" t="s">
        <v>566</v>
      </c>
      <c r="I365" s="304" t="s">
        <v>2566</v>
      </c>
      <c r="J365" s="304" t="s">
        <v>4293</v>
      </c>
    </row>
    <row r="366" spans="1:10">
      <c r="A366" s="347">
        <v>397</v>
      </c>
      <c r="B366" s="304" t="s">
        <v>4294</v>
      </c>
      <c r="C366" s="304" t="s">
        <v>3234</v>
      </c>
      <c r="D366" s="304"/>
      <c r="E366" s="304" t="s">
        <v>3235</v>
      </c>
      <c r="F366" s="304" t="s">
        <v>3236</v>
      </c>
      <c r="I366" s="304" t="s">
        <v>3237</v>
      </c>
      <c r="J366" s="304" t="s">
        <v>5778</v>
      </c>
    </row>
    <row r="367" spans="1:10">
      <c r="A367" s="347">
        <v>398</v>
      </c>
      <c r="B367" s="304" t="s">
        <v>4796</v>
      </c>
      <c r="C367" s="304" t="s">
        <v>4797</v>
      </c>
      <c r="D367" s="304" t="s">
        <v>4798</v>
      </c>
      <c r="E367" s="304"/>
      <c r="F367" s="304" t="s">
        <v>6161</v>
      </c>
      <c r="G367" s="1111">
        <v>11602</v>
      </c>
      <c r="H367" s="1110" t="s">
        <v>6288</v>
      </c>
      <c r="I367" s="304" t="s">
        <v>6162</v>
      </c>
      <c r="J367" s="304" t="s">
        <v>6163</v>
      </c>
    </row>
    <row r="368" spans="1:10">
      <c r="A368" s="347">
        <v>399</v>
      </c>
      <c r="B368" s="304" t="s">
        <v>605</v>
      </c>
      <c r="C368" s="304" t="s">
        <v>6164</v>
      </c>
      <c r="D368" s="304" t="s">
        <v>6165</v>
      </c>
      <c r="E368" s="304"/>
      <c r="F368" s="304" t="s">
        <v>6166</v>
      </c>
      <c r="I368" s="304" t="s">
        <v>6167</v>
      </c>
      <c r="J368" s="304" t="s">
        <v>3024</v>
      </c>
    </row>
    <row r="369" spans="1:10">
      <c r="A369" s="347">
        <v>400</v>
      </c>
      <c r="B369" s="304" t="s">
        <v>3025</v>
      </c>
      <c r="C369" s="304" t="s">
        <v>3576</v>
      </c>
      <c r="D369" s="304" t="s">
        <v>993</v>
      </c>
      <c r="E369" s="304"/>
      <c r="F369" s="304" t="s">
        <v>3920</v>
      </c>
      <c r="G369" s="1111">
        <v>210296</v>
      </c>
      <c r="H369" s="1110" t="s">
        <v>1808</v>
      </c>
    </row>
    <row r="370" spans="1:10">
      <c r="A370" s="347">
        <v>401</v>
      </c>
      <c r="B370" s="304" t="s">
        <v>3768</v>
      </c>
      <c r="C370" s="304" t="s">
        <v>4779</v>
      </c>
      <c r="D370" s="304" t="s">
        <v>773</v>
      </c>
      <c r="E370" s="304"/>
      <c r="F370" s="304" t="s">
        <v>3269</v>
      </c>
      <c r="G370" s="1111">
        <v>11696</v>
      </c>
      <c r="H370" s="1110" t="s">
        <v>566</v>
      </c>
      <c r="I370" s="304" t="s">
        <v>3788</v>
      </c>
      <c r="J370" s="304" t="s">
        <v>3789</v>
      </c>
    </row>
    <row r="371" spans="1:10">
      <c r="A371" s="347">
        <v>402</v>
      </c>
      <c r="B371" s="304" t="s">
        <v>1464</v>
      </c>
      <c r="C371" s="304" t="s">
        <v>1465</v>
      </c>
      <c r="D371" s="304"/>
      <c r="E371" s="304" t="s">
        <v>1466</v>
      </c>
      <c r="F371" s="304" t="s">
        <v>4837</v>
      </c>
      <c r="I371" s="304" t="s">
        <v>4838</v>
      </c>
    </row>
    <row r="372" spans="1:10" ht="25.5">
      <c r="A372" s="347">
        <v>403</v>
      </c>
      <c r="B372" s="304" t="s">
        <v>3275</v>
      </c>
      <c r="C372" s="304" t="s">
        <v>754</v>
      </c>
      <c r="D372" s="304" t="s">
        <v>3573</v>
      </c>
      <c r="E372" s="304"/>
      <c r="F372" s="304" t="s">
        <v>2306</v>
      </c>
      <c r="G372" s="1111">
        <v>210522</v>
      </c>
      <c r="H372" s="1110" t="s">
        <v>5440</v>
      </c>
      <c r="I372" s="304" t="s">
        <v>2307</v>
      </c>
      <c r="J372" s="304" t="s">
        <v>2308</v>
      </c>
    </row>
    <row r="373" spans="1:10" ht="25.5">
      <c r="A373" s="347">
        <v>404</v>
      </c>
      <c r="B373" s="304" t="s">
        <v>985</v>
      </c>
      <c r="C373" s="304" t="s">
        <v>3105</v>
      </c>
      <c r="D373" s="304" t="s">
        <v>4088</v>
      </c>
      <c r="E373" s="304"/>
      <c r="F373" s="304" t="s">
        <v>663</v>
      </c>
      <c r="G373" s="1111">
        <v>210769</v>
      </c>
      <c r="H373" s="1110" t="s">
        <v>1675</v>
      </c>
      <c r="I373" s="304" t="s">
        <v>4699</v>
      </c>
      <c r="J373" s="304" t="s">
        <v>4700</v>
      </c>
    </row>
    <row r="374" spans="1:10">
      <c r="A374" s="347">
        <v>405</v>
      </c>
      <c r="B374" s="304" t="s">
        <v>1768</v>
      </c>
      <c r="C374" s="304" t="s">
        <v>1769</v>
      </c>
      <c r="D374" s="304" t="s">
        <v>1770</v>
      </c>
      <c r="E374" s="304" t="s">
        <v>250</v>
      </c>
      <c r="F374" s="304" t="s">
        <v>251</v>
      </c>
      <c r="G374" s="1111">
        <v>11696</v>
      </c>
      <c r="H374" s="1110" t="s">
        <v>566</v>
      </c>
    </row>
    <row r="375" spans="1:10">
      <c r="A375" s="347">
        <v>406</v>
      </c>
      <c r="B375" s="304" t="s">
        <v>252</v>
      </c>
      <c r="C375" s="304" t="s">
        <v>253</v>
      </c>
      <c r="D375" s="304" t="s">
        <v>3489</v>
      </c>
      <c r="E375" s="304"/>
      <c r="F375" s="304" t="s">
        <v>3490</v>
      </c>
      <c r="G375" s="1111">
        <v>11468</v>
      </c>
      <c r="H375" s="1110" t="s">
        <v>5610</v>
      </c>
      <c r="I375" s="304" t="s">
        <v>3491</v>
      </c>
      <c r="J375" s="304" t="s">
        <v>3406</v>
      </c>
    </row>
    <row r="376" spans="1:10">
      <c r="A376" s="347">
        <v>407</v>
      </c>
      <c r="B376" s="304" t="s">
        <v>4744</v>
      </c>
      <c r="C376" s="304" t="s">
        <v>3407</v>
      </c>
      <c r="D376" s="304" t="s">
        <v>3408</v>
      </c>
      <c r="E376" s="304" t="s">
        <v>2837</v>
      </c>
      <c r="F376" s="304" t="s">
        <v>2383</v>
      </c>
      <c r="G376" s="1111">
        <v>11472</v>
      </c>
      <c r="H376" s="1110" t="s">
        <v>1484</v>
      </c>
      <c r="I376" s="304" t="s">
        <v>2643</v>
      </c>
      <c r="J376" s="304" t="s">
        <v>4295</v>
      </c>
    </row>
    <row r="377" spans="1:10" ht="25.5">
      <c r="A377" s="347">
        <v>408</v>
      </c>
      <c r="B377" s="304" t="s">
        <v>4747</v>
      </c>
      <c r="C377" s="304" t="s">
        <v>4296</v>
      </c>
      <c r="D377" s="304" t="s">
        <v>6070</v>
      </c>
      <c r="E377" s="304" t="s">
        <v>6071</v>
      </c>
      <c r="F377" s="304" t="s">
        <v>3550</v>
      </c>
      <c r="G377" s="1111">
        <v>217015</v>
      </c>
      <c r="H377" s="1110" t="s">
        <v>5299</v>
      </c>
      <c r="I377" s="304" t="s">
        <v>5300</v>
      </c>
      <c r="J377" s="304" t="s">
        <v>5301</v>
      </c>
    </row>
    <row r="378" spans="1:10">
      <c r="A378" s="347">
        <v>409</v>
      </c>
      <c r="B378" s="304" t="s">
        <v>3438</v>
      </c>
      <c r="C378" s="304" t="s">
        <v>5302</v>
      </c>
      <c r="D378" s="304" t="s">
        <v>3439</v>
      </c>
      <c r="E378" s="304"/>
      <c r="F378" s="304" t="s">
        <v>2530</v>
      </c>
      <c r="G378" s="1111">
        <v>11686</v>
      </c>
      <c r="H378" s="1110" t="s">
        <v>4098</v>
      </c>
    </row>
    <row r="379" spans="1:10" ht="25.5">
      <c r="A379" s="347">
        <v>410</v>
      </c>
      <c r="B379" s="304" t="s">
        <v>3784</v>
      </c>
      <c r="C379" s="304" t="s">
        <v>3785</v>
      </c>
      <c r="D379" s="304" t="s">
        <v>3786</v>
      </c>
      <c r="E379" s="304"/>
      <c r="F379" s="304" t="s">
        <v>3787</v>
      </c>
      <c r="G379" s="1111">
        <v>209797</v>
      </c>
      <c r="H379" s="1110" t="s">
        <v>2563</v>
      </c>
      <c r="I379" s="304" t="s">
        <v>5677</v>
      </c>
      <c r="J379" s="304" t="s">
        <v>5678</v>
      </c>
    </row>
    <row r="380" spans="1:10">
      <c r="A380" s="347">
        <v>411</v>
      </c>
      <c r="B380" s="304" t="s">
        <v>562</v>
      </c>
      <c r="C380" s="304" t="s">
        <v>4305</v>
      </c>
      <c r="D380" s="304" t="s">
        <v>4306</v>
      </c>
      <c r="E380" s="304"/>
      <c r="F380" s="304" t="s">
        <v>3219</v>
      </c>
      <c r="G380" s="1111">
        <v>11696</v>
      </c>
      <c r="H380" s="1110" t="s">
        <v>566</v>
      </c>
    </row>
    <row r="381" spans="1:10">
      <c r="A381" s="347">
        <v>412</v>
      </c>
      <c r="B381" s="304" t="s">
        <v>4307</v>
      </c>
      <c r="C381" s="304" t="s">
        <v>5247</v>
      </c>
      <c r="D381" s="304" t="s">
        <v>2205</v>
      </c>
      <c r="E381" s="304" t="s">
        <v>5249</v>
      </c>
      <c r="F381" s="304" t="s">
        <v>1298</v>
      </c>
      <c r="I381" s="304" t="s">
        <v>2171</v>
      </c>
      <c r="J381" s="304" t="s">
        <v>5248</v>
      </c>
    </row>
    <row r="382" spans="1:10" ht="25.5">
      <c r="A382" s="347">
        <v>413</v>
      </c>
      <c r="B382" s="304" t="s">
        <v>632</v>
      </c>
      <c r="C382" s="304" t="s">
        <v>2924</v>
      </c>
      <c r="D382" s="304" t="s">
        <v>6152</v>
      </c>
      <c r="E382" s="304"/>
      <c r="F382" s="304" t="s">
        <v>143</v>
      </c>
      <c r="G382" s="1111">
        <v>11687</v>
      </c>
      <c r="H382" s="1110" t="s">
        <v>4426</v>
      </c>
      <c r="I382" s="304" t="s">
        <v>144</v>
      </c>
      <c r="J382" s="304" t="s">
        <v>3293</v>
      </c>
    </row>
    <row r="383" spans="1:10" ht="38.25">
      <c r="A383" s="347">
        <v>414</v>
      </c>
      <c r="B383" s="304" t="s">
        <v>612</v>
      </c>
      <c r="C383" s="304" t="s">
        <v>613</v>
      </c>
      <c r="D383" s="304" t="s">
        <v>3510</v>
      </c>
      <c r="E383" s="304" t="s">
        <v>633</v>
      </c>
      <c r="F383" s="304" t="s">
        <v>634</v>
      </c>
      <c r="G383" s="1111">
        <v>209797</v>
      </c>
      <c r="H383" s="1110" t="s">
        <v>2563</v>
      </c>
      <c r="I383" s="304" t="s">
        <v>3273</v>
      </c>
      <c r="J383" s="304" t="s">
        <v>3274</v>
      </c>
    </row>
    <row r="384" spans="1:10">
      <c r="A384" s="347">
        <v>415</v>
      </c>
      <c r="B384" s="304" t="s">
        <v>6300</v>
      </c>
      <c r="C384" s="304" t="s">
        <v>6301</v>
      </c>
      <c r="D384" s="304"/>
      <c r="E384" s="304" t="s">
        <v>550</v>
      </c>
      <c r="F384" s="304" t="s">
        <v>2258</v>
      </c>
      <c r="G384" s="1111">
        <v>209797</v>
      </c>
      <c r="H384" s="1110" t="s">
        <v>2563</v>
      </c>
      <c r="I384" s="304" t="s">
        <v>5902</v>
      </c>
      <c r="J384" s="304" t="s">
        <v>5903</v>
      </c>
    </row>
    <row r="385" spans="1:10" ht="25.5">
      <c r="A385" s="347">
        <v>416</v>
      </c>
      <c r="B385" s="304" t="s">
        <v>4495</v>
      </c>
      <c r="C385" s="304" t="s">
        <v>861</v>
      </c>
      <c r="D385" s="304" t="s">
        <v>862</v>
      </c>
      <c r="E385" s="304" t="s">
        <v>325</v>
      </c>
      <c r="F385" s="304" t="s">
        <v>326</v>
      </c>
      <c r="G385" s="1111">
        <v>210366</v>
      </c>
      <c r="H385" s="1110" t="s">
        <v>5999</v>
      </c>
      <c r="I385" s="304" t="s">
        <v>1565</v>
      </c>
      <c r="J385" s="304" t="s">
        <v>3337</v>
      </c>
    </row>
    <row r="386" spans="1:10" ht="13.5" customHeight="1">
      <c r="A386" s="347">
        <v>417</v>
      </c>
      <c r="B386" s="304" t="s">
        <v>3338</v>
      </c>
      <c r="C386" s="304" t="s">
        <v>3339</v>
      </c>
      <c r="D386" s="304" t="s">
        <v>1143</v>
      </c>
      <c r="E386" s="304"/>
      <c r="F386" s="304" t="s">
        <v>2265</v>
      </c>
      <c r="I386" s="304" t="s">
        <v>2266</v>
      </c>
      <c r="J386" s="304" t="s">
        <v>2267</v>
      </c>
    </row>
    <row r="387" spans="1:10">
      <c r="A387" s="347">
        <v>418</v>
      </c>
      <c r="B387" s="304" t="s">
        <v>2268</v>
      </c>
      <c r="C387" s="304" t="s">
        <v>3311</v>
      </c>
      <c r="D387" s="304" t="s">
        <v>4209</v>
      </c>
      <c r="E387" s="304"/>
      <c r="F387" s="304" t="s">
        <v>791</v>
      </c>
      <c r="G387" s="1111">
        <v>11693</v>
      </c>
      <c r="H387" s="1110" t="s">
        <v>3036</v>
      </c>
      <c r="I387" s="304" t="s">
        <v>2269</v>
      </c>
      <c r="J387" s="304" t="s">
        <v>2079</v>
      </c>
    </row>
    <row r="388" spans="1:10" ht="25.5">
      <c r="A388" s="347">
        <v>419</v>
      </c>
      <c r="B388" s="304" t="s">
        <v>2080</v>
      </c>
      <c r="C388" s="304" t="s">
        <v>2081</v>
      </c>
      <c r="D388" s="304" t="s">
        <v>6080</v>
      </c>
      <c r="E388" s="304"/>
      <c r="F388" s="304" t="s">
        <v>5832</v>
      </c>
      <c r="G388" s="1111">
        <v>209797</v>
      </c>
      <c r="H388" s="1110" t="s">
        <v>2563</v>
      </c>
      <c r="I388" s="304" t="s">
        <v>1384</v>
      </c>
      <c r="J388" s="304" t="s">
        <v>4485</v>
      </c>
    </row>
    <row r="389" spans="1:10">
      <c r="A389" s="347">
        <v>420</v>
      </c>
      <c r="B389" s="304" t="s">
        <v>3609</v>
      </c>
      <c r="C389" s="304" t="s">
        <v>2938</v>
      </c>
      <c r="D389" s="304" t="s">
        <v>3326</v>
      </c>
      <c r="E389" s="304"/>
      <c r="F389" s="304" t="s">
        <v>3327</v>
      </c>
      <c r="G389" s="1111">
        <v>210296</v>
      </c>
      <c r="H389" s="1110" t="s">
        <v>1808</v>
      </c>
      <c r="I389" s="304" t="s">
        <v>2939</v>
      </c>
      <c r="J389" s="304" t="s">
        <v>2940</v>
      </c>
    </row>
    <row r="390" spans="1:10">
      <c r="A390" s="347">
        <v>421</v>
      </c>
      <c r="B390" s="304" t="s">
        <v>3609</v>
      </c>
      <c r="C390" s="304" t="s">
        <v>3019</v>
      </c>
      <c r="D390" s="304" t="s">
        <v>928</v>
      </c>
      <c r="E390" s="304"/>
      <c r="F390" s="304" t="s">
        <v>3701</v>
      </c>
      <c r="G390" s="1111">
        <v>210296</v>
      </c>
      <c r="H390" s="1110" t="s">
        <v>1808</v>
      </c>
      <c r="I390" s="304" t="s">
        <v>2896</v>
      </c>
      <c r="J390" s="304" t="s">
        <v>2897</v>
      </c>
    </row>
    <row r="391" spans="1:10">
      <c r="A391" s="347">
        <v>422</v>
      </c>
      <c r="B391" s="304" t="s">
        <v>2653</v>
      </c>
      <c r="C391" s="304" t="s">
        <v>2654</v>
      </c>
      <c r="D391" s="304" t="s">
        <v>2655</v>
      </c>
      <c r="E391" s="304"/>
      <c r="F391" s="304" t="s">
        <v>2656</v>
      </c>
      <c r="G391" s="1111">
        <v>209679</v>
      </c>
      <c r="H391" s="1110" t="s">
        <v>3100</v>
      </c>
      <c r="I391" s="304" t="s">
        <v>2657</v>
      </c>
      <c r="J391" s="304" t="s">
        <v>3306</v>
      </c>
    </row>
    <row r="392" spans="1:10">
      <c r="A392" s="347">
        <v>423</v>
      </c>
      <c r="B392" s="304" t="s">
        <v>3307</v>
      </c>
      <c r="C392" s="304" t="s">
        <v>3308</v>
      </c>
      <c r="D392" s="304" t="s">
        <v>4522</v>
      </c>
      <c r="E392" s="304"/>
      <c r="F392" s="304" t="s">
        <v>5905</v>
      </c>
      <c r="G392" s="1111">
        <v>11690</v>
      </c>
      <c r="H392" s="1110" t="s">
        <v>3690</v>
      </c>
      <c r="I392" s="304" t="s">
        <v>5906</v>
      </c>
      <c r="J392" s="304" t="s">
        <v>781</v>
      </c>
    </row>
    <row r="393" spans="1:10">
      <c r="A393" s="347">
        <v>424</v>
      </c>
      <c r="B393" s="304" t="s">
        <v>2125</v>
      </c>
      <c r="C393" s="304" t="s">
        <v>2126</v>
      </c>
      <c r="D393" s="304" t="s">
        <v>2127</v>
      </c>
      <c r="E393" s="304" t="s">
        <v>2128</v>
      </c>
      <c r="F393" s="304" t="s">
        <v>2129</v>
      </c>
      <c r="G393" s="1111">
        <v>11686</v>
      </c>
      <c r="H393" s="1110" t="s">
        <v>4098</v>
      </c>
      <c r="I393" s="304" t="s">
        <v>2130</v>
      </c>
      <c r="J393" s="304" t="s">
        <v>2131</v>
      </c>
    </row>
    <row r="394" spans="1:10">
      <c r="A394" s="347">
        <v>425</v>
      </c>
      <c r="B394" s="304" t="s">
        <v>2132</v>
      </c>
      <c r="C394" s="304" t="s">
        <v>2133</v>
      </c>
      <c r="D394" s="304" t="s">
        <v>923</v>
      </c>
      <c r="E394" s="304"/>
      <c r="F394" s="304" t="s">
        <v>3956</v>
      </c>
      <c r="I394" s="304" t="s">
        <v>4335</v>
      </c>
      <c r="J394" s="304" t="s">
        <v>4336</v>
      </c>
    </row>
    <row r="395" spans="1:10">
      <c r="A395" s="347">
        <v>426</v>
      </c>
      <c r="B395" s="304" t="s">
        <v>3041</v>
      </c>
      <c r="C395" s="304" t="s">
        <v>3042</v>
      </c>
      <c r="D395" s="304" t="s">
        <v>189</v>
      </c>
      <c r="E395" s="304"/>
      <c r="F395" s="304" t="s">
        <v>296</v>
      </c>
      <c r="G395" s="1111">
        <v>11581</v>
      </c>
      <c r="H395" s="1110" t="s">
        <v>2816</v>
      </c>
      <c r="I395" s="304" t="s">
        <v>3043</v>
      </c>
      <c r="J395" s="304" t="s">
        <v>2428</v>
      </c>
    </row>
    <row r="396" spans="1:10">
      <c r="A396" s="347">
        <v>427</v>
      </c>
      <c r="B396" s="304" t="s">
        <v>297</v>
      </c>
      <c r="C396" s="304" t="s">
        <v>298</v>
      </c>
      <c r="D396" s="304" t="s">
        <v>299</v>
      </c>
      <c r="E396" s="304"/>
      <c r="F396" s="304" t="s">
        <v>300</v>
      </c>
      <c r="I396" s="304" t="s">
        <v>301</v>
      </c>
      <c r="J396" s="304" t="s">
        <v>302</v>
      </c>
    </row>
    <row r="397" spans="1:10">
      <c r="A397" s="347">
        <v>428</v>
      </c>
      <c r="B397" s="304" t="s">
        <v>4864</v>
      </c>
      <c r="C397" s="304" t="s">
        <v>3576</v>
      </c>
      <c r="D397" s="304" t="s">
        <v>492</v>
      </c>
      <c r="E397" s="304" t="s">
        <v>493</v>
      </c>
      <c r="F397" s="304" t="s">
        <v>4238</v>
      </c>
      <c r="I397" s="304" t="s">
        <v>5057</v>
      </c>
      <c r="J397" s="304" t="s">
        <v>1080</v>
      </c>
    </row>
    <row r="398" spans="1:10" ht="25.5">
      <c r="A398" s="347">
        <v>429</v>
      </c>
      <c r="B398" s="304" t="s">
        <v>1081</v>
      </c>
      <c r="C398" s="304" t="s">
        <v>1082</v>
      </c>
      <c r="D398" s="304" t="s">
        <v>3881</v>
      </c>
      <c r="E398" s="304"/>
      <c r="F398" s="304" t="s">
        <v>5107</v>
      </c>
      <c r="G398" s="1111">
        <v>12870</v>
      </c>
      <c r="H398" s="1110" t="s">
        <v>5299</v>
      </c>
      <c r="I398" s="304" t="s">
        <v>3619</v>
      </c>
      <c r="J398" s="304" t="s">
        <v>3620</v>
      </c>
    </row>
    <row r="399" spans="1:10">
      <c r="A399" s="347">
        <v>430</v>
      </c>
      <c r="B399" s="304" t="s">
        <v>5047</v>
      </c>
      <c r="C399" s="304" t="s">
        <v>3576</v>
      </c>
      <c r="D399" s="304" t="s">
        <v>3492</v>
      </c>
      <c r="E399" s="304"/>
      <c r="F399" s="304" t="s">
        <v>963</v>
      </c>
      <c r="G399" s="1111">
        <v>11524</v>
      </c>
      <c r="H399" s="1110" t="s">
        <v>964</v>
      </c>
      <c r="I399" s="304" t="s">
        <v>965</v>
      </c>
    </row>
    <row r="400" spans="1:10">
      <c r="A400" s="347">
        <v>431</v>
      </c>
      <c r="B400" s="304" t="s">
        <v>1158</v>
      </c>
      <c r="C400" s="304" t="s">
        <v>173</v>
      </c>
      <c r="D400" s="304" t="s">
        <v>1363</v>
      </c>
      <c r="E400" s="304"/>
      <c r="F400" s="304" t="s">
        <v>4836</v>
      </c>
      <c r="G400" s="1111">
        <v>11690</v>
      </c>
      <c r="H400" s="1110" t="s">
        <v>3690</v>
      </c>
      <c r="I400" s="304" t="s">
        <v>174</v>
      </c>
      <c r="J400" s="304" t="s">
        <v>175</v>
      </c>
    </row>
    <row r="401" spans="1:10">
      <c r="A401" s="347">
        <v>432</v>
      </c>
      <c r="B401" s="304" t="s">
        <v>176</v>
      </c>
      <c r="C401" s="304" t="s">
        <v>4141</v>
      </c>
      <c r="D401" s="304" t="s">
        <v>2160</v>
      </c>
      <c r="E401" s="304"/>
      <c r="F401" s="304" t="s">
        <v>2161</v>
      </c>
      <c r="I401" s="304" t="s">
        <v>2162</v>
      </c>
      <c r="J401" s="304" t="s">
        <v>2163</v>
      </c>
    </row>
    <row r="402" spans="1:10">
      <c r="A402" s="347">
        <v>433</v>
      </c>
      <c r="B402" s="304" t="s">
        <v>2164</v>
      </c>
      <c r="C402" s="304" t="s">
        <v>2165</v>
      </c>
      <c r="D402" s="304" t="s">
        <v>1177</v>
      </c>
      <c r="E402" s="304"/>
      <c r="F402" s="304" t="s">
        <v>4376</v>
      </c>
      <c r="G402" s="1111">
        <v>11686</v>
      </c>
      <c r="H402" s="1110" t="s">
        <v>4098</v>
      </c>
      <c r="I402" s="304" t="s">
        <v>4377</v>
      </c>
      <c r="J402" s="304" t="s">
        <v>4378</v>
      </c>
    </row>
    <row r="403" spans="1:10" ht="25.5">
      <c r="A403" s="347">
        <v>434</v>
      </c>
      <c r="B403" s="304" t="s">
        <v>5467</v>
      </c>
      <c r="C403" s="304" t="s">
        <v>5407</v>
      </c>
      <c r="D403" s="304" t="s">
        <v>1460</v>
      </c>
      <c r="E403" s="304" t="s">
        <v>3404</v>
      </c>
      <c r="F403" s="304" t="s">
        <v>4615</v>
      </c>
      <c r="G403" s="1111">
        <v>11696</v>
      </c>
      <c r="H403" s="1110" t="s">
        <v>566</v>
      </c>
      <c r="I403" s="304" t="s">
        <v>4616</v>
      </c>
      <c r="J403" s="304" t="s">
        <v>4617</v>
      </c>
    </row>
    <row r="404" spans="1:10">
      <c r="A404" s="347">
        <v>435</v>
      </c>
      <c r="B404" s="304" t="s">
        <v>4618</v>
      </c>
      <c r="C404" s="304" t="s">
        <v>4619</v>
      </c>
      <c r="D404" s="304" t="s">
        <v>558</v>
      </c>
      <c r="E404" s="304" t="s">
        <v>2328</v>
      </c>
      <c r="F404" s="304" t="s">
        <v>2329</v>
      </c>
      <c r="I404" s="304" t="s">
        <v>2330</v>
      </c>
      <c r="J404" s="304" t="s">
        <v>2331</v>
      </c>
    </row>
    <row r="405" spans="1:10">
      <c r="A405" s="347">
        <v>436</v>
      </c>
      <c r="B405" s="304" t="s">
        <v>3801</v>
      </c>
      <c r="C405" s="304" t="s">
        <v>3576</v>
      </c>
      <c r="D405" s="304" t="s">
        <v>26</v>
      </c>
      <c r="E405" s="304"/>
      <c r="F405" s="304" t="s">
        <v>4514</v>
      </c>
      <c r="G405" s="1111">
        <v>210769</v>
      </c>
      <c r="H405" s="1110" t="s">
        <v>1675</v>
      </c>
      <c r="I405" s="304" t="s">
        <v>2332</v>
      </c>
      <c r="J405" s="304" t="s">
        <v>4678</v>
      </c>
    </row>
    <row r="406" spans="1:10">
      <c r="A406" s="347">
        <v>437</v>
      </c>
      <c r="B406" s="304" t="s">
        <v>6243</v>
      </c>
      <c r="C406" s="304" t="s">
        <v>6244</v>
      </c>
      <c r="D406" s="304" t="s">
        <v>4383</v>
      </c>
      <c r="E406" s="304"/>
      <c r="F406" s="304" t="s">
        <v>3358</v>
      </c>
      <c r="G406" s="1111">
        <v>11696</v>
      </c>
      <c r="H406" s="1110" t="s">
        <v>566</v>
      </c>
      <c r="I406" s="304" t="s">
        <v>3359</v>
      </c>
      <c r="J406" s="304" t="s">
        <v>2905</v>
      </c>
    </row>
    <row r="407" spans="1:10">
      <c r="A407" s="347">
        <v>438</v>
      </c>
      <c r="B407" s="304" t="s">
        <v>2906</v>
      </c>
      <c r="C407" s="304" t="s">
        <v>2907</v>
      </c>
      <c r="D407" s="304" t="s">
        <v>1520</v>
      </c>
      <c r="E407" s="304"/>
      <c r="F407" s="304" t="s">
        <v>4933</v>
      </c>
      <c r="G407" s="1111">
        <v>210365</v>
      </c>
      <c r="H407" s="1110" t="s">
        <v>636</v>
      </c>
      <c r="I407" s="304" t="s">
        <v>796</v>
      </c>
      <c r="J407" s="304" t="s">
        <v>1996</v>
      </c>
    </row>
    <row r="408" spans="1:10" ht="25.5">
      <c r="A408" s="347">
        <v>439</v>
      </c>
      <c r="B408" s="304" t="s">
        <v>1997</v>
      </c>
      <c r="C408" s="304" t="s">
        <v>1998</v>
      </c>
      <c r="D408" s="304" t="s">
        <v>1999</v>
      </c>
      <c r="E408" s="304" t="s">
        <v>1641</v>
      </c>
      <c r="F408" s="304" t="s">
        <v>1642</v>
      </c>
      <c r="I408" s="304" t="s">
        <v>4186</v>
      </c>
      <c r="J408" s="304" t="s">
        <v>4187</v>
      </c>
    </row>
    <row r="409" spans="1:10" ht="25.5">
      <c r="A409" s="347">
        <v>440</v>
      </c>
      <c r="B409" s="304" t="s">
        <v>4188</v>
      </c>
      <c r="C409" s="304" t="s">
        <v>4189</v>
      </c>
      <c r="D409" s="304" t="s">
        <v>4190</v>
      </c>
      <c r="E409" s="304" t="s">
        <v>4191</v>
      </c>
      <c r="F409" s="304" t="s">
        <v>4192</v>
      </c>
      <c r="G409" s="1111">
        <v>11693</v>
      </c>
      <c r="H409" s="1110" t="s">
        <v>3036</v>
      </c>
    </row>
    <row r="410" spans="1:10" ht="25.5">
      <c r="A410" s="347">
        <v>441</v>
      </c>
      <c r="B410" s="304" t="s">
        <v>4193</v>
      </c>
      <c r="C410" s="304" t="s">
        <v>734</v>
      </c>
      <c r="D410" s="304" t="s">
        <v>140</v>
      </c>
      <c r="E410" s="304" t="s">
        <v>141</v>
      </c>
      <c r="F410" s="304" t="s">
        <v>1188</v>
      </c>
      <c r="G410" s="1111">
        <v>11696</v>
      </c>
      <c r="H410" s="1110" t="s">
        <v>566</v>
      </c>
    </row>
    <row r="411" spans="1:10">
      <c r="A411" s="347">
        <v>442</v>
      </c>
      <c r="B411" s="304" t="s">
        <v>2493</v>
      </c>
      <c r="C411" s="304" t="s">
        <v>2494</v>
      </c>
      <c r="D411" s="304" t="s">
        <v>2690</v>
      </c>
      <c r="E411" s="304"/>
      <c r="F411" s="304" t="s">
        <v>5545</v>
      </c>
      <c r="I411" s="304" t="s">
        <v>4484</v>
      </c>
      <c r="J411" s="304" t="s">
        <v>5386</v>
      </c>
    </row>
    <row r="412" spans="1:10">
      <c r="A412" s="347">
        <v>443</v>
      </c>
      <c r="B412" s="304" t="s">
        <v>5546</v>
      </c>
      <c r="C412" s="304" t="s">
        <v>2959</v>
      </c>
      <c r="D412" s="304" t="s">
        <v>5366</v>
      </c>
      <c r="E412" s="304"/>
      <c r="F412" s="304" t="s">
        <v>2495</v>
      </c>
      <c r="G412" s="1111">
        <v>11486</v>
      </c>
      <c r="H412" s="1110" t="s">
        <v>6323</v>
      </c>
      <c r="I412" s="304" t="s">
        <v>4346</v>
      </c>
      <c r="J412" s="304" t="s">
        <v>4347</v>
      </c>
    </row>
    <row r="413" spans="1:10">
      <c r="A413" s="347">
        <v>444</v>
      </c>
      <c r="B413" s="304" t="s">
        <v>4679</v>
      </c>
      <c r="C413" s="304" t="s">
        <v>4348</v>
      </c>
      <c r="D413" s="304" t="s">
        <v>4349</v>
      </c>
      <c r="E413" s="304"/>
      <c r="F413" s="304" t="s">
        <v>3706</v>
      </c>
      <c r="G413" s="1111">
        <v>11468</v>
      </c>
      <c r="H413" s="1110" t="s">
        <v>5610</v>
      </c>
      <c r="I413" s="304" t="s">
        <v>245</v>
      </c>
      <c r="J413" s="304" t="s">
        <v>6254</v>
      </c>
    </row>
    <row r="414" spans="1:10">
      <c r="A414" s="347">
        <v>445</v>
      </c>
      <c r="B414" s="304" t="s">
        <v>6255</v>
      </c>
      <c r="C414" s="304" t="s">
        <v>6256</v>
      </c>
      <c r="D414" s="304" t="s">
        <v>1826</v>
      </c>
      <c r="E414" s="304" t="s">
        <v>1447</v>
      </c>
      <c r="F414" s="304" t="s">
        <v>1448</v>
      </c>
      <c r="G414" s="1111">
        <v>210522</v>
      </c>
      <c r="H414" s="1110" t="s">
        <v>5440</v>
      </c>
      <c r="I414" s="304" t="s">
        <v>6353</v>
      </c>
      <c r="J414" s="304" t="s">
        <v>6354</v>
      </c>
    </row>
    <row r="415" spans="1:10" ht="25.5">
      <c r="A415" s="347">
        <v>446</v>
      </c>
      <c r="B415" s="304" t="s">
        <v>6355</v>
      </c>
      <c r="C415" s="304" t="s">
        <v>6356</v>
      </c>
      <c r="D415" s="304" t="s">
        <v>6357</v>
      </c>
      <c r="E415" s="304"/>
      <c r="F415" s="304" t="s">
        <v>4490</v>
      </c>
      <c r="G415" s="1111">
        <v>209679</v>
      </c>
      <c r="H415" s="1110" t="s">
        <v>3100</v>
      </c>
      <c r="I415" s="304" t="s">
        <v>4491</v>
      </c>
      <c r="J415" s="304" t="s">
        <v>1936</v>
      </c>
    </row>
    <row r="416" spans="1:10" ht="25.5">
      <c r="A416" s="347">
        <v>447</v>
      </c>
      <c r="B416" s="304" t="s">
        <v>4991</v>
      </c>
      <c r="C416" s="304" t="s">
        <v>3576</v>
      </c>
      <c r="D416" s="304" t="s">
        <v>4992</v>
      </c>
      <c r="E416" s="304"/>
      <c r="F416" s="304" t="s">
        <v>3829</v>
      </c>
      <c r="G416" s="1111">
        <v>210522</v>
      </c>
      <c r="H416" s="1110" t="s">
        <v>5440</v>
      </c>
    </row>
    <row r="417" spans="1:10" ht="25.5">
      <c r="A417" s="347">
        <v>448</v>
      </c>
      <c r="B417" s="304" t="s">
        <v>3951</v>
      </c>
      <c r="C417" s="304" t="s">
        <v>1331</v>
      </c>
      <c r="D417" s="304" t="s">
        <v>4228</v>
      </c>
      <c r="E417" s="304"/>
      <c r="F417" s="304" t="s">
        <v>4137</v>
      </c>
      <c r="G417" s="1111">
        <v>210366</v>
      </c>
      <c r="H417" s="1110" t="s">
        <v>2035</v>
      </c>
      <c r="I417" s="304" t="s">
        <v>1332</v>
      </c>
      <c r="J417" s="304" t="s">
        <v>5044</v>
      </c>
    </row>
    <row r="418" spans="1:10">
      <c r="A418" s="347">
        <v>449</v>
      </c>
      <c r="B418" s="304" t="s">
        <v>887</v>
      </c>
      <c r="C418" s="304" t="s">
        <v>888</v>
      </c>
      <c r="D418" s="304" t="s">
        <v>739</v>
      </c>
      <c r="E418" s="304"/>
      <c r="F418" s="304" t="s">
        <v>3813</v>
      </c>
      <c r="I418" s="304" t="s">
        <v>3814</v>
      </c>
      <c r="J418" s="304" t="s">
        <v>3815</v>
      </c>
    </row>
    <row r="419" spans="1:10">
      <c r="A419" s="347">
        <v>450</v>
      </c>
      <c r="B419" s="304" t="s">
        <v>3816</v>
      </c>
      <c r="C419" s="304" t="s">
        <v>3576</v>
      </c>
      <c r="D419" s="304" t="s">
        <v>3817</v>
      </c>
      <c r="E419" s="304"/>
      <c r="F419" s="304" t="s">
        <v>3818</v>
      </c>
      <c r="G419" s="1111">
        <v>11692</v>
      </c>
      <c r="H419" s="1110" t="s">
        <v>3970</v>
      </c>
      <c r="I419" s="304" t="s">
        <v>3971</v>
      </c>
      <c r="J419" s="304" t="s">
        <v>2468</v>
      </c>
    </row>
    <row r="420" spans="1:10">
      <c r="A420" s="347">
        <v>451</v>
      </c>
      <c r="B420" s="304" t="s">
        <v>2898</v>
      </c>
      <c r="C420" s="304" t="s">
        <v>2469</v>
      </c>
      <c r="D420" s="304" t="s">
        <v>429</v>
      </c>
      <c r="E420" s="304"/>
      <c r="F420" s="304" t="s">
        <v>430</v>
      </c>
      <c r="I420" s="304" t="s">
        <v>431</v>
      </c>
      <c r="J420" s="304" t="s">
        <v>432</v>
      </c>
    </row>
    <row r="421" spans="1:10" ht="25.5">
      <c r="A421" s="347">
        <v>452</v>
      </c>
      <c r="B421" s="304" t="s">
        <v>3057</v>
      </c>
      <c r="C421" s="304" t="s">
        <v>2922</v>
      </c>
      <c r="D421" s="304" t="s">
        <v>2923</v>
      </c>
      <c r="E421" s="304"/>
      <c r="F421" s="304" t="s">
        <v>1917</v>
      </c>
      <c r="G421" s="1111">
        <v>11696</v>
      </c>
      <c r="H421" s="1110" t="s">
        <v>566</v>
      </c>
    </row>
    <row r="422" spans="1:10">
      <c r="A422" s="347">
        <v>453</v>
      </c>
      <c r="B422" s="304" t="s">
        <v>1918</v>
      </c>
      <c r="C422" s="304" t="s">
        <v>216</v>
      </c>
      <c r="D422" s="304" t="s">
        <v>217</v>
      </c>
      <c r="E422" s="304"/>
      <c r="F422" s="304" t="s">
        <v>1319</v>
      </c>
      <c r="G422" s="1111">
        <v>11468</v>
      </c>
      <c r="H422" s="1110" t="s">
        <v>5610</v>
      </c>
      <c r="I422" s="304" t="s">
        <v>1320</v>
      </c>
      <c r="J422" s="304" t="s">
        <v>1321</v>
      </c>
    </row>
    <row r="423" spans="1:10">
      <c r="A423" s="347">
        <v>454</v>
      </c>
      <c r="B423" s="304" t="s">
        <v>1322</v>
      </c>
      <c r="C423" s="304" t="s">
        <v>385</v>
      </c>
      <c r="D423" s="304" t="s">
        <v>386</v>
      </c>
      <c r="E423" s="304"/>
      <c r="F423" s="304" t="s">
        <v>387</v>
      </c>
      <c r="G423" s="1111">
        <v>11696</v>
      </c>
      <c r="H423" s="1110" t="s">
        <v>566</v>
      </c>
      <c r="I423" s="304" t="s">
        <v>6168</v>
      </c>
      <c r="J423" s="304" t="s">
        <v>5238</v>
      </c>
    </row>
    <row r="424" spans="1:10" ht="25.5">
      <c r="A424" s="347">
        <v>455</v>
      </c>
      <c r="B424" s="304" t="s">
        <v>123</v>
      </c>
      <c r="C424" s="304" t="s">
        <v>5239</v>
      </c>
      <c r="D424" s="304" t="s">
        <v>5240</v>
      </c>
      <c r="E424" s="304"/>
      <c r="F424" s="304" t="s">
        <v>729</v>
      </c>
      <c r="I424" s="304" t="s">
        <v>730</v>
      </c>
      <c r="J424" s="304" t="s">
        <v>5037</v>
      </c>
    </row>
    <row r="425" spans="1:10">
      <c r="A425" s="347">
        <v>456</v>
      </c>
      <c r="B425" s="304" t="s">
        <v>677</v>
      </c>
      <c r="C425" s="304" t="s">
        <v>678</v>
      </c>
      <c r="D425" s="304" t="s">
        <v>679</v>
      </c>
      <c r="E425" s="304" t="s">
        <v>680</v>
      </c>
      <c r="F425" s="304" t="s">
        <v>3219</v>
      </c>
      <c r="G425" s="1111">
        <v>11696</v>
      </c>
      <c r="H425" s="1110" t="s">
        <v>566</v>
      </c>
      <c r="I425" s="304" t="s">
        <v>681</v>
      </c>
      <c r="J425" s="304" t="s">
        <v>682</v>
      </c>
    </row>
    <row r="426" spans="1:10" ht="25.5">
      <c r="A426" s="347">
        <v>457</v>
      </c>
      <c r="B426" s="304" t="s">
        <v>2680</v>
      </c>
      <c r="C426" s="304" t="s">
        <v>2681</v>
      </c>
      <c r="D426" s="304" t="s">
        <v>2682</v>
      </c>
      <c r="E426" s="304"/>
      <c r="F426" s="304" t="s">
        <v>2691</v>
      </c>
      <c r="G426" s="1111">
        <v>11486</v>
      </c>
      <c r="H426" s="1110" t="s">
        <v>6323</v>
      </c>
      <c r="I426" s="304" t="s">
        <v>142</v>
      </c>
      <c r="J426" s="304" t="s">
        <v>4009</v>
      </c>
    </row>
    <row r="427" spans="1:10">
      <c r="A427" s="347">
        <v>458</v>
      </c>
      <c r="B427" s="304" t="s">
        <v>4010</v>
      </c>
      <c r="C427" s="304" t="s">
        <v>3576</v>
      </c>
      <c r="D427" s="304" t="s">
        <v>4011</v>
      </c>
      <c r="E427" s="304" t="s">
        <v>4012</v>
      </c>
      <c r="F427" s="304" t="s">
        <v>1217</v>
      </c>
      <c r="G427" s="1111">
        <v>11690</v>
      </c>
      <c r="H427" s="1110" t="s">
        <v>3690</v>
      </c>
      <c r="I427" s="304" t="s">
        <v>366</v>
      </c>
      <c r="J427" s="304" t="s">
        <v>4654</v>
      </c>
    </row>
    <row r="428" spans="1:10">
      <c r="A428" s="347">
        <v>459</v>
      </c>
      <c r="B428" s="304" t="s">
        <v>367</v>
      </c>
      <c r="C428" s="304" t="s">
        <v>368</v>
      </c>
      <c r="D428" s="304" t="s">
        <v>369</v>
      </c>
      <c r="E428" s="304" t="s">
        <v>2186</v>
      </c>
      <c r="F428" s="304" t="s">
        <v>2187</v>
      </c>
      <c r="G428" s="1111">
        <v>11696</v>
      </c>
      <c r="H428" s="1110" t="s">
        <v>566</v>
      </c>
      <c r="I428" s="304" t="s">
        <v>2188</v>
      </c>
      <c r="J428" s="304" t="s">
        <v>2189</v>
      </c>
    </row>
    <row r="429" spans="1:10">
      <c r="A429" s="347">
        <v>460</v>
      </c>
      <c r="B429" s="304" t="s">
        <v>2190</v>
      </c>
      <c r="C429" s="304" t="s">
        <v>2191</v>
      </c>
      <c r="D429" s="304" t="s">
        <v>4814</v>
      </c>
      <c r="E429" s="304"/>
      <c r="F429" s="304" t="s">
        <v>1395</v>
      </c>
      <c r="G429" s="1111">
        <v>210769</v>
      </c>
      <c r="H429" s="1110" t="s">
        <v>1675</v>
      </c>
      <c r="I429" s="304" t="s">
        <v>1396</v>
      </c>
      <c r="J429" s="304" t="s">
        <v>1397</v>
      </c>
    </row>
    <row r="430" spans="1:10">
      <c r="A430" s="347">
        <v>461</v>
      </c>
      <c r="B430" s="304" t="s">
        <v>6324</v>
      </c>
      <c r="C430" s="304" t="s">
        <v>4110</v>
      </c>
      <c r="D430" s="304" t="s">
        <v>6325</v>
      </c>
      <c r="E430" s="304" t="s">
        <v>2180</v>
      </c>
      <c r="F430" s="304" t="s">
        <v>1300</v>
      </c>
      <c r="G430" s="1111">
        <v>210296</v>
      </c>
      <c r="H430" s="1110" t="s">
        <v>1808</v>
      </c>
      <c r="I430" s="304" t="s">
        <v>3397</v>
      </c>
      <c r="J430" s="304" t="s">
        <v>2077</v>
      </c>
    </row>
    <row r="431" spans="1:10">
      <c r="A431" s="347">
        <v>462</v>
      </c>
      <c r="B431" s="304" t="s">
        <v>4643</v>
      </c>
      <c r="C431" s="304" t="s">
        <v>4644</v>
      </c>
      <c r="D431" s="304" t="s">
        <v>4645</v>
      </c>
      <c r="E431" s="304" t="s">
        <v>4815</v>
      </c>
      <c r="F431" s="304" t="s">
        <v>523</v>
      </c>
      <c r="I431" s="304" t="s">
        <v>524</v>
      </c>
      <c r="J431" s="304" t="s">
        <v>525</v>
      </c>
    </row>
    <row r="432" spans="1:10">
      <c r="A432" s="347">
        <v>463</v>
      </c>
      <c r="B432" s="304" t="s">
        <v>526</v>
      </c>
      <c r="C432" s="304" t="s">
        <v>527</v>
      </c>
      <c r="D432" s="304" t="s">
        <v>528</v>
      </c>
      <c r="E432" s="304"/>
      <c r="F432" s="304" t="s">
        <v>1668</v>
      </c>
      <c r="I432" s="304" t="s">
        <v>1669</v>
      </c>
      <c r="J432" s="304" t="s">
        <v>1670</v>
      </c>
    </row>
    <row r="433" spans="1:10">
      <c r="A433" s="347">
        <v>464</v>
      </c>
      <c r="B433" s="304" t="s">
        <v>1671</v>
      </c>
      <c r="C433" s="304" t="s">
        <v>3861</v>
      </c>
      <c r="D433" s="304" t="s">
        <v>1672</v>
      </c>
      <c r="E433" s="304"/>
      <c r="F433" s="304" t="s">
        <v>661</v>
      </c>
      <c r="G433" s="1111">
        <v>11602</v>
      </c>
      <c r="H433" s="1110" t="s">
        <v>6288</v>
      </c>
      <c r="I433" s="304" t="s">
        <v>662</v>
      </c>
    </row>
    <row r="434" spans="1:10">
      <c r="A434" s="347">
        <v>465</v>
      </c>
      <c r="B434" s="304" t="s">
        <v>961</v>
      </c>
      <c r="C434" s="304" t="s">
        <v>3576</v>
      </c>
      <c r="D434" s="304" t="s">
        <v>627</v>
      </c>
      <c r="E434" s="304"/>
      <c r="F434" s="304" t="s">
        <v>6226</v>
      </c>
      <c r="G434" s="1111">
        <v>209866</v>
      </c>
      <c r="H434" s="1110" t="s">
        <v>5723</v>
      </c>
    </row>
    <row r="435" spans="1:10" ht="25.5">
      <c r="A435" s="347">
        <v>466</v>
      </c>
      <c r="B435" s="304" t="s">
        <v>6227</v>
      </c>
      <c r="C435" s="304" t="s">
        <v>2580</v>
      </c>
      <c r="D435" s="304" t="s">
        <v>3760</v>
      </c>
      <c r="E435" s="304" t="s">
        <v>6274</v>
      </c>
      <c r="F435" s="304" t="s">
        <v>6275</v>
      </c>
      <c r="G435" s="1111">
        <v>11946</v>
      </c>
      <c r="H435" s="1110" t="s">
        <v>3506</v>
      </c>
      <c r="I435" s="304" t="s">
        <v>1343</v>
      </c>
      <c r="J435" s="304" t="s">
        <v>1344</v>
      </c>
    </row>
    <row r="436" spans="1:10">
      <c r="A436" s="347">
        <v>467</v>
      </c>
      <c r="B436" s="304" t="s">
        <v>4746</v>
      </c>
      <c r="C436" s="304" t="s">
        <v>4587</v>
      </c>
      <c r="D436" s="304" t="s">
        <v>1602</v>
      </c>
      <c r="E436" s="304"/>
      <c r="F436" s="304" t="s">
        <v>1603</v>
      </c>
      <c r="G436" s="1111">
        <v>11472</v>
      </c>
      <c r="H436" s="1110" t="s">
        <v>1484</v>
      </c>
      <c r="I436" s="304" t="s">
        <v>1604</v>
      </c>
      <c r="J436" s="304" t="s">
        <v>1605</v>
      </c>
    </row>
    <row r="437" spans="1:10">
      <c r="A437" s="347">
        <v>468</v>
      </c>
      <c r="B437" s="304" t="s">
        <v>1606</v>
      </c>
      <c r="C437" s="304" t="s">
        <v>1607</v>
      </c>
      <c r="D437" s="304" t="s">
        <v>1684</v>
      </c>
      <c r="E437" s="304"/>
      <c r="F437" s="304" t="s">
        <v>5185</v>
      </c>
      <c r="G437" s="1111">
        <v>11602</v>
      </c>
      <c r="H437" s="1110" t="s">
        <v>6288</v>
      </c>
    </row>
    <row r="438" spans="1:10" ht="25.5">
      <c r="A438" s="347">
        <v>469</v>
      </c>
      <c r="B438" s="304" t="s">
        <v>1608</v>
      </c>
      <c r="C438" s="304" t="s">
        <v>4345</v>
      </c>
      <c r="D438" s="304" t="s">
        <v>2392</v>
      </c>
      <c r="E438" s="304"/>
      <c r="F438" s="304" t="s">
        <v>3120</v>
      </c>
      <c r="G438" s="1111">
        <v>11690</v>
      </c>
      <c r="H438" s="1110" t="s">
        <v>3690</v>
      </c>
      <c r="J438" s="304" t="s">
        <v>3121</v>
      </c>
    </row>
    <row r="439" spans="1:10">
      <c r="A439" s="347">
        <v>470</v>
      </c>
      <c r="B439" s="304" t="s">
        <v>3122</v>
      </c>
      <c r="C439" s="304" t="s">
        <v>4077</v>
      </c>
      <c r="D439" s="304" t="s">
        <v>4757</v>
      </c>
      <c r="E439" s="304"/>
      <c r="F439" s="304" t="s">
        <v>4758</v>
      </c>
      <c r="G439" s="1111">
        <v>11690</v>
      </c>
      <c r="H439" s="1110" t="s">
        <v>3690</v>
      </c>
      <c r="I439" s="304" t="s">
        <v>4078</v>
      </c>
      <c r="J439" s="304" t="s">
        <v>2346</v>
      </c>
    </row>
    <row r="440" spans="1:10">
      <c r="A440" s="347">
        <v>471</v>
      </c>
      <c r="B440" s="304" t="s">
        <v>2347</v>
      </c>
      <c r="C440" s="304" t="s">
        <v>2348</v>
      </c>
      <c r="D440" s="304" t="s">
        <v>3764</v>
      </c>
      <c r="E440" s="304"/>
      <c r="F440" s="304" t="s">
        <v>3765</v>
      </c>
      <c r="G440" s="1111">
        <v>11486</v>
      </c>
      <c r="H440" s="1110" t="s">
        <v>6323</v>
      </c>
      <c r="I440" s="304" t="s">
        <v>190</v>
      </c>
      <c r="J440" s="304" t="s">
        <v>889</v>
      </c>
    </row>
    <row r="441" spans="1:10">
      <c r="A441" s="347">
        <v>472</v>
      </c>
      <c r="B441" s="304" t="s">
        <v>890</v>
      </c>
      <c r="C441" s="304" t="s">
        <v>891</v>
      </c>
      <c r="D441" s="304" t="s">
        <v>892</v>
      </c>
      <c r="E441" s="304"/>
      <c r="F441" s="304" t="s">
        <v>251</v>
      </c>
      <c r="G441" s="1111">
        <v>11696</v>
      </c>
      <c r="H441" s="1110" t="s">
        <v>566</v>
      </c>
    </row>
    <row r="442" spans="1:10">
      <c r="A442" s="347">
        <v>473</v>
      </c>
      <c r="B442" s="304" t="s">
        <v>893</v>
      </c>
      <c r="C442" s="304" t="s">
        <v>5254</v>
      </c>
      <c r="D442" s="304" t="s">
        <v>3176</v>
      </c>
      <c r="E442" s="304"/>
      <c r="F442" s="304" t="s">
        <v>1364</v>
      </c>
      <c r="G442" s="1111">
        <v>210365</v>
      </c>
      <c r="H442" s="1110" t="s">
        <v>636</v>
      </c>
      <c r="I442" s="304" t="s">
        <v>5646</v>
      </c>
      <c r="J442" s="304" t="s">
        <v>5647</v>
      </c>
    </row>
    <row r="443" spans="1:10">
      <c r="A443" s="347">
        <v>474</v>
      </c>
      <c r="B443" s="304" t="s">
        <v>191</v>
      </c>
      <c r="C443" s="304" t="s">
        <v>286</v>
      </c>
      <c r="D443" s="304" t="s">
        <v>287</v>
      </c>
      <c r="E443" s="304"/>
      <c r="F443" s="304" t="s">
        <v>4308</v>
      </c>
      <c r="G443" s="1111">
        <v>210365</v>
      </c>
      <c r="H443" s="1110" t="s">
        <v>636</v>
      </c>
    </row>
    <row r="444" spans="1:10" ht="25.5">
      <c r="A444" s="347">
        <v>475</v>
      </c>
      <c r="B444" s="304" t="s">
        <v>4748</v>
      </c>
      <c r="C444" s="304" t="s">
        <v>4309</v>
      </c>
      <c r="D444" s="304" t="s">
        <v>4310</v>
      </c>
      <c r="E444" s="304" t="s">
        <v>4311</v>
      </c>
      <c r="F444" s="304" t="s">
        <v>4900</v>
      </c>
      <c r="G444" s="1111">
        <v>11472</v>
      </c>
      <c r="H444" s="1110" t="s">
        <v>1484</v>
      </c>
      <c r="I444" s="304" t="s">
        <v>4879</v>
      </c>
      <c r="J444" s="304" t="s">
        <v>5567</v>
      </c>
    </row>
    <row r="445" spans="1:10" ht="25.5">
      <c r="A445" s="347">
        <v>476</v>
      </c>
      <c r="B445" s="304" t="s">
        <v>4390</v>
      </c>
      <c r="C445" s="304" t="s">
        <v>4391</v>
      </c>
      <c r="D445" s="304" t="s">
        <v>4392</v>
      </c>
      <c r="E445" s="304"/>
      <c r="F445" s="304" t="s">
        <v>5742</v>
      </c>
      <c r="G445" s="1111">
        <v>209797</v>
      </c>
      <c r="H445" s="1110" t="s">
        <v>2563</v>
      </c>
      <c r="I445" s="304" t="s">
        <v>85</v>
      </c>
      <c r="J445" s="304" t="s">
        <v>86</v>
      </c>
    </row>
    <row r="446" spans="1:10">
      <c r="A446" s="347">
        <v>477</v>
      </c>
      <c r="B446" s="304" t="s">
        <v>4746</v>
      </c>
      <c r="C446" s="304" t="s">
        <v>2894</v>
      </c>
      <c r="D446" s="304" t="s">
        <v>1861</v>
      </c>
      <c r="E446" s="304"/>
      <c r="F446" s="304" t="s">
        <v>0</v>
      </c>
      <c r="G446" s="1111">
        <v>11472</v>
      </c>
      <c r="H446" s="1110" t="s">
        <v>1484</v>
      </c>
      <c r="I446" s="304" t="s">
        <v>6241</v>
      </c>
      <c r="J446" s="304" t="s">
        <v>6242</v>
      </c>
    </row>
    <row r="447" spans="1:10">
      <c r="A447" s="347">
        <v>478</v>
      </c>
      <c r="B447" s="304" t="s">
        <v>1</v>
      </c>
      <c r="C447" s="304" t="s">
        <v>3576</v>
      </c>
      <c r="D447" s="304" t="s">
        <v>4093</v>
      </c>
      <c r="E447" s="304"/>
      <c r="F447" s="304" t="s">
        <v>4497</v>
      </c>
    </row>
    <row r="448" spans="1:10">
      <c r="A448" s="347">
        <v>479</v>
      </c>
      <c r="B448" s="304" t="s">
        <v>2838</v>
      </c>
      <c r="C448" s="304" t="s">
        <v>3576</v>
      </c>
      <c r="D448" s="304" t="s">
        <v>2839</v>
      </c>
      <c r="E448" s="304"/>
      <c r="F448" s="304" t="s">
        <v>2840</v>
      </c>
      <c r="G448" s="1111">
        <v>210296</v>
      </c>
      <c r="H448" s="1110" t="s">
        <v>1808</v>
      </c>
    </row>
    <row r="449" spans="1:10" ht="25.5">
      <c r="A449" s="347">
        <v>480</v>
      </c>
      <c r="B449" s="304" t="s">
        <v>6283</v>
      </c>
      <c r="C449" s="304" t="s">
        <v>5330</v>
      </c>
      <c r="D449" s="304" t="s">
        <v>541</v>
      </c>
      <c r="E449" s="304"/>
      <c r="F449" s="304" t="s">
        <v>251</v>
      </c>
      <c r="G449" s="1111">
        <v>11696</v>
      </c>
      <c r="H449" s="1110" t="s">
        <v>566</v>
      </c>
      <c r="I449" s="304" t="s">
        <v>104</v>
      </c>
      <c r="J449" s="304" t="s">
        <v>5232</v>
      </c>
    </row>
    <row r="450" spans="1:10">
      <c r="A450" s="347">
        <v>481</v>
      </c>
      <c r="B450" s="304" t="s">
        <v>3281</v>
      </c>
      <c r="C450" s="304" t="s">
        <v>3596</v>
      </c>
      <c r="D450" s="304" t="s">
        <v>3567</v>
      </c>
      <c r="E450" s="304" t="s">
        <v>3568</v>
      </c>
      <c r="F450" s="304" t="s">
        <v>516</v>
      </c>
      <c r="G450" s="1111">
        <v>11486</v>
      </c>
      <c r="H450" s="1110" t="s">
        <v>6323</v>
      </c>
      <c r="I450" s="304" t="s">
        <v>517</v>
      </c>
      <c r="J450" s="304" t="s">
        <v>518</v>
      </c>
    </row>
    <row r="451" spans="1:10">
      <c r="A451" s="347">
        <v>482</v>
      </c>
      <c r="B451" s="304" t="s">
        <v>520</v>
      </c>
      <c r="C451" s="304" t="s">
        <v>521</v>
      </c>
      <c r="D451" s="304" t="s">
        <v>522</v>
      </c>
      <c r="E451" s="304"/>
      <c r="F451" s="304" t="s">
        <v>1078</v>
      </c>
      <c r="G451" s="1111">
        <v>13096</v>
      </c>
      <c r="I451" s="304" t="s">
        <v>1079</v>
      </c>
      <c r="J451" s="304" t="s">
        <v>92</v>
      </c>
    </row>
    <row r="452" spans="1:10">
      <c r="A452" s="347">
        <v>483</v>
      </c>
      <c r="B452" s="304" t="s">
        <v>422</v>
      </c>
      <c r="C452" s="304" t="s">
        <v>461</v>
      </c>
      <c r="D452" s="304" t="s">
        <v>5387</v>
      </c>
      <c r="E452" s="304"/>
      <c r="F452" s="304" t="s">
        <v>1942</v>
      </c>
      <c r="G452" s="1111">
        <v>210365</v>
      </c>
      <c r="H452" s="1110" t="s">
        <v>636</v>
      </c>
      <c r="I452" s="304" t="s">
        <v>1943</v>
      </c>
      <c r="J452" s="304" t="s">
        <v>4380</v>
      </c>
    </row>
    <row r="453" spans="1:10" ht="25.5">
      <c r="A453" s="347">
        <v>484</v>
      </c>
      <c r="B453" s="304" t="s">
        <v>1833</v>
      </c>
      <c r="C453" s="304" t="s">
        <v>1834</v>
      </c>
      <c r="D453" s="304" t="s">
        <v>1835</v>
      </c>
      <c r="E453" s="304"/>
      <c r="F453" s="304" t="s">
        <v>4318</v>
      </c>
      <c r="G453" s="1111">
        <v>210366</v>
      </c>
      <c r="H453" s="1110" t="s">
        <v>5999</v>
      </c>
      <c r="I453" s="304" t="s">
        <v>4319</v>
      </c>
      <c r="J453" s="304" t="s">
        <v>464</v>
      </c>
    </row>
    <row r="454" spans="1:10">
      <c r="A454" s="347">
        <v>485</v>
      </c>
      <c r="B454" s="304" t="s">
        <v>4679</v>
      </c>
      <c r="C454" s="304" t="s">
        <v>3904</v>
      </c>
      <c r="D454" s="304" t="s">
        <v>1893</v>
      </c>
      <c r="E454" s="304"/>
      <c r="F454" s="304" t="s">
        <v>5515</v>
      </c>
      <c r="G454" s="1111">
        <v>11468</v>
      </c>
      <c r="H454" s="1110" t="s">
        <v>5610</v>
      </c>
      <c r="I454" s="304" t="s">
        <v>5516</v>
      </c>
      <c r="J454" s="304" t="s">
        <v>5517</v>
      </c>
    </row>
    <row r="455" spans="1:10">
      <c r="A455" s="347">
        <v>486</v>
      </c>
      <c r="B455" s="304" t="s">
        <v>5518</v>
      </c>
      <c r="C455" s="304" t="s">
        <v>2232</v>
      </c>
      <c r="D455" s="304" t="s">
        <v>5519</v>
      </c>
      <c r="E455" s="304"/>
      <c r="F455" s="304" t="s">
        <v>5344</v>
      </c>
      <c r="I455" s="304" t="s">
        <v>4266</v>
      </c>
      <c r="J455" s="304" t="s">
        <v>5520</v>
      </c>
    </row>
    <row r="456" spans="1:10">
      <c r="A456" s="347">
        <v>487</v>
      </c>
      <c r="B456" s="304" t="s">
        <v>2290</v>
      </c>
      <c r="C456" s="304" t="s">
        <v>2291</v>
      </c>
      <c r="D456" s="304"/>
      <c r="E456" s="304" t="s">
        <v>2170</v>
      </c>
      <c r="F456" s="304" t="s">
        <v>5664</v>
      </c>
      <c r="G456" s="1111">
        <v>11686</v>
      </c>
      <c r="H456" s="1110" t="s">
        <v>4098</v>
      </c>
      <c r="I456" s="304" t="s">
        <v>5665</v>
      </c>
    </row>
    <row r="457" spans="1:10">
      <c r="A457" s="347">
        <v>488</v>
      </c>
      <c r="B457" s="304" t="s">
        <v>3803</v>
      </c>
      <c r="C457" s="304" t="s">
        <v>3576</v>
      </c>
      <c r="D457" s="304" t="s">
        <v>4434</v>
      </c>
      <c r="E457" s="304" t="s">
        <v>4435</v>
      </c>
      <c r="F457" s="304" t="s">
        <v>4436</v>
      </c>
      <c r="G457" s="1111">
        <v>210296</v>
      </c>
      <c r="H457" s="1110" t="s">
        <v>1808</v>
      </c>
    </row>
    <row r="458" spans="1:10" ht="25.5">
      <c r="A458" s="347">
        <v>489</v>
      </c>
      <c r="B458" s="304" t="s">
        <v>5465</v>
      </c>
      <c r="C458" s="304" t="s">
        <v>5466</v>
      </c>
      <c r="D458" s="304" t="s">
        <v>5423</v>
      </c>
      <c r="E458" s="304"/>
      <c r="F458" s="304" t="s">
        <v>4651</v>
      </c>
      <c r="G458" s="1111">
        <v>11506</v>
      </c>
      <c r="H458" s="1110" t="s">
        <v>874</v>
      </c>
      <c r="I458" s="304" t="s">
        <v>5739</v>
      </c>
      <c r="J458" s="304" t="s">
        <v>5740</v>
      </c>
    </row>
    <row r="459" spans="1:10">
      <c r="A459" s="347">
        <v>490</v>
      </c>
      <c r="B459" s="304" t="s">
        <v>5741</v>
      </c>
      <c r="C459" s="304" t="s">
        <v>5002</v>
      </c>
      <c r="D459" s="304" t="s">
        <v>5003</v>
      </c>
      <c r="E459" s="304"/>
      <c r="F459" s="304" t="s">
        <v>5004</v>
      </c>
      <c r="G459" s="1111">
        <v>11692</v>
      </c>
      <c r="H459" s="1110" t="s">
        <v>3970</v>
      </c>
      <c r="I459" s="304" t="s">
        <v>5005</v>
      </c>
      <c r="J459" s="304" t="s">
        <v>5006</v>
      </c>
    </row>
    <row r="460" spans="1:10">
      <c r="A460" s="347">
        <v>491</v>
      </c>
      <c r="B460" s="304" t="s">
        <v>5007</v>
      </c>
      <c r="C460" s="304" t="s">
        <v>106</v>
      </c>
      <c r="D460" s="304" t="s">
        <v>5668</v>
      </c>
      <c r="E460" s="304"/>
      <c r="F460" s="304" t="s">
        <v>5669</v>
      </c>
      <c r="G460" s="1111">
        <v>13096</v>
      </c>
      <c r="I460" s="304" t="s">
        <v>5670</v>
      </c>
      <c r="J460" s="304" t="s">
        <v>6033</v>
      </c>
    </row>
    <row r="461" spans="1:10" ht="25.5">
      <c r="A461" s="347">
        <v>492</v>
      </c>
      <c r="B461" s="304" t="s">
        <v>3503</v>
      </c>
      <c r="C461" s="304" t="s">
        <v>2975</v>
      </c>
      <c r="D461" s="304" t="s">
        <v>2976</v>
      </c>
      <c r="E461" s="304"/>
      <c r="F461" s="304" t="s">
        <v>628</v>
      </c>
      <c r="G461" s="1111">
        <v>13096</v>
      </c>
      <c r="I461" s="304" t="s">
        <v>629</v>
      </c>
      <c r="J461" s="304" t="s">
        <v>2065</v>
      </c>
    </row>
    <row r="462" spans="1:10" ht="25.5">
      <c r="A462" s="347">
        <v>493</v>
      </c>
      <c r="B462" s="304" t="s">
        <v>4713</v>
      </c>
      <c r="C462" s="304" t="s">
        <v>4714</v>
      </c>
      <c r="D462" s="304" t="s">
        <v>5445</v>
      </c>
      <c r="E462" s="304"/>
      <c r="F462" s="304" t="s">
        <v>5446</v>
      </c>
      <c r="G462" s="1111">
        <v>14973</v>
      </c>
      <c r="H462" s="1110" t="s">
        <v>1484</v>
      </c>
      <c r="I462" s="304" t="s">
        <v>4715</v>
      </c>
      <c r="J462" s="304" t="s">
        <v>4716</v>
      </c>
    </row>
    <row r="463" spans="1:10">
      <c r="A463" s="347">
        <v>494</v>
      </c>
      <c r="B463" s="304" t="s">
        <v>6083</v>
      </c>
      <c r="C463" s="304" t="s">
        <v>3576</v>
      </c>
      <c r="D463" s="304" t="s">
        <v>6084</v>
      </c>
      <c r="E463" s="304"/>
      <c r="F463" s="304" t="s">
        <v>5241</v>
      </c>
      <c r="G463" s="1111">
        <v>11690</v>
      </c>
      <c r="H463" s="1110" t="s">
        <v>3690</v>
      </c>
    </row>
    <row r="464" spans="1:10">
      <c r="A464" s="347">
        <v>495</v>
      </c>
      <c r="B464" s="304" t="s">
        <v>3741</v>
      </c>
      <c r="C464" s="304" t="s">
        <v>3742</v>
      </c>
      <c r="D464" s="304" t="s">
        <v>3743</v>
      </c>
      <c r="E464" s="304"/>
      <c r="F464" s="304" t="s">
        <v>4681</v>
      </c>
      <c r="I464" s="304" t="s">
        <v>1213</v>
      </c>
      <c r="J464" s="304" t="s">
        <v>1214</v>
      </c>
    </row>
    <row r="465" spans="1:10" ht="25.5">
      <c r="A465" s="347">
        <v>496</v>
      </c>
      <c r="B465" s="304" t="s">
        <v>5972</v>
      </c>
      <c r="C465" s="304" t="s">
        <v>4600</v>
      </c>
      <c r="D465" s="304" t="s">
        <v>4448</v>
      </c>
      <c r="E465" s="304"/>
      <c r="F465" s="304" t="s">
        <v>2763</v>
      </c>
      <c r="G465" s="1111">
        <v>11686</v>
      </c>
      <c r="H465" s="1110" t="s">
        <v>4098</v>
      </c>
      <c r="I465" s="304" t="s">
        <v>4572</v>
      </c>
      <c r="J465" s="304" t="s">
        <v>4573</v>
      </c>
    </row>
    <row r="466" spans="1:10" ht="25.5">
      <c r="A466" s="347">
        <v>497</v>
      </c>
      <c r="B466" s="304" t="s">
        <v>5136</v>
      </c>
      <c r="C466" s="304" t="s">
        <v>5163</v>
      </c>
      <c r="D466" s="304" t="s">
        <v>5204</v>
      </c>
      <c r="E466" s="304"/>
      <c r="F466" s="304" t="s">
        <v>6085</v>
      </c>
      <c r="I466" s="304" t="s">
        <v>3083</v>
      </c>
      <c r="J466" s="304" t="s">
        <v>3084</v>
      </c>
    </row>
    <row r="467" spans="1:10">
      <c r="A467" s="347">
        <v>498</v>
      </c>
      <c r="B467" s="304" t="s">
        <v>5177</v>
      </c>
      <c r="C467" s="304" t="s">
        <v>5178</v>
      </c>
      <c r="D467" s="304" t="s">
        <v>3759</v>
      </c>
      <c r="E467" s="304"/>
      <c r="F467" s="304" t="s">
        <v>3441</v>
      </c>
      <c r="G467" s="1111">
        <v>11686</v>
      </c>
      <c r="H467" s="1110" t="s">
        <v>4098</v>
      </c>
      <c r="I467" s="304" t="s">
        <v>240</v>
      </c>
      <c r="J467" s="304" t="s">
        <v>241</v>
      </c>
    </row>
    <row r="468" spans="1:10">
      <c r="A468" s="347">
        <v>499</v>
      </c>
      <c r="B468" s="304" t="s">
        <v>242</v>
      </c>
      <c r="C468" s="304" t="s">
        <v>5858</v>
      </c>
      <c r="D468" s="304" t="s">
        <v>5859</v>
      </c>
      <c r="E468" s="304" t="s">
        <v>5860</v>
      </c>
      <c r="F468" s="304" t="s">
        <v>1685</v>
      </c>
      <c r="G468" s="1111">
        <v>13096</v>
      </c>
      <c r="I468" s="304" t="s">
        <v>4926</v>
      </c>
      <c r="J468" s="304" t="s">
        <v>2220</v>
      </c>
    </row>
    <row r="469" spans="1:10" ht="25.5">
      <c r="A469" s="347">
        <v>500</v>
      </c>
      <c r="B469" s="304" t="s">
        <v>1794</v>
      </c>
      <c r="C469" s="304" t="s">
        <v>1795</v>
      </c>
      <c r="D469" s="304" t="s">
        <v>1796</v>
      </c>
      <c r="E469" s="304" t="s">
        <v>1797</v>
      </c>
      <c r="F469" s="304" t="s">
        <v>1798</v>
      </c>
      <c r="G469" s="1111">
        <v>210366</v>
      </c>
      <c r="H469" s="1110" t="s">
        <v>5999</v>
      </c>
      <c r="I469" s="304" t="s">
        <v>1799</v>
      </c>
      <c r="J469" s="304" t="s">
        <v>3586</v>
      </c>
    </row>
    <row r="470" spans="1:10" ht="25.5">
      <c r="A470" s="347">
        <v>501</v>
      </c>
      <c r="B470" s="304" t="s">
        <v>3587</v>
      </c>
      <c r="C470" s="304" t="s">
        <v>3588</v>
      </c>
      <c r="D470" s="304" t="s">
        <v>647</v>
      </c>
      <c r="E470" s="304"/>
      <c r="F470" s="304" t="s">
        <v>2957</v>
      </c>
      <c r="I470" s="304" t="s">
        <v>2958</v>
      </c>
      <c r="J470" s="304" t="s">
        <v>5472</v>
      </c>
    </row>
    <row r="471" spans="1:10">
      <c r="A471" s="347">
        <v>502</v>
      </c>
      <c r="B471" s="304" t="s">
        <v>3587</v>
      </c>
      <c r="C471" s="304" t="s">
        <v>5473</v>
      </c>
      <c r="D471" s="304" t="s">
        <v>5474</v>
      </c>
      <c r="E471" s="304"/>
      <c r="F471" s="304" t="s">
        <v>32</v>
      </c>
      <c r="I471" s="304" t="s">
        <v>4979</v>
      </c>
      <c r="J471" s="304" t="s">
        <v>4980</v>
      </c>
    </row>
    <row r="472" spans="1:10">
      <c r="A472" s="347">
        <v>503</v>
      </c>
      <c r="B472" s="304" t="s">
        <v>2512</v>
      </c>
      <c r="C472" s="304" t="s">
        <v>6270</v>
      </c>
      <c r="D472" s="304" t="s">
        <v>5600</v>
      </c>
      <c r="E472" s="304"/>
      <c r="F472" s="304" t="s">
        <v>3114</v>
      </c>
      <c r="G472" s="1111">
        <v>11602</v>
      </c>
      <c r="H472" s="1110" t="s">
        <v>830</v>
      </c>
      <c r="I472" s="304" t="s">
        <v>3115</v>
      </c>
      <c r="J472" s="304" t="s">
        <v>3116</v>
      </c>
    </row>
    <row r="473" spans="1:10">
      <c r="A473" s="347">
        <v>504</v>
      </c>
      <c r="B473" s="304" t="s">
        <v>3117</v>
      </c>
      <c r="C473" s="304" t="s">
        <v>4367</v>
      </c>
      <c r="D473" s="304" t="s">
        <v>4368</v>
      </c>
      <c r="E473" s="304"/>
      <c r="F473" s="304" t="s">
        <v>4337</v>
      </c>
      <c r="I473" s="304" t="s">
        <v>4338</v>
      </c>
      <c r="J473" s="304" t="s">
        <v>5319</v>
      </c>
    </row>
    <row r="474" spans="1:10" ht="25.5">
      <c r="A474" s="347">
        <v>505</v>
      </c>
      <c r="B474" s="304" t="s">
        <v>1953</v>
      </c>
      <c r="C474" s="304" t="s">
        <v>743</v>
      </c>
      <c r="D474" s="304" t="s">
        <v>744</v>
      </c>
      <c r="E474" s="304"/>
      <c r="F474" s="304" t="s">
        <v>1960</v>
      </c>
      <c r="G474" s="1111">
        <v>11690</v>
      </c>
      <c r="H474" s="1110" t="s">
        <v>3690</v>
      </c>
      <c r="I474" s="304" t="s">
        <v>1961</v>
      </c>
      <c r="J474" s="304" t="s">
        <v>1378</v>
      </c>
    </row>
    <row r="475" spans="1:10">
      <c r="A475" s="347">
        <v>506</v>
      </c>
      <c r="B475" s="304" t="s">
        <v>1379</v>
      </c>
      <c r="C475" s="304" t="s">
        <v>2071</v>
      </c>
      <c r="D475" s="304" t="s">
        <v>2072</v>
      </c>
      <c r="E475" s="304"/>
      <c r="F475" s="304" t="s">
        <v>2073</v>
      </c>
      <c r="G475" s="1111">
        <v>11690</v>
      </c>
      <c r="H475" s="1110" t="s">
        <v>3690</v>
      </c>
      <c r="I475" s="304" t="s">
        <v>496</v>
      </c>
      <c r="J475" s="304" t="s">
        <v>497</v>
      </c>
    </row>
    <row r="476" spans="1:10" ht="25.5">
      <c r="A476" s="347">
        <v>507</v>
      </c>
      <c r="B476" s="304" t="s">
        <v>1658</v>
      </c>
      <c r="C476" s="304" t="s">
        <v>3183</v>
      </c>
      <c r="D476" s="304" t="s">
        <v>3184</v>
      </c>
      <c r="E476" s="304"/>
      <c r="F476" s="304" t="s">
        <v>3185</v>
      </c>
      <c r="G476" s="1111">
        <v>11690</v>
      </c>
      <c r="H476" s="1110" t="s">
        <v>3690</v>
      </c>
      <c r="I476" s="304" t="s">
        <v>4050</v>
      </c>
      <c r="J476" s="304" t="s">
        <v>4051</v>
      </c>
    </row>
    <row r="477" spans="1:10" ht="25.5">
      <c r="A477" s="347">
        <v>508</v>
      </c>
      <c r="B477" s="304" t="s">
        <v>5836</v>
      </c>
      <c r="C477" s="304" t="s">
        <v>606</v>
      </c>
      <c r="D477" s="304" t="s">
        <v>48</v>
      </c>
      <c r="E477" s="304" t="s">
        <v>1870</v>
      </c>
      <c r="F477" s="304" t="s">
        <v>5649</v>
      </c>
      <c r="G477" s="1111">
        <v>14973</v>
      </c>
      <c r="H477" s="1110" t="s">
        <v>1484</v>
      </c>
      <c r="I477" s="304" t="s">
        <v>272</v>
      </c>
      <c r="J477" s="304" t="s">
        <v>273</v>
      </c>
    </row>
    <row r="478" spans="1:10">
      <c r="A478" s="347">
        <v>509</v>
      </c>
      <c r="B478" s="304" t="s">
        <v>5056</v>
      </c>
      <c r="C478" s="304" t="s">
        <v>1762</v>
      </c>
      <c r="D478" s="304" t="s">
        <v>1763</v>
      </c>
      <c r="E478" s="304"/>
      <c r="F478" s="304" t="s">
        <v>1764</v>
      </c>
      <c r="G478" s="1111">
        <v>11696</v>
      </c>
      <c r="H478" s="1110" t="s">
        <v>566</v>
      </c>
      <c r="I478" s="304" t="s">
        <v>1765</v>
      </c>
      <c r="J478" s="304" t="s">
        <v>1766</v>
      </c>
    </row>
    <row r="479" spans="1:10" ht="25.5">
      <c r="A479" s="347">
        <v>510</v>
      </c>
      <c r="B479" s="304" t="s">
        <v>3856</v>
      </c>
      <c r="C479" s="304" t="s">
        <v>4727</v>
      </c>
      <c r="D479" s="304" t="s">
        <v>4728</v>
      </c>
      <c r="E479" s="304"/>
      <c r="F479" s="304" t="s">
        <v>2031</v>
      </c>
      <c r="G479" s="1111">
        <v>13096</v>
      </c>
      <c r="I479" s="304" t="s">
        <v>2283</v>
      </c>
      <c r="J479" s="304" t="s">
        <v>4521</v>
      </c>
    </row>
    <row r="480" spans="1:10">
      <c r="A480" s="347">
        <v>511</v>
      </c>
      <c r="B480" s="304" t="s">
        <v>2284</v>
      </c>
      <c r="C480" s="304" t="s">
        <v>2395</v>
      </c>
      <c r="D480" s="304" t="s">
        <v>778</v>
      </c>
      <c r="E480" s="304"/>
      <c r="F480" s="304" t="s">
        <v>3536</v>
      </c>
      <c r="I480" s="304" t="s">
        <v>3537</v>
      </c>
      <c r="J480" s="304" t="s">
        <v>3538</v>
      </c>
    </row>
    <row r="481" spans="1:10">
      <c r="A481" s="347">
        <v>512</v>
      </c>
      <c r="B481" s="304" t="s">
        <v>3539</v>
      </c>
      <c r="C481" s="304" t="s">
        <v>1356</v>
      </c>
      <c r="D481" s="304" t="s">
        <v>778</v>
      </c>
      <c r="E481" s="304"/>
      <c r="F481" s="304" t="s">
        <v>3540</v>
      </c>
      <c r="I481" s="304" t="s">
        <v>3537</v>
      </c>
      <c r="J481" s="304" t="s">
        <v>3538</v>
      </c>
    </row>
    <row r="482" spans="1:10">
      <c r="A482" s="347">
        <v>514</v>
      </c>
      <c r="B482" s="304" t="s">
        <v>246</v>
      </c>
      <c r="C482" s="304" t="s">
        <v>364</v>
      </c>
      <c r="D482" s="304" t="s">
        <v>365</v>
      </c>
      <c r="E482" s="304"/>
      <c r="F482" s="304" t="s">
        <v>1241</v>
      </c>
      <c r="I482" s="304" t="s">
        <v>1242</v>
      </c>
      <c r="J482" s="304" t="s">
        <v>1243</v>
      </c>
    </row>
    <row r="483" spans="1:10" ht="25.5">
      <c r="A483" s="347">
        <v>515</v>
      </c>
      <c r="B483" s="304" t="s">
        <v>1244</v>
      </c>
      <c r="C483" s="304" t="s">
        <v>3607</v>
      </c>
      <c r="D483" s="304" t="s">
        <v>3608</v>
      </c>
      <c r="E483" s="304" t="s">
        <v>4822</v>
      </c>
      <c r="F483" s="304" t="s">
        <v>1223</v>
      </c>
      <c r="I483" s="304" t="s">
        <v>1224</v>
      </c>
      <c r="J483" s="304" t="s">
        <v>1225</v>
      </c>
    </row>
    <row r="484" spans="1:10">
      <c r="A484" s="347">
        <v>516</v>
      </c>
      <c r="B484" s="304" t="s">
        <v>1803</v>
      </c>
      <c r="C484" s="304" t="s">
        <v>3861</v>
      </c>
      <c r="D484" s="304" t="s">
        <v>1804</v>
      </c>
      <c r="E484" s="304"/>
      <c r="F484" s="304" t="s">
        <v>1805</v>
      </c>
      <c r="G484" s="1111">
        <v>210365</v>
      </c>
      <c r="H484" s="1110" t="s">
        <v>636</v>
      </c>
    </row>
    <row r="485" spans="1:10">
      <c r="A485" s="347">
        <v>517</v>
      </c>
      <c r="B485" s="304" t="s">
        <v>380</v>
      </c>
      <c r="C485" s="304" t="s">
        <v>765</v>
      </c>
      <c r="D485" s="304" t="s">
        <v>4899</v>
      </c>
      <c r="E485" s="304"/>
      <c r="F485" s="304" t="s">
        <v>2007</v>
      </c>
      <c r="G485" s="1111">
        <v>11602</v>
      </c>
      <c r="H485" s="1110" t="s">
        <v>6288</v>
      </c>
    </row>
    <row r="486" spans="1:10">
      <c r="A486" s="347">
        <v>518</v>
      </c>
      <c r="B486" s="304" t="s">
        <v>2008</v>
      </c>
      <c r="C486" s="304" t="s">
        <v>2009</v>
      </c>
      <c r="D486" s="304" t="s">
        <v>2010</v>
      </c>
      <c r="E486" s="304" t="s">
        <v>1957</v>
      </c>
      <c r="F486" s="304" t="s">
        <v>1958</v>
      </c>
      <c r="I486" s="304" t="s">
        <v>1959</v>
      </c>
      <c r="J486" s="304" t="s">
        <v>27</v>
      </c>
    </row>
    <row r="487" spans="1:10">
      <c r="A487" s="347">
        <v>519</v>
      </c>
      <c r="B487" s="304" t="s">
        <v>28</v>
      </c>
      <c r="C487" s="304" t="s">
        <v>29</v>
      </c>
      <c r="D487" s="304" t="s">
        <v>1760</v>
      </c>
      <c r="E487" s="304"/>
      <c r="F487" s="304" t="s">
        <v>1974</v>
      </c>
      <c r="G487" s="1111">
        <v>11686</v>
      </c>
      <c r="H487" s="1110" t="s">
        <v>4098</v>
      </c>
    </row>
    <row r="488" spans="1:10" ht="25.5">
      <c r="A488" s="347">
        <v>520</v>
      </c>
      <c r="B488" s="304" t="s">
        <v>2512</v>
      </c>
      <c r="C488" s="304" t="s">
        <v>1857</v>
      </c>
      <c r="D488" s="304" t="s">
        <v>1796</v>
      </c>
      <c r="E488" s="304"/>
      <c r="F488" s="304" t="s">
        <v>4393</v>
      </c>
      <c r="G488" s="1111">
        <v>210366</v>
      </c>
      <c r="H488" s="1110" t="s">
        <v>5999</v>
      </c>
      <c r="I488" s="304" t="s">
        <v>1910</v>
      </c>
      <c r="J488" s="304" t="s">
        <v>1911</v>
      </c>
    </row>
    <row r="489" spans="1:10">
      <c r="A489" s="347">
        <v>521</v>
      </c>
      <c r="B489" s="304" t="s">
        <v>2504</v>
      </c>
      <c r="C489" s="304" t="s">
        <v>2505</v>
      </c>
      <c r="D489" s="304" t="s">
        <v>5363</v>
      </c>
      <c r="E489" s="304"/>
      <c r="F489" s="304" t="s">
        <v>2514</v>
      </c>
      <c r="G489" s="1111">
        <v>13096</v>
      </c>
      <c r="I489" s="304" t="s">
        <v>2515</v>
      </c>
      <c r="J489" s="304" t="s">
        <v>2516</v>
      </c>
    </row>
    <row r="490" spans="1:10" ht="25.5">
      <c r="A490" s="347">
        <v>522</v>
      </c>
      <c r="B490" s="304" t="s">
        <v>1615</v>
      </c>
      <c r="C490" s="304" t="s">
        <v>4384</v>
      </c>
      <c r="D490" s="304" t="s">
        <v>4385</v>
      </c>
      <c r="E490" s="304"/>
      <c r="F490" s="304" t="s">
        <v>70</v>
      </c>
      <c r="G490" s="1111">
        <v>14973</v>
      </c>
      <c r="H490" s="1110" t="s">
        <v>1484</v>
      </c>
      <c r="I490" s="304" t="s">
        <v>817</v>
      </c>
      <c r="J490" s="304" t="s">
        <v>818</v>
      </c>
    </row>
    <row r="491" spans="1:10">
      <c r="A491" s="347">
        <v>523</v>
      </c>
      <c r="B491" s="304" t="s">
        <v>5697</v>
      </c>
      <c r="C491" s="304" t="s">
        <v>5698</v>
      </c>
      <c r="D491" s="304" t="s">
        <v>5699</v>
      </c>
      <c r="E491" s="304" t="s">
        <v>5700</v>
      </c>
      <c r="F491" s="304" t="s">
        <v>5701</v>
      </c>
      <c r="G491" s="1111">
        <v>11690</v>
      </c>
      <c r="H491" s="1110" t="s">
        <v>1255</v>
      </c>
      <c r="I491" s="304" t="s">
        <v>423</v>
      </c>
      <c r="J491" s="304" t="s">
        <v>424</v>
      </c>
    </row>
    <row r="492" spans="1:10" ht="25.5">
      <c r="A492" s="347">
        <v>524</v>
      </c>
      <c r="B492" s="304" t="s">
        <v>38</v>
      </c>
      <c r="C492" s="304" t="s">
        <v>425</v>
      </c>
      <c r="D492" s="304" t="s">
        <v>5230</v>
      </c>
      <c r="E492" s="304" t="s">
        <v>5231</v>
      </c>
      <c r="F492" s="304" t="s">
        <v>5849</v>
      </c>
      <c r="G492" s="1111">
        <v>210365</v>
      </c>
      <c r="H492" s="1110" t="s">
        <v>636</v>
      </c>
      <c r="I492" s="304" t="s">
        <v>5850</v>
      </c>
      <c r="J492" s="304" t="s">
        <v>88</v>
      </c>
    </row>
    <row r="493" spans="1:10">
      <c r="A493" s="347">
        <v>525</v>
      </c>
      <c r="B493" s="304" t="s">
        <v>89</v>
      </c>
      <c r="C493" s="304" t="s">
        <v>90</v>
      </c>
      <c r="D493" s="304" t="s">
        <v>6341</v>
      </c>
      <c r="E493" s="304"/>
      <c r="F493" s="304" t="s">
        <v>3494</v>
      </c>
      <c r="G493" s="1111">
        <v>13096</v>
      </c>
      <c r="I493" s="304" t="s">
        <v>3495</v>
      </c>
      <c r="J493" s="304" t="s">
        <v>3496</v>
      </c>
    </row>
    <row r="494" spans="1:10">
      <c r="A494" s="347">
        <v>526</v>
      </c>
      <c r="B494" s="304" t="s">
        <v>510</v>
      </c>
      <c r="C494" s="304" t="s">
        <v>3576</v>
      </c>
      <c r="D494" s="304" t="s">
        <v>2843</v>
      </c>
      <c r="E494" s="304"/>
      <c r="F494" s="304" t="s">
        <v>4647</v>
      </c>
      <c r="G494" s="1111">
        <v>11686</v>
      </c>
      <c r="H494" s="1110" t="s">
        <v>4098</v>
      </c>
    </row>
    <row r="495" spans="1:10">
      <c r="A495" s="347">
        <v>527</v>
      </c>
      <c r="B495" s="304" t="s">
        <v>4648</v>
      </c>
      <c r="C495" s="304" t="s">
        <v>4649</v>
      </c>
      <c r="D495" s="304" t="s">
        <v>4650</v>
      </c>
      <c r="E495" s="304"/>
      <c r="F495" s="304" t="s">
        <v>5241</v>
      </c>
      <c r="I495" s="304" t="s">
        <v>1899</v>
      </c>
      <c r="J495" s="304" t="s">
        <v>1900</v>
      </c>
    </row>
    <row r="496" spans="1:10" ht="25.5">
      <c r="A496" s="347">
        <v>528</v>
      </c>
      <c r="B496" s="304" t="s">
        <v>1218</v>
      </c>
      <c r="C496" s="304" t="s">
        <v>3679</v>
      </c>
      <c r="D496" s="304" t="s">
        <v>3680</v>
      </c>
      <c r="E496" s="304"/>
      <c r="F496" s="304" t="s">
        <v>4393</v>
      </c>
      <c r="G496" s="1111">
        <v>210366</v>
      </c>
      <c r="H496" s="1110" t="s">
        <v>5999</v>
      </c>
      <c r="I496" s="304" t="s">
        <v>2201</v>
      </c>
      <c r="J496" s="304" t="s">
        <v>6196</v>
      </c>
    </row>
    <row r="497" spans="1:10">
      <c r="A497" s="347">
        <v>529</v>
      </c>
      <c r="B497" s="304" t="s">
        <v>6197</v>
      </c>
      <c r="C497" s="304" t="s">
        <v>1801</v>
      </c>
      <c r="D497" s="304" t="s">
        <v>1802</v>
      </c>
      <c r="E497" s="304"/>
      <c r="F497" s="304" t="s">
        <v>1233</v>
      </c>
      <c r="G497" s="1111">
        <v>11486</v>
      </c>
      <c r="H497" s="1110" t="s">
        <v>6323</v>
      </c>
      <c r="I497" s="304" t="s">
        <v>936</v>
      </c>
      <c r="J497" s="304" t="s">
        <v>3254</v>
      </c>
    </row>
    <row r="498" spans="1:10">
      <c r="A498" s="347">
        <v>530</v>
      </c>
      <c r="B498" s="304" t="s">
        <v>3255</v>
      </c>
      <c r="C498" s="304" t="s">
        <v>3256</v>
      </c>
      <c r="D498" s="304" t="s">
        <v>3257</v>
      </c>
      <c r="E498" s="304"/>
      <c r="F498" s="304" t="s">
        <v>1449</v>
      </c>
      <c r="I498" s="304" t="s">
        <v>1450</v>
      </c>
      <c r="J498" s="304" t="s">
        <v>4090</v>
      </c>
    </row>
    <row r="499" spans="1:10">
      <c r="A499" s="347">
        <v>531</v>
      </c>
      <c r="B499" s="304" t="s">
        <v>4091</v>
      </c>
      <c r="C499" s="304" t="s">
        <v>4092</v>
      </c>
      <c r="D499" s="304" t="s">
        <v>2526</v>
      </c>
      <c r="E499" s="304"/>
      <c r="F499" s="304" t="s">
        <v>2527</v>
      </c>
      <c r="G499" s="1111">
        <v>11602</v>
      </c>
      <c r="H499" s="1110" t="s">
        <v>6288</v>
      </c>
      <c r="I499" s="304" t="s">
        <v>2528</v>
      </c>
      <c r="J499" s="304" t="s">
        <v>2529</v>
      </c>
    </row>
    <row r="500" spans="1:10">
      <c r="A500" s="347">
        <v>532</v>
      </c>
      <c r="B500" s="304" t="s">
        <v>3738</v>
      </c>
      <c r="C500" s="304" t="s">
        <v>3739</v>
      </c>
      <c r="D500" s="304" t="s">
        <v>3740</v>
      </c>
      <c r="E500" s="304"/>
      <c r="F500" s="304" t="s">
        <v>318</v>
      </c>
      <c r="I500" s="304" t="s">
        <v>6026</v>
      </c>
      <c r="J500" s="304" t="s">
        <v>5976</v>
      </c>
    </row>
    <row r="501" spans="1:10" ht="25.5">
      <c r="A501" s="347">
        <v>533</v>
      </c>
      <c r="B501" s="304" t="s">
        <v>4172</v>
      </c>
      <c r="C501" s="304" t="s">
        <v>4173</v>
      </c>
      <c r="D501" s="304" t="s">
        <v>1389</v>
      </c>
      <c r="E501" s="304"/>
      <c r="F501" s="304" t="s">
        <v>1390</v>
      </c>
      <c r="G501" s="1111">
        <v>210365</v>
      </c>
      <c r="H501" s="1110" t="s">
        <v>636</v>
      </c>
      <c r="I501" s="304" t="s">
        <v>3013</v>
      </c>
      <c r="J501" s="304" t="s">
        <v>3014</v>
      </c>
    </row>
    <row r="502" spans="1:10">
      <c r="A502" s="347">
        <v>534</v>
      </c>
      <c r="B502" s="304" t="s">
        <v>5303</v>
      </c>
      <c r="C502" s="304" t="s">
        <v>5304</v>
      </c>
      <c r="D502" s="304" t="s">
        <v>596</v>
      </c>
      <c r="E502" s="304"/>
      <c r="F502" s="304" t="s">
        <v>597</v>
      </c>
      <c r="G502" s="1111">
        <v>11690</v>
      </c>
      <c r="H502" s="1110" t="s">
        <v>3690</v>
      </c>
      <c r="I502" s="304" t="s">
        <v>5417</v>
      </c>
      <c r="J502" s="304" t="s">
        <v>5418</v>
      </c>
    </row>
    <row r="503" spans="1:10">
      <c r="A503" s="347">
        <v>535</v>
      </c>
      <c r="B503" s="304" t="s">
        <v>4685</v>
      </c>
      <c r="C503" s="304" t="s">
        <v>2574</v>
      </c>
      <c r="D503" s="304" t="s">
        <v>2604</v>
      </c>
      <c r="E503" s="304" t="s">
        <v>4686</v>
      </c>
      <c r="F503" s="304" t="s">
        <v>3099</v>
      </c>
      <c r="G503" s="1111">
        <v>209679</v>
      </c>
      <c r="H503" s="1110" t="s">
        <v>3100</v>
      </c>
      <c r="I503" s="304" t="s">
        <v>2575</v>
      </c>
      <c r="J503" s="304" t="s">
        <v>497</v>
      </c>
    </row>
    <row r="504" spans="1:10">
      <c r="A504" s="347">
        <v>536</v>
      </c>
      <c r="B504" s="304" t="s">
        <v>4687</v>
      </c>
      <c r="C504" s="304" t="s">
        <v>3711</v>
      </c>
      <c r="D504" s="304" t="s">
        <v>3712</v>
      </c>
      <c r="E504" s="304" t="s">
        <v>3113</v>
      </c>
      <c r="F504" s="304" t="s">
        <v>1703</v>
      </c>
      <c r="G504" s="1111">
        <v>11486</v>
      </c>
      <c r="H504" s="1110" t="s">
        <v>6323</v>
      </c>
      <c r="I504" s="304" t="s">
        <v>2199</v>
      </c>
      <c r="J504" s="304" t="s">
        <v>2798</v>
      </c>
    </row>
    <row r="505" spans="1:10">
      <c r="A505" s="347">
        <v>537</v>
      </c>
      <c r="B505" s="304" t="s">
        <v>1622</v>
      </c>
      <c r="C505" s="304" t="s">
        <v>6268</v>
      </c>
      <c r="D505" s="304" t="s">
        <v>1623</v>
      </c>
      <c r="E505" s="304"/>
      <c r="F505" s="304" t="s">
        <v>1624</v>
      </c>
      <c r="G505" s="1111">
        <v>14973</v>
      </c>
      <c r="H505" s="1110" t="s">
        <v>1484</v>
      </c>
      <c r="I505" s="304" t="s">
        <v>6267</v>
      </c>
      <c r="J505" s="304" t="s">
        <v>967</v>
      </c>
    </row>
    <row r="506" spans="1:10">
      <c r="A506" s="347">
        <v>538</v>
      </c>
      <c r="B506" s="304" t="s">
        <v>2349</v>
      </c>
      <c r="C506" s="304" t="s">
        <v>1197</v>
      </c>
      <c r="D506" s="304" t="s">
        <v>1198</v>
      </c>
      <c r="E506" s="304"/>
      <c r="F506" s="304" t="s">
        <v>3143</v>
      </c>
      <c r="G506" s="1111">
        <v>11691</v>
      </c>
      <c r="H506" s="1110" t="s">
        <v>1133</v>
      </c>
      <c r="I506" s="304" t="s">
        <v>3872</v>
      </c>
      <c r="J506" s="304" t="s">
        <v>3873</v>
      </c>
    </row>
    <row r="507" spans="1:10" ht="25.5">
      <c r="A507" s="347">
        <v>539</v>
      </c>
      <c r="B507" s="304" t="s">
        <v>3574</v>
      </c>
      <c r="C507" s="304" t="s">
        <v>2879</v>
      </c>
      <c r="D507" s="304" t="s">
        <v>1636</v>
      </c>
      <c r="E507" s="304" t="s">
        <v>1637</v>
      </c>
      <c r="F507" s="304" t="s">
        <v>1638</v>
      </c>
      <c r="G507" s="1111">
        <v>11486</v>
      </c>
      <c r="H507" s="1110" t="s">
        <v>6323</v>
      </c>
      <c r="I507" s="304" t="s">
        <v>1639</v>
      </c>
      <c r="J507" s="304" t="s">
        <v>1640</v>
      </c>
    </row>
    <row r="508" spans="1:10" ht="25.5">
      <c r="A508" s="347">
        <v>540</v>
      </c>
      <c r="B508" s="304" t="s">
        <v>2552</v>
      </c>
      <c r="C508" s="304" t="s">
        <v>2553</v>
      </c>
      <c r="D508" s="304" t="s">
        <v>91</v>
      </c>
      <c r="E508" s="304"/>
      <c r="F508" s="304" t="s">
        <v>1186</v>
      </c>
      <c r="I508" s="304" t="s">
        <v>1187</v>
      </c>
      <c r="J508" s="304" t="s">
        <v>4145</v>
      </c>
    </row>
    <row r="509" spans="1:10">
      <c r="A509" s="347">
        <v>541</v>
      </c>
      <c r="B509" s="304" t="s">
        <v>3551</v>
      </c>
      <c r="C509" s="304" t="s">
        <v>3552</v>
      </c>
      <c r="D509" s="304"/>
      <c r="E509" s="304" t="s">
        <v>3069</v>
      </c>
      <c r="F509" s="304" t="s">
        <v>3070</v>
      </c>
      <c r="G509" s="1111">
        <v>11690</v>
      </c>
      <c r="H509" s="1110" t="s">
        <v>3690</v>
      </c>
      <c r="I509" s="304" t="s">
        <v>3071</v>
      </c>
    </row>
    <row r="510" spans="1:10">
      <c r="A510" s="347">
        <v>542</v>
      </c>
      <c r="B510" s="304" t="s">
        <v>2776</v>
      </c>
      <c r="C510" s="304" t="s">
        <v>3861</v>
      </c>
      <c r="D510" s="304"/>
      <c r="E510" s="304" t="s">
        <v>3072</v>
      </c>
      <c r="F510" s="304" t="s">
        <v>3073</v>
      </c>
      <c r="G510" s="1111">
        <v>209640</v>
      </c>
      <c r="H510" s="1110" t="s">
        <v>3074</v>
      </c>
    </row>
    <row r="511" spans="1:10">
      <c r="A511" s="347">
        <v>543</v>
      </c>
      <c r="B511" s="304" t="s">
        <v>3856</v>
      </c>
      <c r="C511" s="304" t="s">
        <v>149</v>
      </c>
      <c r="D511" s="304" t="s">
        <v>2520</v>
      </c>
      <c r="E511" s="304" t="s">
        <v>1521</v>
      </c>
      <c r="F511" s="304" t="s">
        <v>628</v>
      </c>
      <c r="G511" s="1111">
        <v>13831</v>
      </c>
      <c r="H511" s="1110" t="s">
        <v>5653</v>
      </c>
      <c r="I511" s="304" t="s">
        <v>1522</v>
      </c>
      <c r="J511" s="304" t="s">
        <v>150</v>
      </c>
    </row>
    <row r="512" spans="1:10">
      <c r="A512" s="347">
        <v>544</v>
      </c>
      <c r="B512" s="304" t="s">
        <v>274</v>
      </c>
      <c r="C512" s="304" t="s">
        <v>275</v>
      </c>
      <c r="D512" s="304" t="s">
        <v>276</v>
      </c>
      <c r="E512" s="304"/>
      <c r="F512" s="304" t="s">
        <v>277</v>
      </c>
      <c r="G512" s="1111">
        <v>210365</v>
      </c>
      <c r="H512" s="1110" t="s">
        <v>636</v>
      </c>
      <c r="I512" s="304" t="s">
        <v>5601</v>
      </c>
      <c r="J512" s="304" t="s">
        <v>5101</v>
      </c>
    </row>
    <row r="513" spans="1:10" ht="25.5">
      <c r="A513" s="347">
        <v>545</v>
      </c>
      <c r="B513" s="304" t="s">
        <v>5102</v>
      </c>
      <c r="C513" s="304" t="s">
        <v>5103</v>
      </c>
      <c r="D513" s="304" t="s">
        <v>1550</v>
      </c>
      <c r="E513" s="304"/>
      <c r="F513" s="304" t="s">
        <v>1551</v>
      </c>
      <c r="G513" s="1111">
        <v>12870</v>
      </c>
      <c r="H513" s="1110" t="s">
        <v>5299</v>
      </c>
      <c r="I513" s="304" t="s">
        <v>4303</v>
      </c>
      <c r="J513" s="304" t="s">
        <v>1587</v>
      </c>
    </row>
    <row r="514" spans="1:10" ht="25.5">
      <c r="A514" s="347">
        <v>546</v>
      </c>
      <c r="B514" s="304" t="s">
        <v>4018</v>
      </c>
      <c r="C514" s="304" t="s">
        <v>3576</v>
      </c>
      <c r="D514" s="304" t="s">
        <v>3678</v>
      </c>
      <c r="E514" s="304"/>
      <c r="F514" s="304" t="s">
        <v>1920</v>
      </c>
      <c r="G514" s="1111">
        <v>11686</v>
      </c>
      <c r="H514" s="1110" t="s">
        <v>4098</v>
      </c>
    </row>
    <row r="515" spans="1:10" ht="25.5">
      <c r="A515" s="347">
        <v>547</v>
      </c>
      <c r="B515" s="304" t="s">
        <v>1921</v>
      </c>
      <c r="C515" s="304" t="s">
        <v>1922</v>
      </c>
      <c r="D515" s="304" t="s">
        <v>5493</v>
      </c>
      <c r="E515" s="304" t="s">
        <v>5494</v>
      </c>
      <c r="F515" s="304" t="s">
        <v>5495</v>
      </c>
      <c r="G515" s="1111">
        <v>11468</v>
      </c>
      <c r="H515" s="1110" t="s">
        <v>5610</v>
      </c>
      <c r="I515" s="304" t="s">
        <v>5496</v>
      </c>
      <c r="J515" s="304" t="s">
        <v>5497</v>
      </c>
    </row>
    <row r="516" spans="1:10">
      <c r="A516" s="347">
        <v>548</v>
      </c>
      <c r="B516" s="304" t="s">
        <v>5498</v>
      </c>
      <c r="C516" s="304" t="s">
        <v>5499</v>
      </c>
      <c r="D516" s="304" t="s">
        <v>4261</v>
      </c>
      <c r="E516" s="304" t="s">
        <v>1472</v>
      </c>
      <c r="F516" s="304" t="s">
        <v>1473</v>
      </c>
      <c r="G516" s="1111">
        <v>210522</v>
      </c>
      <c r="H516" s="1110" t="s">
        <v>5440</v>
      </c>
      <c r="I516" s="304" t="s">
        <v>1474</v>
      </c>
      <c r="J516" s="304" t="s">
        <v>1475</v>
      </c>
    </row>
    <row r="517" spans="1:10" ht="25.5">
      <c r="A517" s="347">
        <v>549</v>
      </c>
      <c r="B517" s="304" t="s">
        <v>5102</v>
      </c>
      <c r="C517" s="304" t="s">
        <v>2104</v>
      </c>
      <c r="D517" s="304" t="s">
        <v>2105</v>
      </c>
      <c r="E517" s="304"/>
      <c r="F517" s="304" t="s">
        <v>4755</v>
      </c>
      <c r="I517" s="304" t="s">
        <v>4756</v>
      </c>
    </row>
    <row r="518" spans="1:10" ht="25.5">
      <c r="A518" s="347">
        <v>550</v>
      </c>
      <c r="B518" s="304" t="s">
        <v>80</v>
      </c>
      <c r="C518" s="304" t="s">
        <v>3135</v>
      </c>
      <c r="D518" s="304" t="s">
        <v>2707</v>
      </c>
      <c r="E518" s="304" t="s">
        <v>2708</v>
      </c>
      <c r="F518" s="304" t="s">
        <v>2709</v>
      </c>
      <c r="I518" s="304" t="s">
        <v>1324</v>
      </c>
      <c r="J518" s="304" t="s">
        <v>540</v>
      </c>
    </row>
    <row r="519" spans="1:10" ht="25.5">
      <c r="A519" s="347">
        <v>551</v>
      </c>
      <c r="B519" s="304" t="s">
        <v>535</v>
      </c>
      <c r="C519" s="304" t="s">
        <v>3998</v>
      </c>
      <c r="D519" s="304" t="s">
        <v>3999</v>
      </c>
      <c r="E519" s="304" t="s">
        <v>4055</v>
      </c>
      <c r="F519" s="304" t="s">
        <v>2069</v>
      </c>
      <c r="G519" s="1111">
        <v>209679</v>
      </c>
      <c r="H519" s="1110" t="s">
        <v>3100</v>
      </c>
      <c r="I519" s="304" t="s">
        <v>2070</v>
      </c>
      <c r="J519" s="304" t="s">
        <v>4697</v>
      </c>
    </row>
    <row r="520" spans="1:10" ht="25.5">
      <c r="A520" s="347">
        <v>552</v>
      </c>
      <c r="B520" s="304" t="s">
        <v>3549</v>
      </c>
      <c r="C520" s="304" t="s">
        <v>4924</v>
      </c>
      <c r="D520" s="304" t="s">
        <v>4079</v>
      </c>
      <c r="E520" s="304"/>
      <c r="F520" s="304" t="s">
        <v>1139</v>
      </c>
      <c r="G520" s="1111">
        <v>210365</v>
      </c>
      <c r="H520" s="1110" t="s">
        <v>636</v>
      </c>
      <c r="I520" s="304" t="s">
        <v>1140</v>
      </c>
    </row>
    <row r="521" spans="1:10" ht="25.5">
      <c r="A521" s="347">
        <v>553</v>
      </c>
      <c r="B521" s="304" t="s">
        <v>4749</v>
      </c>
      <c r="C521" s="304" t="s">
        <v>2741</v>
      </c>
      <c r="D521" s="304" t="s">
        <v>2742</v>
      </c>
      <c r="E521" s="304"/>
      <c r="F521" s="304" t="s">
        <v>4112</v>
      </c>
      <c r="I521" s="304" t="s">
        <v>3959</v>
      </c>
      <c r="J521" s="304" t="s">
        <v>3960</v>
      </c>
    </row>
    <row r="522" spans="1:10" ht="25.5">
      <c r="A522" s="347">
        <v>554</v>
      </c>
      <c r="B522" s="304" t="s">
        <v>1951</v>
      </c>
      <c r="C522" s="304" t="s">
        <v>6081</v>
      </c>
      <c r="D522" s="304" t="s">
        <v>4806</v>
      </c>
      <c r="E522" s="304"/>
      <c r="F522" s="304" t="s">
        <v>4807</v>
      </c>
      <c r="G522" s="1111">
        <v>13096</v>
      </c>
      <c r="I522" s="304" t="s">
        <v>5854</v>
      </c>
    </row>
    <row r="523" spans="1:10" ht="25.5">
      <c r="A523" s="347">
        <v>555</v>
      </c>
      <c r="B523" s="304" t="s">
        <v>5855</v>
      </c>
      <c r="C523" s="304" t="s">
        <v>5856</v>
      </c>
      <c r="D523" s="304" t="s">
        <v>5857</v>
      </c>
      <c r="E523" s="304"/>
      <c r="F523" s="304" t="s">
        <v>4418</v>
      </c>
      <c r="G523" s="1111">
        <v>11486</v>
      </c>
      <c r="H523" s="1110" t="s">
        <v>6323</v>
      </c>
      <c r="I523" s="304" t="s">
        <v>5652</v>
      </c>
      <c r="J523" s="304" t="s">
        <v>4140</v>
      </c>
    </row>
    <row r="524" spans="1:10">
      <c r="A524" s="347">
        <v>556</v>
      </c>
      <c r="B524" s="304" t="s">
        <v>5126</v>
      </c>
      <c r="C524" s="304" t="s">
        <v>5689</v>
      </c>
      <c r="D524" s="304" t="s">
        <v>5690</v>
      </c>
      <c r="E524" s="304"/>
      <c r="F524" s="304" t="s">
        <v>4297</v>
      </c>
      <c r="G524" s="1111">
        <v>11602</v>
      </c>
      <c r="H524" s="1110" t="s">
        <v>830</v>
      </c>
      <c r="I524" s="304" t="s">
        <v>5021</v>
      </c>
      <c r="J524" s="304" t="s">
        <v>5022</v>
      </c>
    </row>
    <row r="525" spans="1:10" ht="25.5">
      <c r="A525" s="347">
        <v>557</v>
      </c>
      <c r="B525" s="304" t="s">
        <v>38</v>
      </c>
      <c r="C525" s="304" t="s">
        <v>2011</v>
      </c>
      <c r="D525" s="304" t="s">
        <v>981</v>
      </c>
      <c r="E525" s="304" t="s">
        <v>982</v>
      </c>
      <c r="F525" s="304" t="s">
        <v>462</v>
      </c>
      <c r="I525" s="304" t="s">
        <v>1952</v>
      </c>
      <c r="J525" s="304" t="s">
        <v>4695</v>
      </c>
    </row>
    <row r="526" spans="1:10">
      <c r="A526" s="347">
        <v>558</v>
      </c>
      <c r="B526" s="304" t="s">
        <v>463</v>
      </c>
      <c r="C526" s="304" t="s">
        <v>2022</v>
      </c>
      <c r="D526" s="304" t="s">
        <v>2023</v>
      </c>
      <c r="E526" s="304"/>
      <c r="F526" s="304" t="s">
        <v>4830</v>
      </c>
      <c r="I526" s="304" t="s">
        <v>4831</v>
      </c>
      <c r="J526" s="304" t="s">
        <v>4977</v>
      </c>
    </row>
    <row r="527" spans="1:10" ht="25.5">
      <c r="A527" s="347">
        <v>559</v>
      </c>
      <c r="B527" s="304" t="s">
        <v>4978</v>
      </c>
      <c r="C527" s="304" t="s">
        <v>6155</v>
      </c>
      <c r="D527" s="304" t="s">
        <v>2499</v>
      </c>
      <c r="E527" s="304"/>
      <c r="F527" s="304" t="s">
        <v>901</v>
      </c>
      <c r="G527" s="1111">
        <v>209679</v>
      </c>
      <c r="H527" s="1110" t="s">
        <v>3100</v>
      </c>
      <c r="I527" s="304" t="s">
        <v>5013</v>
      </c>
      <c r="J527" s="304" t="s">
        <v>5014</v>
      </c>
    </row>
    <row r="528" spans="1:10">
      <c r="A528" s="347">
        <v>560</v>
      </c>
      <c r="B528" s="304" t="s">
        <v>5015</v>
      </c>
      <c r="C528" s="304" t="s">
        <v>5016</v>
      </c>
      <c r="D528" s="304" t="s">
        <v>5017</v>
      </c>
      <c r="E528" s="304" t="s">
        <v>2388</v>
      </c>
      <c r="F528" s="304" t="s">
        <v>6211</v>
      </c>
      <c r="G528" s="1111">
        <v>11468</v>
      </c>
      <c r="H528" s="1110" t="s">
        <v>5610</v>
      </c>
      <c r="I528" s="304" t="s">
        <v>6212</v>
      </c>
      <c r="J528" s="304" t="s">
        <v>6213</v>
      </c>
    </row>
    <row r="529" spans="1:10">
      <c r="A529" s="347">
        <v>561</v>
      </c>
      <c r="B529" s="304" t="s">
        <v>6214</v>
      </c>
      <c r="C529" s="304" t="s">
        <v>521</v>
      </c>
      <c r="D529" s="304" t="s">
        <v>6215</v>
      </c>
      <c r="E529" s="304"/>
      <c r="F529" s="304" t="s">
        <v>1078</v>
      </c>
      <c r="G529" s="1111">
        <v>13096</v>
      </c>
      <c r="I529" s="304" t="s">
        <v>1079</v>
      </c>
      <c r="J529" s="304" t="s">
        <v>92</v>
      </c>
    </row>
    <row r="530" spans="1:10">
      <c r="A530" s="347">
        <v>562</v>
      </c>
      <c r="B530" s="304" t="s">
        <v>6216</v>
      </c>
      <c r="C530" s="304" t="s">
        <v>3576</v>
      </c>
      <c r="D530" s="304" t="s">
        <v>6217</v>
      </c>
      <c r="E530" s="304"/>
      <c r="F530" s="304" t="s">
        <v>4089</v>
      </c>
      <c r="G530" s="1111">
        <v>11602</v>
      </c>
      <c r="H530" s="1110" t="s">
        <v>6288</v>
      </c>
    </row>
    <row r="531" spans="1:10">
      <c r="A531" s="347">
        <v>563</v>
      </c>
      <c r="B531" s="304" t="s">
        <v>5158</v>
      </c>
      <c r="C531" s="304" t="s">
        <v>5917</v>
      </c>
      <c r="D531" s="304" t="s">
        <v>5918</v>
      </c>
      <c r="E531" s="304" t="s">
        <v>2804</v>
      </c>
      <c r="F531" s="304" t="s">
        <v>1704</v>
      </c>
      <c r="G531" s="1111">
        <v>11486</v>
      </c>
      <c r="H531" s="1110" t="s">
        <v>6323</v>
      </c>
      <c r="I531" s="304" t="s">
        <v>1705</v>
      </c>
      <c r="J531" s="304" t="s">
        <v>2056</v>
      </c>
    </row>
    <row r="532" spans="1:10" ht="25.5">
      <c r="A532" s="347">
        <v>564</v>
      </c>
      <c r="B532" s="304" t="s">
        <v>5863</v>
      </c>
      <c r="C532" s="304" t="s">
        <v>3050</v>
      </c>
      <c r="D532" s="304" t="s">
        <v>5385</v>
      </c>
      <c r="E532" s="304"/>
      <c r="F532" s="304" t="s">
        <v>2693</v>
      </c>
      <c r="G532" s="1111">
        <v>11486</v>
      </c>
      <c r="H532" s="1110" t="s">
        <v>6323</v>
      </c>
      <c r="I532" s="304" t="s">
        <v>3932</v>
      </c>
      <c r="J532" s="304" t="s">
        <v>3933</v>
      </c>
    </row>
    <row r="533" spans="1:10">
      <c r="A533" s="347">
        <v>565</v>
      </c>
      <c r="B533" s="304" t="s">
        <v>3934</v>
      </c>
      <c r="C533" s="304" t="s">
        <v>3361</v>
      </c>
      <c r="D533" s="304" t="s">
        <v>1141</v>
      </c>
      <c r="E533" s="304"/>
      <c r="F533" s="304" t="s">
        <v>1142</v>
      </c>
      <c r="G533" s="1111">
        <v>11696</v>
      </c>
      <c r="H533" s="1110" t="s">
        <v>566</v>
      </c>
      <c r="I533" s="304" t="s">
        <v>823</v>
      </c>
      <c r="J533" s="304" t="s">
        <v>2166</v>
      </c>
    </row>
    <row r="534" spans="1:10">
      <c r="A534" s="347">
        <v>566</v>
      </c>
      <c r="B534" s="304" t="s">
        <v>1283</v>
      </c>
      <c r="C534" s="304" t="s">
        <v>1284</v>
      </c>
      <c r="D534" s="304" t="s">
        <v>1285</v>
      </c>
      <c r="E534" s="304" t="s">
        <v>4735</v>
      </c>
      <c r="F534" s="304" t="s">
        <v>1878</v>
      </c>
      <c r="G534" s="1111">
        <v>11468</v>
      </c>
      <c r="H534" s="1110" t="s">
        <v>5610</v>
      </c>
      <c r="I534" s="304" t="s">
        <v>1879</v>
      </c>
      <c r="J534" s="304" t="s">
        <v>1880</v>
      </c>
    </row>
    <row r="535" spans="1:10">
      <c r="A535" s="347">
        <v>567</v>
      </c>
      <c r="B535" s="304" t="s">
        <v>1881</v>
      </c>
      <c r="C535" s="304" t="s">
        <v>1882</v>
      </c>
      <c r="D535" s="304" t="s">
        <v>1883</v>
      </c>
      <c r="E535" s="304" t="s">
        <v>1884</v>
      </c>
      <c r="F535" s="304" t="s">
        <v>4379</v>
      </c>
      <c r="G535" s="1111">
        <v>210296</v>
      </c>
      <c r="H535" s="1110" t="s">
        <v>1808</v>
      </c>
    </row>
    <row r="536" spans="1:10" ht="25.5">
      <c r="A536" s="347">
        <v>568</v>
      </c>
      <c r="B536" s="304" t="s">
        <v>3174</v>
      </c>
      <c r="C536" s="304" t="s">
        <v>3576</v>
      </c>
      <c r="D536" s="304" t="s">
        <v>3859</v>
      </c>
      <c r="E536" s="304"/>
      <c r="F536" s="304" t="s">
        <v>4568</v>
      </c>
      <c r="G536" s="1111">
        <v>11468</v>
      </c>
      <c r="H536" s="1110" t="s">
        <v>5610</v>
      </c>
      <c r="I536" s="304" t="s">
        <v>4569</v>
      </c>
      <c r="J536" s="304" t="s">
        <v>4570</v>
      </c>
    </row>
    <row r="537" spans="1:10">
      <c r="A537" s="347">
        <v>569</v>
      </c>
      <c r="B537" s="304" t="s">
        <v>4571</v>
      </c>
      <c r="C537" s="304" t="s">
        <v>3576</v>
      </c>
      <c r="D537" s="304" t="s">
        <v>4298</v>
      </c>
      <c r="E537" s="304" t="s">
        <v>2153</v>
      </c>
      <c r="F537" s="304" t="s">
        <v>4064</v>
      </c>
      <c r="G537" s="1111">
        <v>209866</v>
      </c>
      <c r="H537" s="1110" t="s">
        <v>5723</v>
      </c>
    </row>
    <row r="538" spans="1:10" ht="25.5">
      <c r="A538" s="347">
        <v>570</v>
      </c>
      <c r="B538" s="304" t="s">
        <v>4065</v>
      </c>
      <c r="C538" s="304" t="s">
        <v>2549</v>
      </c>
      <c r="D538" s="304" t="s">
        <v>4174</v>
      </c>
      <c r="E538" s="304"/>
      <c r="F538" s="304" t="s">
        <v>4175</v>
      </c>
      <c r="G538" s="1111">
        <v>11486</v>
      </c>
      <c r="H538" s="1110" t="s">
        <v>6323</v>
      </c>
      <c r="I538" s="304" t="s">
        <v>4176</v>
      </c>
      <c r="J538" s="304" t="s">
        <v>1858</v>
      </c>
    </row>
    <row r="539" spans="1:10">
      <c r="A539" s="347">
        <v>571</v>
      </c>
      <c r="B539" s="304" t="s">
        <v>3405</v>
      </c>
      <c r="C539" s="304" t="s">
        <v>2697</v>
      </c>
      <c r="D539" s="304" t="s">
        <v>5628</v>
      </c>
      <c r="E539" s="304"/>
      <c r="F539" s="304" t="s">
        <v>5629</v>
      </c>
      <c r="G539" s="1111">
        <v>11455</v>
      </c>
      <c r="H539" s="1110" t="s">
        <v>3243</v>
      </c>
    </row>
    <row r="540" spans="1:10" ht="25.5">
      <c r="A540" s="347">
        <v>572</v>
      </c>
      <c r="B540" s="304" t="s">
        <v>4267</v>
      </c>
      <c r="C540" s="304" t="s">
        <v>5679</v>
      </c>
      <c r="D540" s="304" t="s">
        <v>4984</v>
      </c>
      <c r="E540" s="304" t="s">
        <v>151</v>
      </c>
      <c r="F540" s="304" t="s">
        <v>1901</v>
      </c>
      <c r="G540" s="1111">
        <v>11472</v>
      </c>
      <c r="H540" s="1110" t="s">
        <v>1484</v>
      </c>
      <c r="I540" s="304" t="s">
        <v>1902</v>
      </c>
      <c r="J540" s="304" t="s">
        <v>1903</v>
      </c>
    </row>
    <row r="541" spans="1:10">
      <c r="A541" s="347">
        <v>573</v>
      </c>
      <c r="B541" s="304" t="s">
        <v>1904</v>
      </c>
      <c r="C541" s="304" t="s">
        <v>1905</v>
      </c>
      <c r="D541" s="304" t="s">
        <v>1906</v>
      </c>
      <c r="E541" s="304"/>
      <c r="F541" s="304" t="s">
        <v>1907</v>
      </c>
      <c r="G541" s="1111">
        <v>11693</v>
      </c>
      <c r="H541" s="1110" t="s">
        <v>3036</v>
      </c>
    </row>
    <row r="542" spans="1:10">
      <c r="A542" s="347">
        <v>574</v>
      </c>
      <c r="B542" s="304" t="s">
        <v>4221</v>
      </c>
      <c r="C542" s="304" t="s">
        <v>4222</v>
      </c>
      <c r="D542" s="304" t="s">
        <v>4223</v>
      </c>
      <c r="E542" s="304"/>
      <c r="F542" s="304" t="s">
        <v>2206</v>
      </c>
      <c r="G542" s="1111">
        <v>209797</v>
      </c>
      <c r="H542" s="1110" t="s">
        <v>2563</v>
      </c>
      <c r="I542" s="304" t="s">
        <v>2207</v>
      </c>
      <c r="J542" s="304" t="s">
        <v>2208</v>
      </c>
    </row>
    <row r="543" spans="1:10">
      <c r="A543" s="347">
        <v>575</v>
      </c>
      <c r="B543" s="304" t="s">
        <v>2582</v>
      </c>
      <c r="D543" s="304" t="s">
        <v>2583</v>
      </c>
      <c r="E543" s="304"/>
      <c r="F543" s="304" t="s">
        <v>2584</v>
      </c>
      <c r="G543" s="1111">
        <v>11690</v>
      </c>
      <c r="H543" s="1110" t="s">
        <v>4790</v>
      </c>
      <c r="I543" s="304" t="s">
        <v>4791</v>
      </c>
      <c r="J543" s="304" t="s">
        <v>4792</v>
      </c>
    </row>
    <row r="544" spans="1:10">
      <c r="A544" s="347">
        <v>576</v>
      </c>
      <c r="B544" s="304" t="s">
        <v>2576</v>
      </c>
      <c r="C544" s="304" t="s">
        <v>2577</v>
      </c>
      <c r="D544" s="304" t="s">
        <v>2578</v>
      </c>
      <c r="E544" s="304"/>
      <c r="F544" s="304" t="s">
        <v>2579</v>
      </c>
      <c r="G544" s="1111">
        <v>11506</v>
      </c>
      <c r="H544" s="1110" t="s">
        <v>6248</v>
      </c>
      <c r="I544" s="304" t="s">
        <v>5322</v>
      </c>
      <c r="J544" s="304" t="s">
        <v>5323</v>
      </c>
    </row>
    <row r="545" spans="1:10">
      <c r="A545" s="347">
        <v>577</v>
      </c>
      <c r="B545" s="304" t="s">
        <v>256</v>
      </c>
      <c r="C545" s="304" t="s">
        <v>5324</v>
      </c>
      <c r="D545" s="304"/>
      <c r="E545" s="304" t="s">
        <v>5325</v>
      </c>
      <c r="F545" s="304" t="s">
        <v>4278</v>
      </c>
      <c r="G545" s="1111">
        <v>210296</v>
      </c>
      <c r="H545" s="1110" t="s">
        <v>3919</v>
      </c>
      <c r="I545" s="304" t="s">
        <v>171</v>
      </c>
      <c r="J545" s="304" t="s">
        <v>172</v>
      </c>
    </row>
    <row r="546" spans="1:10">
      <c r="A546" s="347">
        <v>578</v>
      </c>
      <c r="B546" s="304" t="s">
        <v>1192</v>
      </c>
      <c r="C546" s="304" t="s">
        <v>60</v>
      </c>
      <c r="D546" s="304" t="s">
        <v>1193</v>
      </c>
      <c r="E546" s="304"/>
      <c r="F546" s="304" t="s">
        <v>5344</v>
      </c>
      <c r="G546" s="1111">
        <v>11505</v>
      </c>
      <c r="H546" s="1110" t="s">
        <v>3245</v>
      </c>
      <c r="I546" s="304" t="s">
        <v>61</v>
      </c>
      <c r="J546" s="304" t="s">
        <v>62</v>
      </c>
    </row>
    <row r="547" spans="1:10">
      <c r="A547" s="347">
        <v>579</v>
      </c>
      <c r="B547" s="304" t="s">
        <v>1194</v>
      </c>
      <c r="C547" s="304" t="s">
        <v>1195</v>
      </c>
      <c r="D547" s="304" t="s">
        <v>1196</v>
      </c>
      <c r="E547" s="304"/>
      <c r="F547" s="304" t="s">
        <v>1174</v>
      </c>
      <c r="G547" s="1111">
        <v>11602</v>
      </c>
      <c r="H547" s="1110" t="s">
        <v>830</v>
      </c>
      <c r="I547" s="304" t="s">
        <v>1175</v>
      </c>
      <c r="J547" s="304" t="s">
        <v>1176</v>
      </c>
    </row>
    <row r="548" spans="1:10">
      <c r="A548" s="347">
        <v>580</v>
      </c>
      <c r="B548" s="304" t="s">
        <v>3824</v>
      </c>
      <c r="C548" s="304" t="s">
        <v>3825</v>
      </c>
      <c r="D548" s="304" t="s">
        <v>4976</v>
      </c>
      <c r="E548" s="304" t="s">
        <v>1453</v>
      </c>
      <c r="F548" s="304" t="s">
        <v>1453</v>
      </c>
      <c r="G548" s="1111">
        <v>210296</v>
      </c>
      <c r="H548" s="1110" t="s">
        <v>1808</v>
      </c>
      <c r="I548" s="304" t="s">
        <v>2550</v>
      </c>
      <c r="J548" s="304" t="s">
        <v>2551</v>
      </c>
    </row>
    <row r="549" spans="1:10" ht="25.5">
      <c r="A549" s="347">
        <v>581</v>
      </c>
      <c r="B549" s="304" t="s">
        <v>4749</v>
      </c>
      <c r="C549" s="304" t="s">
        <v>2313</v>
      </c>
      <c r="D549" s="304" t="s">
        <v>2742</v>
      </c>
      <c r="E549" s="304"/>
      <c r="F549" s="304" t="s">
        <v>2314</v>
      </c>
      <c r="G549" s="1111">
        <v>11472</v>
      </c>
      <c r="H549" s="1110" t="s">
        <v>1484</v>
      </c>
      <c r="I549" s="304" t="s">
        <v>3988</v>
      </c>
      <c r="J549" s="304" t="s">
        <v>3989</v>
      </c>
    </row>
    <row r="550" spans="1:10">
      <c r="A550" s="347">
        <v>582</v>
      </c>
      <c r="B550" s="304" t="s">
        <v>3990</v>
      </c>
      <c r="C550" s="304" t="s">
        <v>5867</v>
      </c>
      <c r="D550" s="304"/>
      <c r="E550" s="304" t="s">
        <v>3940</v>
      </c>
      <c r="F550" s="304" t="s">
        <v>1979</v>
      </c>
      <c r="G550" s="1111">
        <v>11468</v>
      </c>
      <c r="H550" s="1110" t="s">
        <v>5610</v>
      </c>
      <c r="I550" s="304" t="s">
        <v>1980</v>
      </c>
      <c r="J550" s="304" t="s">
        <v>2730</v>
      </c>
    </row>
    <row r="551" spans="1:10">
      <c r="A551" s="347">
        <v>583</v>
      </c>
      <c r="B551" s="304" t="s">
        <v>6029</v>
      </c>
      <c r="C551" s="304" t="s">
        <v>6030</v>
      </c>
      <c r="D551" s="304" t="s">
        <v>5135</v>
      </c>
      <c r="E551" s="304"/>
      <c r="F551" s="304" t="s">
        <v>4588</v>
      </c>
      <c r="G551" s="1111">
        <v>11468</v>
      </c>
      <c r="H551" s="1110" t="s">
        <v>5610</v>
      </c>
      <c r="I551" s="304" t="s">
        <v>5761</v>
      </c>
      <c r="J551" s="304" t="s">
        <v>5762</v>
      </c>
    </row>
    <row r="552" spans="1:10">
      <c r="A552" s="347">
        <v>584</v>
      </c>
      <c r="B552" s="304" t="s">
        <v>5763</v>
      </c>
      <c r="D552" s="304" t="s">
        <v>5764</v>
      </c>
      <c r="E552" s="304"/>
      <c r="F552" s="304" t="s">
        <v>5765</v>
      </c>
      <c r="G552" s="1111">
        <v>11690</v>
      </c>
      <c r="H552" s="1110" t="s">
        <v>4790</v>
      </c>
      <c r="I552" s="304" t="s">
        <v>586</v>
      </c>
      <c r="J552" s="304" t="s">
        <v>2285</v>
      </c>
    </row>
    <row r="553" spans="1:10">
      <c r="A553" s="347">
        <v>586</v>
      </c>
      <c r="B553" s="304" t="s">
        <v>2286</v>
      </c>
      <c r="C553" s="304" t="s">
        <v>769</v>
      </c>
      <c r="D553" s="304" t="s">
        <v>5404</v>
      </c>
      <c r="E553" s="304"/>
      <c r="F553" s="304" t="s">
        <v>5405</v>
      </c>
      <c r="G553" s="1111">
        <v>11505</v>
      </c>
      <c r="I553" s="304" t="s">
        <v>770</v>
      </c>
      <c r="J553" s="304" t="s">
        <v>6003</v>
      </c>
    </row>
    <row r="554" spans="1:10">
      <c r="A554" s="347">
        <v>587</v>
      </c>
      <c r="B554" s="304" t="s">
        <v>6004</v>
      </c>
      <c r="C554" s="304" t="s">
        <v>4696</v>
      </c>
      <c r="D554" s="304" t="s">
        <v>3389</v>
      </c>
      <c r="E554" s="304"/>
      <c r="F554" s="304" t="s">
        <v>3390</v>
      </c>
      <c r="G554" s="1111">
        <v>14973</v>
      </c>
      <c r="H554" s="1110" t="s">
        <v>1484</v>
      </c>
      <c r="I554" s="304" t="s">
        <v>3391</v>
      </c>
      <c r="J554" s="304" t="s">
        <v>3392</v>
      </c>
    </row>
    <row r="555" spans="1:10">
      <c r="A555" s="347">
        <v>588</v>
      </c>
      <c r="B555" s="304" t="s">
        <v>1016</v>
      </c>
      <c r="C555" s="304" t="s">
        <v>1017</v>
      </c>
      <c r="D555" s="304" t="s">
        <v>1018</v>
      </c>
      <c r="E555" s="304"/>
      <c r="F555" s="304" t="s">
        <v>1019</v>
      </c>
      <c r="G555" s="1111">
        <v>11602</v>
      </c>
      <c r="H555" s="1110" t="s">
        <v>6288</v>
      </c>
      <c r="I555" s="304" t="s">
        <v>3046</v>
      </c>
      <c r="J555" s="304" t="s">
        <v>3618</v>
      </c>
    </row>
    <row r="556" spans="1:10">
      <c r="A556" s="347">
        <v>589</v>
      </c>
      <c r="B556" s="304" t="s">
        <v>5551</v>
      </c>
      <c r="C556" s="304" t="s">
        <v>2204</v>
      </c>
      <c r="D556" s="304" t="s">
        <v>1854</v>
      </c>
      <c r="E556" s="304"/>
      <c r="F556" s="304" t="s">
        <v>1855</v>
      </c>
      <c r="G556" s="1111">
        <v>11602</v>
      </c>
      <c r="H556" s="1110" t="s">
        <v>830</v>
      </c>
      <c r="I556" s="304" t="s">
        <v>766</v>
      </c>
      <c r="J556" s="304" t="s">
        <v>767</v>
      </c>
    </row>
    <row r="557" spans="1:10">
      <c r="A557" s="347">
        <v>590</v>
      </c>
      <c r="B557" s="304" t="s">
        <v>507</v>
      </c>
      <c r="C557" s="304" t="s">
        <v>508</v>
      </c>
      <c r="D557" s="304" t="s">
        <v>509</v>
      </c>
      <c r="E557" s="304"/>
      <c r="F557" s="304" t="s">
        <v>3882</v>
      </c>
      <c r="G557" s="1111">
        <v>13096</v>
      </c>
      <c r="I557" s="304" t="s">
        <v>3883</v>
      </c>
      <c r="J557" s="304" t="s">
        <v>3983</v>
      </c>
    </row>
    <row r="558" spans="1:10">
      <c r="A558" s="347">
        <v>591</v>
      </c>
      <c r="B558" s="304" t="s">
        <v>3984</v>
      </c>
      <c r="C558" s="304" t="s">
        <v>3985</v>
      </c>
      <c r="D558" s="304" t="s">
        <v>3986</v>
      </c>
      <c r="E558" s="304"/>
      <c r="F558" s="304" t="s">
        <v>1353</v>
      </c>
      <c r="G558" s="1111">
        <v>11602</v>
      </c>
      <c r="H558" s="1110" t="s">
        <v>6288</v>
      </c>
      <c r="I558" s="304" t="s">
        <v>930</v>
      </c>
      <c r="J558" s="304" t="s">
        <v>668</v>
      </c>
    </row>
    <row r="559" spans="1:10">
      <c r="A559" s="347">
        <v>592</v>
      </c>
      <c r="B559" s="304" t="s">
        <v>2874</v>
      </c>
      <c r="C559" s="304" t="s">
        <v>4352</v>
      </c>
      <c r="D559" s="304" t="s">
        <v>4353</v>
      </c>
      <c r="E559" s="304"/>
      <c r="F559" s="304" t="s">
        <v>2836</v>
      </c>
      <c r="G559" s="1111">
        <v>11602</v>
      </c>
      <c r="H559" s="1110" t="s">
        <v>6288</v>
      </c>
      <c r="I559" s="304" t="s">
        <v>3401</v>
      </c>
      <c r="J559" s="304" t="s">
        <v>3848</v>
      </c>
    </row>
    <row r="560" spans="1:10">
      <c r="A560" s="347">
        <v>593</v>
      </c>
      <c r="B560" s="304" t="s">
        <v>600</v>
      </c>
      <c r="C560" s="304" t="s">
        <v>5919</v>
      </c>
      <c r="D560" s="304" t="s">
        <v>5920</v>
      </c>
      <c r="E560" s="304" t="s">
        <v>5921</v>
      </c>
      <c r="F560" s="304" t="s">
        <v>5922</v>
      </c>
      <c r="G560" s="1111">
        <v>11690</v>
      </c>
      <c r="H560" s="1110" t="s">
        <v>3690</v>
      </c>
      <c r="I560" s="304" t="s">
        <v>2564</v>
      </c>
      <c r="J560" s="304" t="s">
        <v>6045</v>
      </c>
    </row>
    <row r="561" spans="1:10" ht="25.5">
      <c r="A561" s="347">
        <v>594</v>
      </c>
      <c r="B561" s="304" t="s">
        <v>2292</v>
      </c>
      <c r="C561" s="304" t="s">
        <v>2293</v>
      </c>
      <c r="D561" s="304" t="s">
        <v>2294</v>
      </c>
      <c r="E561" s="304"/>
      <c r="F561" s="304" t="s">
        <v>2295</v>
      </c>
      <c r="G561" s="1111">
        <v>11486</v>
      </c>
      <c r="H561" s="1110" t="s">
        <v>6323</v>
      </c>
      <c r="I561" s="304" t="s">
        <v>2296</v>
      </c>
      <c r="J561" s="304" t="s">
        <v>4108</v>
      </c>
    </row>
    <row r="562" spans="1:10" ht="25.5">
      <c r="A562" s="347">
        <v>595</v>
      </c>
      <c r="B562" s="304" t="s">
        <v>4109</v>
      </c>
      <c r="C562" s="304" t="s">
        <v>4693</v>
      </c>
      <c r="D562" s="304" t="s">
        <v>4694</v>
      </c>
      <c r="E562" s="304"/>
      <c r="F562" s="304" t="s">
        <v>265</v>
      </c>
      <c r="G562" s="1111">
        <v>14059</v>
      </c>
      <c r="H562" s="1110" t="s">
        <v>6371</v>
      </c>
      <c r="I562" s="304" t="s">
        <v>266</v>
      </c>
      <c r="J562" s="304" t="s">
        <v>850</v>
      </c>
    </row>
    <row r="563" spans="1:10">
      <c r="A563" s="347">
        <v>596</v>
      </c>
      <c r="B563" s="304" t="s">
        <v>6004</v>
      </c>
      <c r="C563" s="304" t="s">
        <v>733</v>
      </c>
      <c r="D563" s="304" t="s">
        <v>3240</v>
      </c>
      <c r="E563" s="304" t="s">
        <v>3241</v>
      </c>
      <c r="F563" s="304" t="s">
        <v>4299</v>
      </c>
      <c r="G563" s="1111">
        <v>210365</v>
      </c>
      <c r="H563" s="1110" t="s">
        <v>4300</v>
      </c>
      <c r="I563" s="304" t="s">
        <v>107</v>
      </c>
      <c r="J563" s="304" t="s">
        <v>108</v>
      </c>
    </row>
    <row r="564" spans="1:10">
      <c r="A564" s="347">
        <v>597</v>
      </c>
      <c r="B564" s="304" t="s">
        <v>2929</v>
      </c>
      <c r="C564" s="304" t="s">
        <v>2930</v>
      </c>
      <c r="D564" s="304" t="s">
        <v>3258</v>
      </c>
      <c r="E564" s="304"/>
      <c r="F564" s="304" t="s">
        <v>5053</v>
      </c>
      <c r="I564" s="304" t="s">
        <v>5054</v>
      </c>
      <c r="J564" s="304" t="s">
        <v>1640</v>
      </c>
    </row>
    <row r="565" spans="1:10">
      <c r="A565" s="347">
        <v>600</v>
      </c>
      <c r="B565" s="304" t="s">
        <v>38</v>
      </c>
      <c r="C565" s="304" t="s">
        <v>4703</v>
      </c>
      <c r="D565" s="304" t="s">
        <v>370</v>
      </c>
      <c r="E565" s="304"/>
      <c r="F565" s="304" t="s">
        <v>371</v>
      </c>
      <c r="G565" s="1111">
        <v>210365</v>
      </c>
      <c r="H565" s="1110" t="s">
        <v>5760</v>
      </c>
      <c r="I565" s="304" t="s">
        <v>2592</v>
      </c>
      <c r="J565" s="304" t="s">
        <v>378</v>
      </c>
    </row>
    <row r="566" spans="1:10">
      <c r="A566" s="347">
        <v>601</v>
      </c>
      <c r="B566" s="304" t="s">
        <v>38</v>
      </c>
      <c r="C566" s="304" t="s">
        <v>700</v>
      </c>
      <c r="D566" s="304" t="s">
        <v>787</v>
      </c>
      <c r="E566" s="304"/>
      <c r="F566" s="304" t="s">
        <v>788</v>
      </c>
      <c r="G566" s="1111">
        <v>11524</v>
      </c>
      <c r="H566" s="1110" t="s">
        <v>3130</v>
      </c>
      <c r="I566" s="304" t="s">
        <v>1872</v>
      </c>
      <c r="J566" s="304" t="s">
        <v>4663</v>
      </c>
    </row>
    <row r="567" spans="1:10" ht="25.5">
      <c r="A567" s="347">
        <v>602</v>
      </c>
      <c r="B567" s="304" t="s">
        <v>1470</v>
      </c>
      <c r="C567" s="304" t="s">
        <v>752</v>
      </c>
      <c r="D567" s="304" t="s">
        <v>753</v>
      </c>
      <c r="E567" s="304" t="s">
        <v>2842</v>
      </c>
      <c r="F567" s="304" t="s">
        <v>4147</v>
      </c>
      <c r="G567" s="1111">
        <v>14059</v>
      </c>
      <c r="H567" s="1110" t="s">
        <v>6371</v>
      </c>
      <c r="I567" s="304" t="s">
        <v>4148</v>
      </c>
      <c r="J567" s="304" t="s">
        <v>2895</v>
      </c>
    </row>
    <row r="568" spans="1:10" ht="25.5">
      <c r="A568" s="347">
        <v>604</v>
      </c>
      <c r="B568" s="304" t="s">
        <v>2333</v>
      </c>
      <c r="C568" s="304" t="s">
        <v>489</v>
      </c>
      <c r="D568" s="304" t="s">
        <v>490</v>
      </c>
      <c r="E568" s="304" t="s">
        <v>491</v>
      </c>
      <c r="F568" s="304" t="s">
        <v>2818</v>
      </c>
      <c r="G568" s="1111">
        <v>11468</v>
      </c>
      <c r="H568" s="1110" t="s">
        <v>3885</v>
      </c>
      <c r="I568" s="304" t="s">
        <v>2141</v>
      </c>
      <c r="J568" s="304" t="s">
        <v>732</v>
      </c>
    </row>
    <row r="569" spans="1:10" ht="25.5">
      <c r="A569" s="347">
        <v>606</v>
      </c>
      <c r="B569" s="304" t="s">
        <v>1537</v>
      </c>
      <c r="C569" s="304" t="s">
        <v>4292</v>
      </c>
      <c r="D569" s="304" t="s">
        <v>1354</v>
      </c>
      <c r="E569" s="304"/>
      <c r="F569" s="304" t="s">
        <v>789</v>
      </c>
      <c r="G569" s="1111">
        <v>14059</v>
      </c>
      <c r="H569" s="1110" t="s">
        <v>4425</v>
      </c>
      <c r="I569" s="304" t="s">
        <v>790</v>
      </c>
      <c r="J569" s="304" t="s">
        <v>47</v>
      </c>
    </row>
    <row r="570" spans="1:10">
      <c r="A570" s="347">
        <v>608</v>
      </c>
      <c r="B570" s="304" t="s">
        <v>5524</v>
      </c>
      <c r="C570" s="304" t="s">
        <v>5525</v>
      </c>
      <c r="D570" s="304" t="s">
        <v>2344</v>
      </c>
      <c r="E570" s="304"/>
      <c r="F570" s="304" t="s">
        <v>3580</v>
      </c>
      <c r="G570" s="1111">
        <v>11486</v>
      </c>
      <c r="H570" s="1110" t="s">
        <v>2819</v>
      </c>
      <c r="I570" s="304" t="s">
        <v>402</v>
      </c>
      <c r="J570" s="304" t="s">
        <v>902</v>
      </c>
    </row>
    <row r="571" spans="1:10" ht="25.5">
      <c r="A571" s="347">
        <v>611</v>
      </c>
      <c r="B571" s="304" t="s">
        <v>6320</v>
      </c>
      <c r="C571" s="304" t="s">
        <v>6321</v>
      </c>
      <c r="D571" s="304"/>
      <c r="E571" s="304" t="s">
        <v>4036</v>
      </c>
      <c r="F571" s="304" t="s">
        <v>3736</v>
      </c>
      <c r="G571" s="1111">
        <v>14059</v>
      </c>
      <c r="H571" s="1110" t="s">
        <v>4425</v>
      </c>
      <c r="I571" s="304" t="s">
        <v>3737</v>
      </c>
      <c r="J571" s="304" t="s">
        <v>2437</v>
      </c>
    </row>
    <row r="572" spans="1:10">
      <c r="A572" s="347">
        <v>612</v>
      </c>
      <c r="B572" s="304" t="s">
        <v>903</v>
      </c>
      <c r="C572" s="304" t="s">
        <v>4422</v>
      </c>
      <c r="D572" s="304" t="s">
        <v>4423</v>
      </c>
      <c r="E572" s="304"/>
      <c r="F572" s="304" t="s">
        <v>4424</v>
      </c>
      <c r="G572" s="1111">
        <v>14059</v>
      </c>
      <c r="H572" s="1110" t="s">
        <v>4425</v>
      </c>
      <c r="I572" s="304" t="s">
        <v>731</v>
      </c>
      <c r="J572" s="304" t="s">
        <v>4084</v>
      </c>
    </row>
    <row r="573" spans="1:10" ht="25.5">
      <c r="A573" s="347">
        <v>613</v>
      </c>
      <c r="B573" s="304" t="s">
        <v>2925</v>
      </c>
      <c r="C573" s="304" t="s">
        <v>5041</v>
      </c>
      <c r="D573" s="304" t="s">
        <v>6186</v>
      </c>
      <c r="E573" s="304"/>
      <c r="F573" s="304" t="s">
        <v>6187</v>
      </c>
      <c r="G573" s="1111">
        <v>14059</v>
      </c>
      <c r="H573" s="1110" t="s">
        <v>4425</v>
      </c>
      <c r="I573" s="304" t="s">
        <v>6188</v>
      </c>
      <c r="J573" s="304" t="s">
        <v>6189</v>
      </c>
    </row>
    <row r="574" spans="1:10" ht="25.5">
      <c r="A574" s="347">
        <v>614</v>
      </c>
      <c r="B574" s="304" t="s">
        <v>2593</v>
      </c>
      <c r="C574" s="304" t="s">
        <v>3137</v>
      </c>
      <c r="D574" s="304" t="s">
        <v>3138</v>
      </c>
      <c r="E574" s="304"/>
      <c r="F574" s="304" t="s">
        <v>3139</v>
      </c>
      <c r="G574" s="1111">
        <v>14059</v>
      </c>
      <c r="H574" s="1110" t="s">
        <v>4425</v>
      </c>
      <c r="I574" s="304" t="s">
        <v>3140</v>
      </c>
      <c r="J574" s="304" t="s">
        <v>3141</v>
      </c>
    </row>
    <row r="575" spans="1:10" ht="25.5">
      <c r="A575" s="347">
        <v>615</v>
      </c>
      <c r="B575" s="304" t="s">
        <v>6151</v>
      </c>
      <c r="C575" s="304" t="s">
        <v>5809</v>
      </c>
      <c r="D575" s="304" t="s">
        <v>5810</v>
      </c>
      <c r="E575" s="304"/>
      <c r="F575" s="304" t="s">
        <v>5811</v>
      </c>
      <c r="G575" s="1111">
        <v>14059</v>
      </c>
      <c r="H575" s="1110" t="s">
        <v>4425</v>
      </c>
      <c r="I575" s="304" t="s">
        <v>5812</v>
      </c>
      <c r="J575" s="304" t="s">
        <v>5127</v>
      </c>
    </row>
    <row r="576" spans="1:10">
      <c r="A576" s="347">
        <v>616</v>
      </c>
      <c r="B576" s="304" t="s">
        <v>1543</v>
      </c>
      <c r="C576" s="304" t="s">
        <v>4437</v>
      </c>
      <c r="D576" s="304" t="s">
        <v>592</v>
      </c>
      <c r="E576" s="304"/>
      <c r="F576" s="304" t="s">
        <v>1380</v>
      </c>
      <c r="G576" s="1111">
        <v>210522</v>
      </c>
      <c r="H576" s="1110" t="s">
        <v>1381</v>
      </c>
      <c r="I576" s="304" t="s">
        <v>4438</v>
      </c>
      <c r="J576" s="304" t="s">
        <v>4439</v>
      </c>
    </row>
    <row r="577" spans="1:10" ht="25.5">
      <c r="A577" s="347">
        <v>617</v>
      </c>
      <c r="B577" s="304" t="s">
        <v>44</v>
      </c>
      <c r="C577" s="304" t="s">
        <v>45</v>
      </c>
      <c r="D577" s="304" t="s">
        <v>2358</v>
      </c>
      <c r="E577" s="304"/>
      <c r="F577" s="304" t="s">
        <v>483</v>
      </c>
      <c r="G577" s="1111">
        <v>14059</v>
      </c>
      <c r="H577" s="1110" t="s">
        <v>6371</v>
      </c>
      <c r="I577" s="304" t="s">
        <v>484</v>
      </c>
      <c r="J577" s="304" t="s">
        <v>485</v>
      </c>
    </row>
    <row r="578" spans="1:10">
      <c r="A578" s="347">
        <v>618</v>
      </c>
      <c r="B578" s="304" t="s">
        <v>2512</v>
      </c>
      <c r="C578" s="304" t="s">
        <v>5043</v>
      </c>
      <c r="D578" s="304" t="s">
        <v>3542</v>
      </c>
      <c r="E578" s="304"/>
      <c r="F578" s="304" t="s">
        <v>1355</v>
      </c>
      <c r="G578" s="1111">
        <v>14298</v>
      </c>
      <c r="H578" s="304" t="s">
        <v>4785</v>
      </c>
      <c r="I578" s="304" t="s">
        <v>1350</v>
      </c>
      <c r="J578" s="304" t="s">
        <v>1351</v>
      </c>
    </row>
    <row r="579" spans="1:10" ht="25.5">
      <c r="A579" s="347">
        <v>619</v>
      </c>
      <c r="B579" s="304" t="s">
        <v>2659</v>
      </c>
      <c r="C579" s="304" t="s">
        <v>2660</v>
      </c>
      <c r="D579" s="304" t="s">
        <v>2661</v>
      </c>
      <c r="E579" s="304" t="s">
        <v>215</v>
      </c>
      <c r="F579" s="304" t="s">
        <v>1743</v>
      </c>
      <c r="G579" s="1111">
        <v>14059</v>
      </c>
      <c r="H579" s="1110" t="s">
        <v>4425</v>
      </c>
      <c r="I579" s="304" t="s">
        <v>1744</v>
      </c>
      <c r="J579" s="304" t="s">
        <v>1542</v>
      </c>
    </row>
    <row r="580" spans="1:10">
      <c r="A580" s="347">
        <v>620</v>
      </c>
      <c r="B580" s="304" t="s">
        <v>5140</v>
      </c>
      <c r="C580" s="304" t="s">
        <v>3284</v>
      </c>
      <c r="D580" s="304" t="s">
        <v>5924</v>
      </c>
      <c r="E580" s="304"/>
      <c r="F580" s="304" t="s">
        <v>5645</v>
      </c>
      <c r="I580" s="304" t="s">
        <v>908</v>
      </c>
      <c r="J580" s="304" t="s">
        <v>3356</v>
      </c>
    </row>
    <row r="581" spans="1:10">
      <c r="A581" s="347">
        <v>623</v>
      </c>
      <c r="B581" s="304" t="s">
        <v>4633</v>
      </c>
      <c r="C581" s="304" t="s">
        <v>733</v>
      </c>
      <c r="D581" s="304" t="s">
        <v>3240</v>
      </c>
      <c r="E581" s="304" t="s">
        <v>4634</v>
      </c>
      <c r="F581" s="304" t="s">
        <v>4912</v>
      </c>
      <c r="G581" s="1111">
        <v>210365</v>
      </c>
      <c r="H581" s="1110" t="s">
        <v>6076</v>
      </c>
      <c r="I581" s="304" t="s">
        <v>4301</v>
      </c>
      <c r="J581" s="304" t="s">
        <v>4086</v>
      </c>
    </row>
    <row r="582" spans="1:10">
      <c r="A582" s="347">
        <v>624</v>
      </c>
      <c r="B582" s="304" t="s">
        <v>3161</v>
      </c>
      <c r="C582" s="304" t="s">
        <v>3162</v>
      </c>
      <c r="D582" s="304" t="s">
        <v>3163</v>
      </c>
      <c r="E582" s="304"/>
      <c r="F582" s="304" t="s">
        <v>1467</v>
      </c>
      <c r="G582" s="1111">
        <v>11506</v>
      </c>
      <c r="H582" s="1110" t="s">
        <v>1468</v>
      </c>
      <c r="I582" s="304" t="s">
        <v>1469</v>
      </c>
    </row>
    <row r="583" spans="1:10" ht="25.5">
      <c r="A583" s="347">
        <v>625</v>
      </c>
      <c r="B583" s="304" t="s">
        <v>3526</v>
      </c>
      <c r="C583" s="304" t="s">
        <v>1989</v>
      </c>
      <c r="D583" s="304" t="s">
        <v>3605</v>
      </c>
      <c r="E583" s="304" t="s">
        <v>3606</v>
      </c>
      <c r="F583" s="304" t="s">
        <v>3616</v>
      </c>
      <c r="G583" s="1111">
        <v>11455</v>
      </c>
      <c r="H583" s="1110" t="s">
        <v>1179</v>
      </c>
      <c r="I583" s="304" t="s">
        <v>4640</v>
      </c>
      <c r="J583" s="304" t="s">
        <v>4641</v>
      </c>
    </row>
    <row r="584" spans="1:10">
      <c r="A584" s="347">
        <v>626</v>
      </c>
      <c r="B584" s="304" t="s">
        <v>4642</v>
      </c>
      <c r="C584" s="304" t="s">
        <v>1103</v>
      </c>
      <c r="D584" s="304" t="s">
        <v>1104</v>
      </c>
      <c r="E584" s="304" t="s">
        <v>5133</v>
      </c>
      <c r="F584" s="304" t="s">
        <v>5134</v>
      </c>
      <c r="G584" s="1111">
        <v>11486</v>
      </c>
      <c r="H584" s="1110" t="s">
        <v>5155</v>
      </c>
      <c r="I584" s="304" t="s">
        <v>4082</v>
      </c>
      <c r="J584" s="304" t="s">
        <v>4083</v>
      </c>
    </row>
    <row r="585" spans="1:10" ht="25.5">
      <c r="A585" s="347">
        <v>630</v>
      </c>
      <c r="B585" s="304" t="s">
        <v>2569</v>
      </c>
      <c r="C585" s="304" t="s">
        <v>2570</v>
      </c>
      <c r="D585" s="304" t="s">
        <v>1375</v>
      </c>
      <c r="E585" s="304"/>
      <c r="F585" s="304" t="s">
        <v>4401</v>
      </c>
      <c r="G585" s="1111">
        <v>14059</v>
      </c>
      <c r="H585" s="1110" t="s">
        <v>4425</v>
      </c>
      <c r="I585" s="304" t="s">
        <v>4402</v>
      </c>
      <c r="J585" s="304" t="s">
        <v>4403</v>
      </c>
    </row>
    <row r="586" spans="1:10" ht="38.25">
      <c r="A586" s="347">
        <v>631</v>
      </c>
      <c r="B586" s="304" t="s">
        <v>912</v>
      </c>
      <c r="C586" s="304" t="s">
        <v>5887</v>
      </c>
      <c r="D586" s="304" t="s">
        <v>5414</v>
      </c>
      <c r="E586" s="304" t="s">
        <v>5890</v>
      </c>
      <c r="F586" s="304" t="s">
        <v>5875</v>
      </c>
      <c r="G586" s="1111">
        <v>14059</v>
      </c>
      <c r="H586" s="1110" t="s">
        <v>4425</v>
      </c>
      <c r="I586" s="304" t="s">
        <v>5888</v>
      </c>
      <c r="J586" s="304" t="s">
        <v>5889</v>
      </c>
    </row>
    <row r="587" spans="1:10">
      <c r="A587" s="347">
        <v>632</v>
      </c>
      <c r="B587" s="304" t="s">
        <v>5211</v>
      </c>
      <c r="C587" s="304" t="s">
        <v>5212</v>
      </c>
      <c r="D587" s="304" t="s">
        <v>5213</v>
      </c>
      <c r="E587" s="304"/>
      <c r="F587" s="304" t="s">
        <v>5214</v>
      </c>
      <c r="G587" s="1111">
        <v>209679</v>
      </c>
      <c r="H587" s="1110" t="s">
        <v>3272</v>
      </c>
      <c r="I587" s="304" t="s">
        <v>5215</v>
      </c>
      <c r="J587" s="304" t="s">
        <v>5216</v>
      </c>
    </row>
    <row r="588" spans="1:10">
      <c r="A588" s="347">
        <v>633</v>
      </c>
      <c r="B588" s="304" t="s">
        <v>5338</v>
      </c>
      <c r="C588" s="304" t="s">
        <v>3393</v>
      </c>
      <c r="D588" s="304" t="s">
        <v>4655</v>
      </c>
      <c r="E588" s="304" t="s">
        <v>3340</v>
      </c>
      <c r="F588" s="304" t="s">
        <v>5196</v>
      </c>
      <c r="G588" s="1111">
        <v>14973</v>
      </c>
      <c r="H588" s="304" t="s">
        <v>1484</v>
      </c>
      <c r="I588" s="304" t="s">
        <v>3394</v>
      </c>
      <c r="J588" s="304" t="s">
        <v>3838</v>
      </c>
    </row>
    <row r="589" spans="1:10" ht="25.5">
      <c r="A589" s="347">
        <v>636</v>
      </c>
      <c r="B589" s="304" t="s">
        <v>1442</v>
      </c>
      <c r="C589" s="304" t="s">
        <v>1443</v>
      </c>
      <c r="D589" s="304" t="s">
        <v>1444</v>
      </c>
      <c r="E589" s="304"/>
      <c r="F589" s="304" t="s">
        <v>1445</v>
      </c>
      <c r="G589" s="1111">
        <v>11486</v>
      </c>
      <c r="H589" s="1110" t="s">
        <v>5155</v>
      </c>
      <c r="I589" s="304" t="s">
        <v>4919</v>
      </c>
      <c r="J589" s="304" t="s">
        <v>2058</v>
      </c>
    </row>
    <row r="590" spans="1:10" ht="25.5">
      <c r="A590" s="347">
        <v>637</v>
      </c>
      <c r="B590" s="304" t="s">
        <v>2059</v>
      </c>
      <c r="C590" s="304" t="s">
        <v>2055</v>
      </c>
      <c r="D590" s="304" t="s">
        <v>3247</v>
      </c>
      <c r="E590" s="304"/>
      <c r="F590" s="304" t="s">
        <v>4722</v>
      </c>
      <c r="G590" s="1111">
        <v>11524</v>
      </c>
      <c r="H590" s="1110" t="s">
        <v>4723</v>
      </c>
      <c r="I590" s="304" t="s">
        <v>3681</v>
      </c>
      <c r="J590" s="304" t="s">
        <v>3682</v>
      </c>
    </row>
    <row r="591" spans="1:10" ht="25.5">
      <c r="A591" s="347">
        <v>638</v>
      </c>
      <c r="B591" s="304" t="s">
        <v>2517</v>
      </c>
      <c r="D591" s="304" t="s">
        <v>2518</v>
      </c>
      <c r="E591" s="304" t="s">
        <v>2519</v>
      </c>
      <c r="F591" s="304" t="s">
        <v>1146</v>
      </c>
      <c r="H591" s="304"/>
      <c r="I591" s="304" t="s">
        <v>2134</v>
      </c>
      <c r="J591" s="304" t="s">
        <v>3239</v>
      </c>
    </row>
    <row r="592" spans="1:10">
      <c r="A592" s="347">
        <v>640</v>
      </c>
      <c r="B592" s="304" t="s">
        <v>5692</v>
      </c>
      <c r="C592" s="304" t="s">
        <v>4169</v>
      </c>
      <c r="D592" s="304" t="s">
        <v>4524</v>
      </c>
      <c r="E592" s="304"/>
      <c r="F592" s="304" t="s">
        <v>2254</v>
      </c>
      <c r="G592" s="1111">
        <v>11468</v>
      </c>
      <c r="H592" s="1110" t="s">
        <v>2255</v>
      </c>
      <c r="I592" s="304" t="s">
        <v>983</v>
      </c>
      <c r="J592" s="304" t="s">
        <v>984</v>
      </c>
    </row>
    <row r="593" spans="1:10" ht="25.5">
      <c r="A593" s="347">
        <v>641</v>
      </c>
      <c r="B593" s="304" t="s">
        <v>1451</v>
      </c>
      <c r="C593" s="304" t="s">
        <v>2712</v>
      </c>
      <c r="D593" s="304" t="s">
        <v>2713</v>
      </c>
      <c r="E593" s="304"/>
      <c r="F593" s="304" t="s">
        <v>4784</v>
      </c>
      <c r="G593" s="1111">
        <v>14298</v>
      </c>
      <c r="H593" s="1110" t="s">
        <v>4785</v>
      </c>
      <c r="I593" s="304" t="s">
        <v>4786</v>
      </c>
      <c r="J593" s="304" t="s">
        <v>4293</v>
      </c>
    </row>
    <row r="594" spans="1:10" ht="25.5">
      <c r="A594" s="347">
        <v>642</v>
      </c>
      <c r="B594" s="304" t="s">
        <v>4787</v>
      </c>
      <c r="C594" s="304" t="s">
        <v>4788</v>
      </c>
      <c r="D594" s="304" t="s">
        <v>736</v>
      </c>
      <c r="E594" s="304"/>
      <c r="F594" s="304" t="s">
        <v>737</v>
      </c>
      <c r="G594" s="1111">
        <v>14059</v>
      </c>
      <c r="H594" s="1110" t="s">
        <v>4425</v>
      </c>
      <c r="I594" s="304" t="s">
        <v>3637</v>
      </c>
      <c r="J594" s="304" t="s">
        <v>3638</v>
      </c>
    </row>
    <row r="595" spans="1:10" ht="25.5">
      <c r="A595" s="347">
        <v>643</v>
      </c>
      <c r="B595" s="304" t="s">
        <v>3639</v>
      </c>
      <c r="C595" s="304" t="s">
        <v>1793</v>
      </c>
      <c r="D595" s="304" t="s">
        <v>2764</v>
      </c>
      <c r="E595" s="304"/>
      <c r="F595" s="304" t="s">
        <v>2765</v>
      </c>
      <c r="G595" s="1111">
        <v>14059</v>
      </c>
      <c r="H595" s="1110" t="s">
        <v>4425</v>
      </c>
      <c r="I595" s="304" t="s">
        <v>2766</v>
      </c>
      <c r="J595" s="304" t="s">
        <v>2644</v>
      </c>
    </row>
    <row r="596" spans="1:10" ht="25.5">
      <c r="A596" s="347">
        <v>644</v>
      </c>
      <c r="B596" s="304" t="s">
        <v>2645</v>
      </c>
      <c r="C596" s="304" t="s">
        <v>2646</v>
      </c>
      <c r="D596" s="304" t="s">
        <v>5193</v>
      </c>
      <c r="E596" s="304"/>
      <c r="F596" s="304" t="s">
        <v>5194</v>
      </c>
      <c r="G596" s="1111">
        <v>14059</v>
      </c>
      <c r="H596" s="1110" t="s">
        <v>4425</v>
      </c>
      <c r="I596" s="304" t="s">
        <v>5195</v>
      </c>
      <c r="J596" s="304" t="s">
        <v>5833</v>
      </c>
    </row>
    <row r="597" spans="1:10">
      <c r="A597" s="347">
        <v>645</v>
      </c>
      <c r="B597" s="304" t="s">
        <v>38</v>
      </c>
      <c r="C597" s="304" t="s">
        <v>1507</v>
      </c>
      <c r="D597" s="304" t="s">
        <v>5834</v>
      </c>
      <c r="E597" s="304"/>
      <c r="F597" s="304" t="s">
        <v>5835</v>
      </c>
      <c r="G597" s="1111">
        <v>210365</v>
      </c>
      <c r="H597" s="1110" t="s">
        <v>4265</v>
      </c>
      <c r="I597" s="304" t="s">
        <v>6005</v>
      </c>
      <c r="J597" s="304" t="s">
        <v>3392</v>
      </c>
    </row>
    <row r="598" spans="1:10">
      <c r="A598" s="347">
        <v>647</v>
      </c>
      <c r="B598" s="304" t="s">
        <v>3131</v>
      </c>
      <c r="C598" s="304" t="s">
        <v>2393</v>
      </c>
      <c r="D598" s="304" t="s">
        <v>482</v>
      </c>
      <c r="E598" s="304"/>
      <c r="F598" s="304" t="s">
        <v>152</v>
      </c>
      <c r="G598" s="1111">
        <v>13831</v>
      </c>
      <c r="H598" s="304" t="s">
        <v>5653</v>
      </c>
      <c r="I598" s="304" t="s">
        <v>2394</v>
      </c>
      <c r="J598" s="304" t="s">
        <v>3409</v>
      </c>
    </row>
    <row r="599" spans="1:10" ht="25.5">
      <c r="A599" s="347">
        <v>648</v>
      </c>
      <c r="B599" s="304" t="s">
        <v>3111</v>
      </c>
      <c r="C599" s="304" t="s">
        <v>5361</v>
      </c>
      <c r="D599" s="304" t="s">
        <v>3112</v>
      </c>
      <c r="E599" s="304" t="s">
        <v>742</v>
      </c>
      <c r="F599" s="304" t="s">
        <v>3107</v>
      </c>
      <c r="G599" s="1111">
        <v>14059</v>
      </c>
      <c r="H599" s="1110" t="s">
        <v>6371</v>
      </c>
      <c r="I599" s="304" t="s">
        <v>740</v>
      </c>
      <c r="J599" s="304" t="s">
        <v>741</v>
      </c>
    </row>
    <row r="600" spans="1:10">
      <c r="A600" s="347">
        <v>649</v>
      </c>
      <c r="B600" s="304" t="s">
        <v>1849</v>
      </c>
      <c r="C600" s="304" t="s">
        <v>1850</v>
      </c>
      <c r="D600" s="304" t="s">
        <v>1851</v>
      </c>
      <c r="E600" s="304"/>
      <c r="F600" s="304" t="s">
        <v>451</v>
      </c>
      <c r="G600" s="1111">
        <v>13096</v>
      </c>
      <c r="H600" s="1110" t="s">
        <v>452</v>
      </c>
      <c r="I600" s="304" t="s">
        <v>453</v>
      </c>
      <c r="J600" s="304" t="s">
        <v>1535</v>
      </c>
    </row>
    <row r="601" spans="1:10">
      <c r="A601" s="347">
        <v>650</v>
      </c>
      <c r="B601" s="304" t="s">
        <v>6034</v>
      </c>
      <c r="C601" s="304" t="s">
        <v>6035</v>
      </c>
      <c r="D601" s="304" t="s">
        <v>5969</v>
      </c>
      <c r="E601" s="304"/>
      <c r="F601" s="304" t="s">
        <v>4660</v>
      </c>
      <c r="G601" s="1111">
        <v>11505</v>
      </c>
      <c r="H601" s="304" t="s">
        <v>3245</v>
      </c>
      <c r="I601" s="304" t="s">
        <v>4661</v>
      </c>
      <c r="J601" s="304" t="s">
        <v>4662</v>
      </c>
    </row>
    <row r="602" spans="1:10" ht="25.5">
      <c r="A602" s="347">
        <v>654</v>
      </c>
      <c r="B602" s="304" t="s">
        <v>5873</v>
      </c>
      <c r="C602" s="304" t="s">
        <v>5874</v>
      </c>
      <c r="D602" s="304" t="s">
        <v>5970</v>
      </c>
      <c r="E602" s="304" t="s">
        <v>455</v>
      </c>
      <c r="F602" s="304" t="s">
        <v>456</v>
      </c>
      <c r="G602" s="1111">
        <v>14059</v>
      </c>
      <c r="H602" s="1110" t="s">
        <v>4425</v>
      </c>
      <c r="I602" s="304" t="s">
        <v>785</v>
      </c>
      <c r="J602" s="304" t="s">
        <v>786</v>
      </c>
    </row>
    <row r="603" spans="1:10">
      <c r="A603" s="347">
        <v>657</v>
      </c>
      <c r="B603" s="304" t="s">
        <v>2841</v>
      </c>
      <c r="C603" s="304" t="s">
        <v>487</v>
      </c>
      <c r="D603" s="304" t="s">
        <v>488</v>
      </c>
      <c r="E603" s="304" t="s">
        <v>4841</v>
      </c>
      <c r="F603" s="304" t="s">
        <v>1572</v>
      </c>
      <c r="G603" s="1111">
        <v>11455</v>
      </c>
      <c r="H603" s="1110" t="s">
        <v>1634</v>
      </c>
      <c r="I603" s="304" t="s">
        <v>1508</v>
      </c>
      <c r="J603" s="304" t="s">
        <v>1509</v>
      </c>
    </row>
    <row r="604" spans="1:10" ht="25.5">
      <c r="A604" s="347">
        <v>659</v>
      </c>
      <c r="B604" s="304" t="s">
        <v>4664</v>
      </c>
      <c r="C604" s="304" t="s">
        <v>5473</v>
      </c>
      <c r="D604" s="304" t="s">
        <v>615</v>
      </c>
      <c r="E604" s="304"/>
      <c r="F604" s="304" t="s">
        <v>924</v>
      </c>
      <c r="G604" s="1111">
        <v>14059</v>
      </c>
      <c r="H604" s="1110" t="s">
        <v>4425</v>
      </c>
      <c r="I604" s="304" t="s">
        <v>925</v>
      </c>
      <c r="J604" s="304" t="s">
        <v>6328</v>
      </c>
    </row>
    <row r="605" spans="1:10" ht="25.5">
      <c r="A605" s="347">
        <v>660</v>
      </c>
      <c r="B605" s="304" t="s">
        <v>882</v>
      </c>
      <c r="C605" s="304" t="s">
        <v>5981</v>
      </c>
      <c r="D605" s="304" t="s">
        <v>5982</v>
      </c>
      <c r="E605" s="304"/>
      <c r="F605" s="304" t="s">
        <v>5983</v>
      </c>
      <c r="G605" s="1111">
        <v>14059</v>
      </c>
      <c r="H605" s="304" t="s">
        <v>6371</v>
      </c>
      <c r="I605" s="304" t="s">
        <v>5984</v>
      </c>
      <c r="J605" s="304" t="s">
        <v>3617</v>
      </c>
    </row>
    <row r="606" spans="1:10">
      <c r="A606" s="347">
        <v>662</v>
      </c>
      <c r="B606" s="304" t="s">
        <v>4626</v>
      </c>
      <c r="C606" s="304" t="s">
        <v>5674</v>
      </c>
      <c r="D606" s="304" t="s">
        <v>6329</v>
      </c>
      <c r="E606" s="304"/>
      <c r="F606" s="304" t="s">
        <v>5121</v>
      </c>
      <c r="G606" s="1111">
        <v>210296</v>
      </c>
      <c r="H606" s="1110" t="s">
        <v>435</v>
      </c>
      <c r="J606" s="304" t="s">
        <v>4808</v>
      </c>
    </row>
    <row r="607" spans="1:10" ht="25.5">
      <c r="A607" s="347">
        <v>663</v>
      </c>
      <c r="B607" s="304" t="s">
        <v>3915</v>
      </c>
      <c r="C607" s="304" t="s">
        <v>5588</v>
      </c>
      <c r="D607" s="304" t="s">
        <v>2005</v>
      </c>
      <c r="E607" s="304" t="s">
        <v>2006</v>
      </c>
      <c r="F607" s="304" t="s">
        <v>3663</v>
      </c>
      <c r="G607" s="1111">
        <v>14059</v>
      </c>
      <c r="H607" s="304" t="s">
        <v>4425</v>
      </c>
      <c r="I607" s="304" t="s">
        <v>5589</v>
      </c>
      <c r="J607" s="304" t="s">
        <v>5590</v>
      </c>
    </row>
    <row r="608" spans="1:10">
      <c r="A608" s="347">
        <v>664</v>
      </c>
      <c r="B608" s="304" t="s">
        <v>38</v>
      </c>
      <c r="C608" s="304" t="s">
        <v>5176</v>
      </c>
      <c r="D608" s="304" t="s">
        <v>6271</v>
      </c>
      <c r="E608" s="304" t="s">
        <v>6272</v>
      </c>
      <c r="F608" s="304" t="s">
        <v>2791</v>
      </c>
      <c r="G608" s="1111">
        <v>14973</v>
      </c>
      <c r="H608" s="304" t="s">
        <v>1484</v>
      </c>
      <c r="I608" s="304" t="s">
        <v>2792</v>
      </c>
      <c r="J608" s="304" t="s">
        <v>2793</v>
      </c>
    </row>
    <row r="609" spans="1:10" ht="25.5">
      <c r="A609" s="347">
        <v>665</v>
      </c>
      <c r="B609" s="304" t="s">
        <v>1326</v>
      </c>
      <c r="C609" s="304" t="s">
        <v>498</v>
      </c>
      <c r="D609" s="304" t="s">
        <v>499</v>
      </c>
      <c r="E609" s="304" t="s">
        <v>2835</v>
      </c>
      <c r="F609" s="304" t="s">
        <v>2175</v>
      </c>
      <c r="G609" s="1111">
        <v>14059</v>
      </c>
      <c r="H609" s="304" t="s">
        <v>6371</v>
      </c>
      <c r="I609" s="304" t="s">
        <v>2176</v>
      </c>
      <c r="J609" s="304" t="s">
        <v>2177</v>
      </c>
    </row>
    <row r="610" spans="1:10">
      <c r="A610" s="347">
        <v>666</v>
      </c>
      <c r="B610" s="304" t="s">
        <v>1794</v>
      </c>
      <c r="C610" s="304" t="s">
        <v>2794</v>
      </c>
      <c r="D610" s="304" t="s">
        <v>859</v>
      </c>
      <c r="E610" s="304" t="s">
        <v>860</v>
      </c>
      <c r="F610" s="304" t="s">
        <v>4675</v>
      </c>
      <c r="G610" s="1111">
        <v>209797</v>
      </c>
      <c r="H610" s="304" t="s">
        <v>4676</v>
      </c>
      <c r="I610" s="304" t="s">
        <v>3769</v>
      </c>
      <c r="J610" s="304" t="s">
        <v>1299</v>
      </c>
    </row>
    <row r="611" spans="1:10" ht="25.5">
      <c r="A611" s="347">
        <v>667</v>
      </c>
      <c r="B611" s="304" t="s">
        <v>3312</v>
      </c>
      <c r="C611" s="304" t="s">
        <v>3313</v>
      </c>
      <c r="D611" s="304" t="s">
        <v>3314</v>
      </c>
      <c r="E611" s="304" t="s">
        <v>3315</v>
      </c>
      <c r="F611" s="304" t="s">
        <v>3316</v>
      </c>
      <c r="G611" s="1111">
        <v>14059</v>
      </c>
      <c r="H611" s="304" t="s">
        <v>4425</v>
      </c>
      <c r="I611" s="304" t="s">
        <v>3317</v>
      </c>
      <c r="J611" s="304" t="s">
        <v>3318</v>
      </c>
    </row>
    <row r="612" spans="1:10" ht="25.5">
      <c r="A612" s="347">
        <v>668</v>
      </c>
      <c r="B612" s="304" t="s">
        <v>2542</v>
      </c>
      <c r="C612" s="304" t="s">
        <v>4076</v>
      </c>
      <c r="D612" s="304" t="s">
        <v>5891</v>
      </c>
      <c r="E612" s="304"/>
      <c r="F612" s="304" t="s">
        <v>4823</v>
      </c>
      <c r="G612" s="1111">
        <v>14298</v>
      </c>
      <c r="H612" s="304" t="s">
        <v>4824</v>
      </c>
      <c r="I612" s="304" t="s">
        <v>4825</v>
      </c>
      <c r="J612" s="304" t="s">
        <v>4826</v>
      </c>
    </row>
    <row r="613" spans="1:10">
      <c r="A613" s="347">
        <v>669</v>
      </c>
      <c r="B613" s="304" t="s">
        <v>1971</v>
      </c>
      <c r="C613" s="304" t="s">
        <v>4827</v>
      </c>
      <c r="D613" s="304" t="s">
        <v>4828</v>
      </c>
      <c r="E613" s="304"/>
      <c r="F613" s="304" t="s">
        <v>4829</v>
      </c>
      <c r="G613" s="1111">
        <v>13096</v>
      </c>
      <c r="H613" s="304" t="s">
        <v>452</v>
      </c>
      <c r="I613" s="304" t="s">
        <v>3299</v>
      </c>
      <c r="J613" s="304" t="s">
        <v>1916</v>
      </c>
    </row>
    <row r="614" spans="1:10">
      <c r="A614" s="347">
        <v>670</v>
      </c>
      <c r="B614" s="304" t="s">
        <v>4279</v>
      </c>
      <c r="C614" s="304" t="s">
        <v>4280</v>
      </c>
      <c r="D614" s="304" t="s">
        <v>851</v>
      </c>
      <c r="E614" s="304"/>
      <c r="F614" s="304" t="s">
        <v>852</v>
      </c>
      <c r="G614" s="1111">
        <v>210296</v>
      </c>
      <c r="H614" s="304" t="s">
        <v>853</v>
      </c>
      <c r="I614" s="304" t="s">
        <v>854</v>
      </c>
      <c r="J614" s="304" t="s">
        <v>2641</v>
      </c>
    </row>
    <row r="615" spans="1:10" ht="25.5">
      <c r="A615" s="347">
        <v>671</v>
      </c>
      <c r="B615" s="304" t="s">
        <v>3001</v>
      </c>
      <c r="C615" s="304" t="s">
        <v>3002</v>
      </c>
      <c r="D615" s="304" t="s">
        <v>1385</v>
      </c>
      <c r="E615" s="304" t="s">
        <v>3478</v>
      </c>
      <c r="F615" s="304" t="s">
        <v>4934</v>
      </c>
      <c r="G615" s="1111">
        <v>14059</v>
      </c>
      <c r="H615" s="304" t="s">
        <v>4425</v>
      </c>
      <c r="I615" s="304" t="s">
        <v>4935</v>
      </c>
    </row>
    <row r="616" spans="1:10">
      <c r="A616" s="347">
        <v>672</v>
      </c>
      <c r="B616" s="304" t="s">
        <v>1526</v>
      </c>
      <c r="C616" s="304" t="s">
        <v>2399</v>
      </c>
      <c r="D616" s="304" t="s">
        <v>4936</v>
      </c>
      <c r="E616" s="304"/>
      <c r="F616" s="304" t="s">
        <v>25</v>
      </c>
      <c r="G616" s="1111">
        <v>11690</v>
      </c>
      <c r="H616" s="304" t="s">
        <v>3384</v>
      </c>
      <c r="I616" s="304" t="s">
        <v>2397</v>
      </c>
      <c r="J616" s="304" t="s">
        <v>2398</v>
      </c>
    </row>
    <row r="617" spans="1:10" ht="25.5">
      <c r="A617" s="347">
        <v>676</v>
      </c>
      <c r="B617" s="304" t="s">
        <v>105</v>
      </c>
      <c r="C617" s="304" t="s">
        <v>4045</v>
      </c>
      <c r="D617" s="304" t="s">
        <v>1738</v>
      </c>
      <c r="E617" s="304" t="s">
        <v>4511</v>
      </c>
      <c r="F617" s="304" t="s">
        <v>5794</v>
      </c>
      <c r="G617" s="1111">
        <v>14059</v>
      </c>
      <c r="H617" s="304" t="s">
        <v>4425</v>
      </c>
      <c r="I617" s="304" t="s">
        <v>3436</v>
      </c>
      <c r="J617" s="304" t="s">
        <v>319</v>
      </c>
    </row>
    <row r="618" spans="1:10">
      <c r="A618" s="347">
        <v>677</v>
      </c>
      <c r="B618" s="304" t="s">
        <v>1789</v>
      </c>
      <c r="C618" s="304" t="s">
        <v>1790</v>
      </c>
      <c r="D618" s="304" t="s">
        <v>1791</v>
      </c>
      <c r="E618" s="304"/>
      <c r="F618" s="304" t="s">
        <v>1792</v>
      </c>
      <c r="G618" s="1111">
        <v>14973</v>
      </c>
      <c r="H618" s="304" t="s">
        <v>1484</v>
      </c>
      <c r="I618" s="304" t="s">
        <v>4818</v>
      </c>
      <c r="J618" s="304" t="s">
        <v>3242</v>
      </c>
    </row>
    <row r="619" spans="1:10">
      <c r="A619" s="347">
        <v>678</v>
      </c>
      <c r="B619" s="304" t="s">
        <v>5558</v>
      </c>
      <c r="C619" s="304" t="s">
        <v>5559</v>
      </c>
      <c r="D619" s="304" t="s">
        <v>5560</v>
      </c>
      <c r="E619" s="304"/>
      <c r="F619" s="304" t="s">
        <v>5561</v>
      </c>
      <c r="G619" s="1111">
        <v>210366</v>
      </c>
      <c r="H619" s="304" t="s">
        <v>4922</v>
      </c>
      <c r="I619" s="304" t="s">
        <v>4923</v>
      </c>
      <c r="J619" s="304" t="s">
        <v>3268</v>
      </c>
    </row>
    <row r="620" spans="1:10" ht="25.5">
      <c r="A620" s="347">
        <v>679</v>
      </c>
      <c r="B620" s="304" t="s">
        <v>3134</v>
      </c>
      <c r="C620" s="304" t="s">
        <v>3135</v>
      </c>
      <c r="D620" s="304" t="s">
        <v>3323</v>
      </c>
      <c r="E620" s="304" t="s">
        <v>3324</v>
      </c>
      <c r="F620" s="304" t="s">
        <v>1323</v>
      </c>
      <c r="G620" s="1111">
        <v>14059</v>
      </c>
      <c r="H620" s="304" t="s">
        <v>6371</v>
      </c>
      <c r="I620" s="304" t="s">
        <v>1324</v>
      </c>
      <c r="J620" s="304" t="s">
        <v>540</v>
      </c>
    </row>
    <row r="621" spans="1:10" ht="25.5">
      <c r="A621" s="347">
        <v>680</v>
      </c>
      <c r="B621" s="304" t="s">
        <v>672</v>
      </c>
      <c r="C621" s="304" t="s">
        <v>673</v>
      </c>
      <c r="D621" s="304" t="s">
        <v>674</v>
      </c>
      <c r="E621" s="304"/>
      <c r="F621" s="304" t="s">
        <v>675</v>
      </c>
      <c r="G621" s="1111">
        <v>14059</v>
      </c>
      <c r="H621" s="304" t="s">
        <v>6371</v>
      </c>
      <c r="I621" s="304" t="s">
        <v>5927</v>
      </c>
      <c r="J621" s="304" t="s">
        <v>5928</v>
      </c>
    </row>
    <row r="622" spans="1:10">
      <c r="A622" s="347">
        <v>681</v>
      </c>
      <c r="B622" s="304" t="s">
        <v>4905</v>
      </c>
      <c r="C622" s="304" t="s">
        <v>4906</v>
      </c>
      <c r="D622" s="304" t="s">
        <v>4907</v>
      </c>
      <c r="E622" s="304"/>
      <c r="F622" s="304" t="s">
        <v>4908</v>
      </c>
      <c r="G622" s="1111">
        <v>209797</v>
      </c>
      <c r="H622" s="304" t="s">
        <v>824</v>
      </c>
      <c r="I622" s="304" t="s">
        <v>825</v>
      </c>
      <c r="J622" s="304" t="s">
        <v>3931</v>
      </c>
    </row>
    <row r="623" spans="1:10" ht="25.5">
      <c r="A623" s="347">
        <v>682</v>
      </c>
      <c r="B623" s="304" t="s">
        <v>2771</v>
      </c>
      <c r="C623" s="304" t="s">
        <v>2772</v>
      </c>
      <c r="D623" s="304" t="s">
        <v>5246</v>
      </c>
      <c r="E623" s="304" t="s">
        <v>2287</v>
      </c>
      <c r="F623" s="304" t="s">
        <v>1045</v>
      </c>
      <c r="G623" s="1111">
        <v>14059</v>
      </c>
      <c r="H623" s="304" t="s">
        <v>6371</v>
      </c>
      <c r="I623" s="304" t="s">
        <v>5420</v>
      </c>
      <c r="J623" s="304" t="s">
        <v>335</v>
      </c>
    </row>
    <row r="624" spans="1:10" ht="25.5">
      <c r="A624" s="347">
        <v>683</v>
      </c>
      <c r="B624" s="304" t="s">
        <v>1740</v>
      </c>
      <c r="C624" s="304" t="s">
        <v>1741</v>
      </c>
      <c r="D624" s="304" t="s">
        <v>6084</v>
      </c>
      <c r="E624" s="304"/>
      <c r="F624" s="304" t="s">
        <v>3260</v>
      </c>
      <c r="G624" s="1111">
        <v>13096</v>
      </c>
      <c r="H624" s="304"/>
      <c r="I624" s="304" t="s">
        <v>3261</v>
      </c>
      <c r="J624" s="304" t="s">
        <v>390</v>
      </c>
    </row>
    <row r="625" spans="1:10">
      <c r="A625" s="347">
        <v>684</v>
      </c>
      <c r="B625" s="304" t="s">
        <v>5113</v>
      </c>
      <c r="C625" s="304" t="s">
        <v>4177</v>
      </c>
      <c r="D625" s="304" t="s">
        <v>4178</v>
      </c>
      <c r="E625" s="304" t="s">
        <v>4179</v>
      </c>
      <c r="F625" s="304" t="s">
        <v>4180</v>
      </c>
      <c r="G625" s="1111">
        <v>209797</v>
      </c>
      <c r="H625" s="304" t="s">
        <v>824</v>
      </c>
      <c r="I625" s="304" t="s">
        <v>4181</v>
      </c>
      <c r="J625" s="304" t="s">
        <v>5200</v>
      </c>
    </row>
    <row r="626" spans="1:10">
      <c r="A626" s="347">
        <v>685</v>
      </c>
      <c r="B626" s="304" t="s">
        <v>2288</v>
      </c>
      <c r="C626" s="304" t="s">
        <v>2289</v>
      </c>
      <c r="D626" s="304" t="s">
        <v>1352</v>
      </c>
      <c r="E626" s="304" t="s">
        <v>3750</v>
      </c>
      <c r="F626" s="304" t="s">
        <v>3751</v>
      </c>
      <c r="G626" s="1111">
        <v>11602</v>
      </c>
      <c r="H626" s="304" t="s">
        <v>6288</v>
      </c>
      <c r="I626" s="304" t="s">
        <v>3752</v>
      </c>
      <c r="J626" s="304" t="s">
        <v>3753</v>
      </c>
    </row>
    <row r="627" spans="1:10">
      <c r="A627" s="347">
        <v>686</v>
      </c>
      <c r="B627" s="304" t="s">
        <v>6218</v>
      </c>
      <c r="C627" s="304" t="s">
        <v>958</v>
      </c>
      <c r="D627" s="304"/>
      <c r="E627" s="304"/>
      <c r="F627" s="304" t="s">
        <v>959</v>
      </c>
      <c r="G627" s="1111">
        <v>14298</v>
      </c>
      <c r="H627" s="304" t="s">
        <v>4785</v>
      </c>
      <c r="I627" s="304" t="s">
        <v>960</v>
      </c>
    </row>
    <row r="628" spans="1:10">
      <c r="A628" s="347">
        <v>688</v>
      </c>
      <c r="B628" s="304" t="s">
        <v>454</v>
      </c>
      <c r="C628" s="304" t="s">
        <v>3516</v>
      </c>
      <c r="D628" s="304" t="s">
        <v>2726</v>
      </c>
      <c r="E628" s="304"/>
      <c r="F628" s="304" t="s">
        <v>2727</v>
      </c>
      <c r="G628" s="1111">
        <v>210296</v>
      </c>
      <c r="H628" s="304" t="s">
        <v>853</v>
      </c>
      <c r="I628" s="304" t="s">
        <v>2728</v>
      </c>
      <c r="J628" s="304" t="s">
        <v>2729</v>
      </c>
    </row>
    <row r="629" spans="1:10">
      <c r="A629" s="347">
        <v>689</v>
      </c>
      <c r="B629" s="304" t="s">
        <v>3703</v>
      </c>
      <c r="C629" s="304" t="s">
        <v>3704</v>
      </c>
      <c r="D629" s="304" t="s">
        <v>5721</v>
      </c>
      <c r="E629" s="304"/>
      <c r="F629" s="304" t="s">
        <v>2209</v>
      </c>
      <c r="G629" s="1111">
        <v>11581</v>
      </c>
      <c r="H629" s="304" t="s">
        <v>5245</v>
      </c>
      <c r="I629" s="304" t="s">
        <v>4566</v>
      </c>
      <c r="J629" s="304" t="s">
        <v>1289</v>
      </c>
    </row>
    <row r="630" spans="1:10">
      <c r="A630" s="347">
        <v>690</v>
      </c>
      <c r="B630" s="304" t="s">
        <v>38</v>
      </c>
      <c r="C630" s="304" t="s">
        <v>635</v>
      </c>
      <c r="D630" s="304" t="s">
        <v>2615</v>
      </c>
      <c r="E630" s="304" t="s">
        <v>2616</v>
      </c>
      <c r="F630" s="304" t="s">
        <v>4351</v>
      </c>
      <c r="G630" s="1111">
        <v>209679</v>
      </c>
      <c r="H630" s="304" t="s">
        <v>289</v>
      </c>
      <c r="I630" s="304" t="s">
        <v>37</v>
      </c>
      <c r="J630" s="304" t="s">
        <v>4405</v>
      </c>
    </row>
    <row r="631" spans="1:10" ht="25.5">
      <c r="A631" s="347">
        <v>691</v>
      </c>
      <c r="B631" s="304" t="s">
        <v>4387</v>
      </c>
      <c r="C631" s="304" t="s">
        <v>4388</v>
      </c>
      <c r="D631" s="304" t="s">
        <v>4389</v>
      </c>
      <c r="E631" s="304"/>
      <c r="F631" s="304" t="s">
        <v>3972</v>
      </c>
      <c r="G631" s="1111">
        <v>14059</v>
      </c>
      <c r="H631" s="304" t="s">
        <v>6371</v>
      </c>
      <c r="I631" s="304" t="s">
        <v>779</v>
      </c>
      <c r="J631" s="304" t="s">
        <v>780</v>
      </c>
    </row>
    <row r="632" spans="1:10" ht="25.5">
      <c r="A632" s="347">
        <v>692</v>
      </c>
      <c r="B632" s="304" t="s">
        <v>4819</v>
      </c>
      <c r="C632" s="304" t="s">
        <v>5416</v>
      </c>
      <c r="D632" s="304" t="s">
        <v>5246</v>
      </c>
      <c r="E632" s="304" t="s">
        <v>2287</v>
      </c>
      <c r="F632" s="304" t="s">
        <v>4820</v>
      </c>
      <c r="G632" s="1111">
        <v>14059</v>
      </c>
      <c r="H632" s="304" t="s">
        <v>6371</v>
      </c>
      <c r="I632" s="304" t="s">
        <v>5420</v>
      </c>
      <c r="J632" s="304" t="s">
        <v>335</v>
      </c>
    </row>
    <row r="633" spans="1:10">
      <c r="A633" s="347">
        <v>694</v>
      </c>
      <c r="B633" s="304" t="s">
        <v>2809</v>
      </c>
      <c r="C633" s="304" t="s">
        <v>2810</v>
      </c>
      <c r="D633" s="304" t="s">
        <v>654</v>
      </c>
      <c r="E633" s="304"/>
      <c r="F633" s="304" t="s">
        <v>3368</v>
      </c>
      <c r="G633" s="1111">
        <v>11524</v>
      </c>
      <c r="H633" s="304" t="s">
        <v>3130</v>
      </c>
      <c r="I633" s="304" t="s">
        <v>5595</v>
      </c>
      <c r="J633" s="304" t="s">
        <v>4268</v>
      </c>
    </row>
    <row r="634" spans="1:10">
      <c r="A634" s="347">
        <v>695</v>
      </c>
      <c r="B634" s="304" t="s">
        <v>4269</v>
      </c>
      <c r="C634" s="304" t="s">
        <v>4270</v>
      </c>
      <c r="D634" s="304" t="s">
        <v>3880</v>
      </c>
      <c r="E634" s="304"/>
      <c r="F634" s="304" t="s">
        <v>1496</v>
      </c>
      <c r="G634" s="1111">
        <v>11486</v>
      </c>
      <c r="H634" s="304" t="s">
        <v>5155</v>
      </c>
      <c r="I634" s="304" t="s">
        <v>1236</v>
      </c>
      <c r="J634" s="304" t="s">
        <v>3142</v>
      </c>
    </row>
    <row r="635" spans="1:10">
      <c r="A635" s="347">
        <v>696</v>
      </c>
      <c r="B635" s="304" t="s">
        <v>6157</v>
      </c>
      <c r="C635" s="304" t="s">
        <v>4253</v>
      </c>
      <c r="D635" s="304" t="s">
        <v>4254</v>
      </c>
      <c r="E635" s="304"/>
      <c r="F635" s="304" t="s">
        <v>4255</v>
      </c>
      <c r="G635" s="1111">
        <v>11505</v>
      </c>
      <c r="H635" s="304" t="s">
        <v>3245</v>
      </c>
      <c r="I635" s="304" t="s">
        <v>3362</v>
      </c>
      <c r="J635" s="304" t="s">
        <v>3363</v>
      </c>
    </row>
    <row r="636" spans="1:10">
      <c r="A636" s="347">
        <v>697</v>
      </c>
      <c r="B636" s="304" t="s">
        <v>3364</v>
      </c>
      <c r="C636" s="304" t="s">
        <v>3365</v>
      </c>
      <c r="D636" s="304" t="s">
        <v>3366</v>
      </c>
      <c r="E636" s="304"/>
      <c r="F636" s="304" t="s">
        <v>3301</v>
      </c>
      <c r="G636" s="1111">
        <v>14059</v>
      </c>
      <c r="H636" s="304" t="s">
        <v>6371</v>
      </c>
      <c r="I636" s="304" t="s">
        <v>5128</v>
      </c>
      <c r="J636" s="304" t="s">
        <v>5129</v>
      </c>
    </row>
    <row r="637" spans="1:10" ht="25.5">
      <c r="A637" s="347">
        <v>698</v>
      </c>
      <c r="B637" s="304" t="s">
        <v>2941</v>
      </c>
      <c r="C637" s="304" t="s">
        <v>2942</v>
      </c>
      <c r="D637" s="304" t="s">
        <v>1873</v>
      </c>
      <c r="E637" s="304" t="s">
        <v>1874</v>
      </c>
      <c r="F637" s="304" t="s">
        <v>2638</v>
      </c>
      <c r="G637" s="1111">
        <v>14059</v>
      </c>
      <c r="H637" s="304" t="s">
        <v>6371</v>
      </c>
      <c r="I637" s="304" t="s">
        <v>1720</v>
      </c>
      <c r="J637" s="304" t="s">
        <v>5132</v>
      </c>
    </row>
    <row r="638" spans="1:10">
      <c r="A638" s="347">
        <v>699</v>
      </c>
      <c r="B638" s="304" t="s">
        <v>1875</v>
      </c>
      <c r="C638" s="304" t="s">
        <v>624</v>
      </c>
      <c r="D638" s="304" t="s">
        <v>625</v>
      </c>
      <c r="E638" s="304" t="s">
        <v>1676</v>
      </c>
      <c r="F638" s="304" t="s">
        <v>2020</v>
      </c>
      <c r="G638" s="1111">
        <v>209679</v>
      </c>
      <c r="H638" s="304" t="s">
        <v>824</v>
      </c>
      <c r="I638" s="304" t="s">
        <v>2021</v>
      </c>
      <c r="J638" s="304" t="s">
        <v>4493</v>
      </c>
    </row>
    <row r="639" spans="1:10" ht="25.5">
      <c r="A639" s="347">
        <v>703</v>
      </c>
      <c r="B639" s="304" t="s">
        <v>3839</v>
      </c>
      <c r="C639" s="304" t="s">
        <v>3840</v>
      </c>
      <c r="D639" s="304" t="s">
        <v>3841</v>
      </c>
      <c r="E639" s="304"/>
      <c r="F639" s="304" t="s">
        <v>3842</v>
      </c>
      <c r="G639" s="1111">
        <v>14059</v>
      </c>
      <c r="H639" s="304" t="s">
        <v>6371</v>
      </c>
      <c r="I639" s="304" t="s">
        <v>6322</v>
      </c>
      <c r="J639" s="304" t="s">
        <v>4695</v>
      </c>
    </row>
    <row r="640" spans="1:10" ht="25.5">
      <c r="A640" s="347">
        <v>704</v>
      </c>
      <c r="B640" s="304" t="s">
        <v>2173</v>
      </c>
      <c r="C640" s="304" t="s">
        <v>4292</v>
      </c>
      <c r="D640" s="304" t="s">
        <v>2944</v>
      </c>
      <c r="E640" s="304" t="s">
        <v>1362</v>
      </c>
      <c r="F640" s="304" t="s">
        <v>832</v>
      </c>
      <c r="G640" s="1111">
        <v>14059</v>
      </c>
      <c r="H640" s="304" t="s">
        <v>6371</v>
      </c>
      <c r="I640" s="304" t="s">
        <v>833</v>
      </c>
      <c r="J640" s="304" t="s">
        <v>3304</v>
      </c>
    </row>
    <row r="641" spans="1:10">
      <c r="A641" s="347">
        <v>706</v>
      </c>
      <c r="B641" s="304" t="s">
        <v>38</v>
      </c>
      <c r="C641" s="304" t="s">
        <v>1023</v>
      </c>
      <c r="D641" s="304" t="s">
        <v>3305</v>
      </c>
      <c r="E641" s="304" t="s">
        <v>3108</v>
      </c>
      <c r="F641" s="304" t="s">
        <v>3109</v>
      </c>
      <c r="G641" s="1111">
        <v>209679</v>
      </c>
      <c r="H641" s="304" t="s">
        <v>3110</v>
      </c>
      <c r="I641" s="304" t="s">
        <v>1024</v>
      </c>
      <c r="J641" s="304" t="s">
        <v>165</v>
      </c>
    </row>
    <row r="642" spans="1:10">
      <c r="A642" s="347">
        <v>708</v>
      </c>
      <c r="B642" s="304" t="s">
        <v>500</v>
      </c>
      <c r="C642" s="304" t="s">
        <v>501</v>
      </c>
      <c r="D642" s="304" t="s">
        <v>502</v>
      </c>
      <c r="E642" s="304"/>
      <c r="F642" s="304" t="s">
        <v>503</v>
      </c>
      <c r="G642" s="1111">
        <v>209679</v>
      </c>
      <c r="H642" s="1110" t="s">
        <v>3272</v>
      </c>
      <c r="I642" s="304" t="s">
        <v>504</v>
      </c>
      <c r="J642" s="304" t="s">
        <v>505</v>
      </c>
    </row>
    <row r="643" spans="1:10" ht="25.5">
      <c r="A643" s="347">
        <v>710</v>
      </c>
      <c r="B643" s="304" t="s">
        <v>2110</v>
      </c>
      <c r="C643" s="304" t="s">
        <v>970</v>
      </c>
      <c r="D643" s="304" t="s">
        <v>971</v>
      </c>
      <c r="E643" s="304" t="s">
        <v>972</v>
      </c>
      <c r="F643" s="304" t="s">
        <v>973</v>
      </c>
      <c r="I643" s="304" t="s">
        <v>974</v>
      </c>
      <c r="J643" s="304" t="s">
        <v>975</v>
      </c>
    </row>
    <row r="644" spans="1:10">
      <c r="A644" s="347">
        <v>711</v>
      </c>
      <c r="B644" s="304" t="s">
        <v>3402</v>
      </c>
      <c r="C644" s="304" t="s">
        <v>1716</v>
      </c>
      <c r="D644" s="304" t="s">
        <v>3403</v>
      </c>
      <c r="E644" s="304"/>
      <c r="F644" s="304" t="s">
        <v>5779</v>
      </c>
      <c r="G644" s="1111">
        <v>14973</v>
      </c>
      <c r="H644" s="1110" t="s">
        <v>1484</v>
      </c>
      <c r="I644" s="304" t="s">
        <v>1717</v>
      </c>
      <c r="J644" s="304" t="s">
        <v>1718</v>
      </c>
    </row>
    <row r="645" spans="1:10">
      <c r="A645" s="347">
        <v>712</v>
      </c>
      <c r="B645" s="304" t="s">
        <v>876</v>
      </c>
      <c r="C645" s="304" t="s">
        <v>3563</v>
      </c>
      <c r="D645" s="304" t="s">
        <v>877</v>
      </c>
      <c r="E645" s="304"/>
      <c r="F645" s="304" t="s">
        <v>878</v>
      </c>
      <c r="I645" s="304" t="s">
        <v>4795</v>
      </c>
      <c r="J645" s="304" t="s">
        <v>879</v>
      </c>
    </row>
    <row r="646" spans="1:10">
      <c r="A646" s="347">
        <v>713</v>
      </c>
      <c r="B646" s="304" t="s">
        <v>2628</v>
      </c>
      <c r="C646" s="304" t="s">
        <v>3952</v>
      </c>
      <c r="D646" s="304" t="s">
        <v>2629</v>
      </c>
      <c r="E646" s="304"/>
      <c r="F646" s="304" t="s">
        <v>6276</v>
      </c>
      <c r="G646" s="1111">
        <v>11602</v>
      </c>
      <c r="H646" s="1110" t="s">
        <v>6288</v>
      </c>
      <c r="I646" s="304" t="s">
        <v>6277</v>
      </c>
      <c r="J646" s="304" t="s">
        <v>3220</v>
      </c>
    </row>
    <row r="647" spans="1:10">
      <c r="A647" s="347">
        <v>715</v>
      </c>
      <c r="B647" s="304" t="s">
        <v>676</v>
      </c>
      <c r="C647" s="304" t="s">
        <v>1727</v>
      </c>
      <c r="D647" s="304" t="s">
        <v>1728</v>
      </c>
      <c r="E647" s="304"/>
      <c r="F647" s="304" t="s">
        <v>1336</v>
      </c>
      <c r="G647" s="1111">
        <v>14059</v>
      </c>
      <c r="H647" s="1110" t="s">
        <v>6371</v>
      </c>
      <c r="I647" s="304" t="s">
        <v>1337</v>
      </c>
      <c r="J647" s="304" t="s">
        <v>3298</v>
      </c>
    </row>
    <row r="648" spans="1:10">
      <c r="A648" s="347">
        <v>717</v>
      </c>
      <c r="B648" s="304" t="s">
        <v>5896</v>
      </c>
      <c r="C648" s="304" t="s">
        <v>6159</v>
      </c>
      <c r="D648" s="304" t="s">
        <v>5897</v>
      </c>
      <c r="E648" s="304"/>
      <c r="F648" s="304" t="s">
        <v>6160</v>
      </c>
      <c r="G648" s="1111">
        <v>209679</v>
      </c>
      <c r="H648" s="1110" t="s">
        <v>3272</v>
      </c>
      <c r="I648" s="304" t="s">
        <v>5898</v>
      </c>
      <c r="J648" s="304" t="s">
        <v>5899</v>
      </c>
    </row>
    <row r="649" spans="1:10">
      <c r="A649" s="347">
        <v>719</v>
      </c>
      <c r="B649" s="304" t="s">
        <v>651</v>
      </c>
      <c r="C649" s="304" t="s">
        <v>119</v>
      </c>
      <c r="D649" s="304" t="s">
        <v>3797</v>
      </c>
      <c r="E649" s="304"/>
      <c r="F649" s="304" t="s">
        <v>2745</v>
      </c>
      <c r="G649" s="1111">
        <v>210769</v>
      </c>
      <c r="H649" s="1110" t="s">
        <v>3165</v>
      </c>
      <c r="I649" s="304" t="s">
        <v>3166</v>
      </c>
      <c r="J649" s="304" t="s">
        <v>5205</v>
      </c>
    </row>
    <row r="650" spans="1:10">
      <c r="A650" s="347">
        <v>720</v>
      </c>
      <c r="B650" s="304" t="s">
        <v>1206</v>
      </c>
      <c r="C650" s="304" t="s">
        <v>4581</v>
      </c>
      <c r="D650" s="304" t="s">
        <v>1207</v>
      </c>
      <c r="E650" s="304" t="s">
        <v>1913</v>
      </c>
      <c r="F650" s="304" t="s">
        <v>1208</v>
      </c>
      <c r="G650" s="1111">
        <v>209679</v>
      </c>
      <c r="H650" s="1110" t="s">
        <v>3272</v>
      </c>
      <c r="I650" s="304" t="s">
        <v>4582</v>
      </c>
      <c r="J650" s="304" t="s">
        <v>894</v>
      </c>
    </row>
    <row r="651" spans="1:10" ht="25.5">
      <c r="A651" s="347">
        <v>721</v>
      </c>
      <c r="B651" s="304" t="s">
        <v>5087</v>
      </c>
      <c r="C651" s="304" t="s">
        <v>5088</v>
      </c>
      <c r="D651" s="304" t="s">
        <v>5089</v>
      </c>
      <c r="E651" s="304"/>
      <c r="F651" s="304" t="s">
        <v>1735</v>
      </c>
      <c r="G651" s="1111">
        <v>14298</v>
      </c>
      <c r="H651" s="1110" t="s">
        <v>4785</v>
      </c>
      <c r="I651" s="304" t="s">
        <v>1736</v>
      </c>
      <c r="J651" s="304" t="s">
        <v>1737</v>
      </c>
    </row>
    <row r="652" spans="1:10">
      <c r="A652" s="347">
        <v>722</v>
      </c>
      <c r="B652" s="304" t="s">
        <v>2142</v>
      </c>
      <c r="C652" s="304" t="s">
        <v>2143</v>
      </c>
      <c r="D652" s="304" t="s">
        <v>2144</v>
      </c>
      <c r="E652" s="304"/>
      <c r="F652" s="304" t="s">
        <v>2145</v>
      </c>
      <c r="G652" s="1111">
        <v>11581</v>
      </c>
      <c r="H652" s="1110" t="s">
        <v>4513</v>
      </c>
      <c r="I652" s="304" t="s">
        <v>2146</v>
      </c>
      <c r="J652" s="304" t="s">
        <v>2147</v>
      </c>
    </row>
    <row r="653" spans="1:10" ht="25.5">
      <c r="A653" s="347">
        <v>724</v>
      </c>
      <c r="B653" s="304" t="s">
        <v>5236</v>
      </c>
      <c r="C653" s="304" t="s">
        <v>4844</v>
      </c>
      <c r="D653" s="304" t="s">
        <v>4845</v>
      </c>
      <c r="E653" s="304"/>
      <c r="F653" s="304" t="s">
        <v>4846</v>
      </c>
      <c r="G653" s="1111" t="s">
        <v>4847</v>
      </c>
      <c r="H653" s="1110" t="s">
        <v>4848</v>
      </c>
      <c r="I653" s="304" t="s">
        <v>2710</v>
      </c>
      <c r="J653" s="304" t="s">
        <v>2711</v>
      </c>
    </row>
    <row r="654" spans="1:10" ht="25.5">
      <c r="A654" s="347">
        <v>725</v>
      </c>
      <c r="B654" s="304" t="s">
        <v>3350</v>
      </c>
      <c r="C654" s="304" t="s">
        <v>3351</v>
      </c>
      <c r="D654" s="304" t="s">
        <v>1571</v>
      </c>
      <c r="E654" s="304"/>
      <c r="F654" s="304" t="s">
        <v>904</v>
      </c>
      <c r="G654" s="1111">
        <v>11486</v>
      </c>
      <c r="H654" s="1110" t="s">
        <v>5155</v>
      </c>
      <c r="I654" s="304" t="s">
        <v>905</v>
      </c>
      <c r="J654" s="304" t="s">
        <v>5661</v>
      </c>
    </row>
    <row r="655" spans="1:10" ht="25.5">
      <c r="A655" s="347">
        <v>726</v>
      </c>
      <c r="B655" s="304" t="s">
        <v>381</v>
      </c>
      <c r="C655" s="304" t="s">
        <v>382</v>
      </c>
      <c r="D655" s="304" t="s">
        <v>383</v>
      </c>
      <c r="E655" s="304"/>
      <c r="F655" s="304" t="s">
        <v>384</v>
      </c>
      <c r="G655" s="1111">
        <v>11602</v>
      </c>
      <c r="H655" s="1110" t="s">
        <v>6288</v>
      </c>
      <c r="I655" s="304" t="s">
        <v>81</v>
      </c>
      <c r="J655" s="304" t="s">
        <v>3604</v>
      </c>
    </row>
    <row r="656" spans="1:10">
      <c r="A656" s="347">
        <v>727</v>
      </c>
      <c r="B656" s="304" t="s">
        <v>8</v>
      </c>
      <c r="C656" s="304" t="s">
        <v>9</v>
      </c>
      <c r="D656" s="304" t="s">
        <v>10</v>
      </c>
      <c r="E656" s="304"/>
      <c r="F656" s="304" t="s">
        <v>3805</v>
      </c>
      <c r="G656" s="1111">
        <v>14973</v>
      </c>
      <c r="H656" s="1110" t="s">
        <v>3806</v>
      </c>
      <c r="I656" s="304" t="s">
        <v>1190</v>
      </c>
      <c r="J656" s="304" t="s">
        <v>1191</v>
      </c>
    </row>
    <row r="657" spans="1:10" ht="25.5">
      <c r="A657" s="347">
        <v>729</v>
      </c>
      <c r="B657" s="304" t="s">
        <v>2317</v>
      </c>
      <c r="C657" s="304" t="s">
        <v>2318</v>
      </c>
      <c r="D657" s="304" t="s">
        <v>2319</v>
      </c>
      <c r="E657" s="304"/>
      <c r="F657" s="304" t="s">
        <v>2320</v>
      </c>
      <c r="G657" s="1111">
        <v>14298</v>
      </c>
      <c r="H657" s="1110" t="s">
        <v>4785</v>
      </c>
      <c r="I657" s="304" t="s">
        <v>2321</v>
      </c>
    </row>
    <row r="658" spans="1:10">
      <c r="A658" s="347">
        <v>730</v>
      </c>
      <c r="B658" s="304" t="s">
        <v>3819</v>
      </c>
      <c r="C658" s="304" t="s">
        <v>3820</v>
      </c>
      <c r="D658" s="304" t="s">
        <v>3125</v>
      </c>
      <c r="E658" s="304"/>
      <c r="F658" s="304" t="s">
        <v>686</v>
      </c>
      <c r="G658" s="1111">
        <v>209679</v>
      </c>
      <c r="H658" s="1110" t="s">
        <v>1643</v>
      </c>
      <c r="I658" s="304" t="s">
        <v>1667</v>
      </c>
      <c r="J658" s="304" t="s">
        <v>3119</v>
      </c>
    </row>
    <row r="659" spans="1:10" ht="25.5">
      <c r="A659" s="347">
        <v>731</v>
      </c>
      <c r="B659" s="304" t="s">
        <v>1219</v>
      </c>
      <c r="C659" s="304" t="s">
        <v>5151</v>
      </c>
      <c r="D659" s="304" t="s">
        <v>5152</v>
      </c>
      <c r="E659" s="304"/>
      <c r="F659" s="304" t="s">
        <v>5153</v>
      </c>
      <c r="G659" s="1111">
        <v>14059</v>
      </c>
      <c r="H659" s="1110" t="s">
        <v>6371</v>
      </c>
      <c r="I659" s="304" t="s">
        <v>6349</v>
      </c>
      <c r="J659" s="304" t="s">
        <v>6350</v>
      </c>
    </row>
    <row r="660" spans="1:10">
      <c r="A660" s="347">
        <v>732</v>
      </c>
      <c r="B660" s="304" t="s">
        <v>5097</v>
      </c>
      <c r="C660" s="304" t="s">
        <v>5098</v>
      </c>
      <c r="D660" s="304" t="s">
        <v>5099</v>
      </c>
      <c r="E660" s="304" t="s">
        <v>5100</v>
      </c>
      <c r="F660" s="304" t="s">
        <v>1570</v>
      </c>
      <c r="I660" s="304" t="s">
        <v>4107</v>
      </c>
      <c r="J660" s="304" t="s">
        <v>4610</v>
      </c>
    </row>
    <row r="661" spans="1:10" ht="25.5">
      <c r="A661" s="347">
        <v>733</v>
      </c>
      <c r="B661" s="304" t="s">
        <v>1724</v>
      </c>
      <c r="C661" s="304" t="s">
        <v>1725</v>
      </c>
      <c r="D661" s="304" t="s">
        <v>311</v>
      </c>
      <c r="E661" s="304"/>
      <c r="F661" s="304" t="s">
        <v>4659</v>
      </c>
      <c r="H661" s="1110">
        <v>11524</v>
      </c>
      <c r="I661" s="304" t="s">
        <v>2353</v>
      </c>
      <c r="J661" s="304" t="s">
        <v>4066</v>
      </c>
    </row>
    <row r="662" spans="1:10">
      <c r="A662" s="347">
        <v>735</v>
      </c>
      <c r="B662" s="304" t="s">
        <v>3595</v>
      </c>
      <c r="C662" s="304" t="s">
        <v>4029</v>
      </c>
      <c r="D662" s="304" t="s">
        <v>4030</v>
      </c>
      <c r="E662" s="304"/>
      <c r="F662" s="304" t="s">
        <v>4031</v>
      </c>
      <c r="G662" s="1111">
        <v>11506</v>
      </c>
      <c r="H662" s="1110" t="s">
        <v>3384</v>
      </c>
      <c r="I662" s="304" t="s">
        <v>4032</v>
      </c>
      <c r="J662" s="304" t="s">
        <v>4033</v>
      </c>
    </row>
    <row r="663" spans="1:10" ht="25.5">
      <c r="A663" s="347">
        <v>736</v>
      </c>
      <c r="B663" s="304" t="s">
        <v>4229</v>
      </c>
      <c r="C663" s="304" t="s">
        <v>4230</v>
      </c>
      <c r="D663" s="304"/>
      <c r="E663" s="304"/>
      <c r="F663" s="304" t="s">
        <v>4623</v>
      </c>
      <c r="G663" s="1111">
        <v>210522</v>
      </c>
      <c r="H663" s="1110" t="s">
        <v>4624</v>
      </c>
      <c r="I663" s="304" t="s">
        <v>2124</v>
      </c>
    </row>
    <row r="664" spans="1:10">
      <c r="A664" s="347">
        <v>737</v>
      </c>
      <c r="B664" s="304" t="s">
        <v>4627</v>
      </c>
      <c r="C664" s="304" t="s">
        <v>4628</v>
      </c>
      <c r="D664" s="304" t="s">
        <v>4629</v>
      </c>
      <c r="E664" s="304" t="s">
        <v>4630</v>
      </c>
      <c r="F664" s="304" t="s">
        <v>4631</v>
      </c>
      <c r="G664" s="1111">
        <v>11602</v>
      </c>
      <c r="H664" s="1110" t="s">
        <v>6288</v>
      </c>
      <c r="I664" s="304" t="s">
        <v>4632</v>
      </c>
    </row>
    <row r="665" spans="1:10">
      <c r="A665" s="347">
        <v>738</v>
      </c>
      <c r="B665" s="304" t="s">
        <v>5250</v>
      </c>
      <c r="C665" s="304" t="s">
        <v>5251</v>
      </c>
      <c r="D665" s="304" t="s">
        <v>4135</v>
      </c>
      <c r="E665" s="304"/>
      <c r="F665" s="304" t="s">
        <v>4136</v>
      </c>
      <c r="G665" s="1111">
        <v>11506</v>
      </c>
      <c r="H665" s="1110" t="s">
        <v>3384</v>
      </c>
    </row>
    <row r="666" spans="1:10">
      <c r="A666" s="347">
        <v>741</v>
      </c>
      <c r="B666" s="304" t="s">
        <v>6198</v>
      </c>
      <c r="C666" s="304" t="s">
        <v>6199</v>
      </c>
      <c r="D666" s="304" t="s">
        <v>5560</v>
      </c>
      <c r="E666" s="304"/>
      <c r="F666" s="304" t="s">
        <v>6200</v>
      </c>
      <c r="G666" s="1111">
        <v>11524</v>
      </c>
      <c r="H666" s="1110" t="s">
        <v>3130</v>
      </c>
      <c r="I666" s="304" t="s">
        <v>6201</v>
      </c>
      <c r="J666" s="304" t="s">
        <v>3268</v>
      </c>
    </row>
    <row r="667" spans="1:10">
      <c r="A667" s="347">
        <v>743</v>
      </c>
      <c r="B667" s="304" t="s">
        <v>4781</v>
      </c>
      <c r="C667" s="304" t="s">
        <v>6284</v>
      </c>
      <c r="D667" s="304" t="s">
        <v>6285</v>
      </c>
      <c r="E667" s="304"/>
      <c r="F667" s="304" t="s">
        <v>6286</v>
      </c>
      <c r="G667" s="1111">
        <v>14059</v>
      </c>
      <c r="H667" s="1110" t="s">
        <v>6371</v>
      </c>
      <c r="I667" s="304" t="s">
        <v>645</v>
      </c>
      <c r="J667" s="304" t="s">
        <v>1291</v>
      </c>
    </row>
    <row r="668" spans="1:10" ht="25.5">
      <c r="A668" s="347">
        <v>744</v>
      </c>
      <c r="B668" s="304" t="s">
        <v>1292</v>
      </c>
      <c r="C668" s="304" t="s">
        <v>1293</v>
      </c>
      <c r="D668" s="304" t="s">
        <v>5450</v>
      </c>
      <c r="E668" s="304" t="s">
        <v>5451</v>
      </c>
      <c r="F668" s="304" t="s">
        <v>5452</v>
      </c>
      <c r="G668" s="1111">
        <v>14059</v>
      </c>
      <c r="H668" s="1110" t="s">
        <v>6371</v>
      </c>
      <c r="I668" s="304" t="s">
        <v>5453</v>
      </c>
      <c r="J668" s="304" t="s">
        <v>5454</v>
      </c>
    </row>
    <row r="669" spans="1:10" ht="25.5">
      <c r="A669" s="347">
        <v>745</v>
      </c>
      <c r="B669" s="304" t="s">
        <v>3626</v>
      </c>
      <c r="C669" s="304" t="s">
        <v>3627</v>
      </c>
      <c r="D669" s="304" t="s">
        <v>3628</v>
      </c>
      <c r="E669" s="304" t="s">
        <v>3629</v>
      </c>
      <c r="F669" s="304" t="s">
        <v>5218</v>
      </c>
      <c r="G669" s="1111">
        <v>14059</v>
      </c>
      <c r="H669" s="1110" t="s">
        <v>6371</v>
      </c>
      <c r="I669" s="304" t="s">
        <v>5219</v>
      </c>
      <c r="J669" s="304" t="s">
        <v>5220</v>
      </c>
    </row>
    <row r="670" spans="1:10" ht="25.5">
      <c r="A670" s="347">
        <v>746</v>
      </c>
      <c r="B670" s="304" t="s">
        <v>5201</v>
      </c>
      <c r="C670" s="304" t="s">
        <v>1357</v>
      </c>
      <c r="D670" s="304" t="s">
        <v>1358</v>
      </c>
      <c r="E670" s="304"/>
      <c r="F670" s="304" t="s">
        <v>1359</v>
      </c>
      <c r="G670" s="1111">
        <v>14059</v>
      </c>
      <c r="H670" s="1110" t="s">
        <v>6371</v>
      </c>
      <c r="I670" s="304" t="s">
        <v>1360</v>
      </c>
      <c r="J670" s="304" t="s">
        <v>1361</v>
      </c>
    </row>
    <row r="671" spans="1:10" ht="25.5">
      <c r="A671" s="347">
        <v>748</v>
      </c>
      <c r="B671" s="304" t="s">
        <v>4620</v>
      </c>
      <c r="C671" s="304" t="s">
        <v>4621</v>
      </c>
      <c r="D671" s="304" t="s">
        <v>5851</v>
      </c>
      <c r="E671" s="304"/>
      <c r="F671" s="304" t="s">
        <v>5852</v>
      </c>
      <c r="G671" s="1111">
        <v>14059</v>
      </c>
      <c r="H671" s="1110" t="s">
        <v>6371</v>
      </c>
      <c r="I671" s="304" t="s">
        <v>236</v>
      </c>
      <c r="J671" s="304" t="s">
        <v>237</v>
      </c>
    </row>
    <row r="672" spans="1:10" ht="25.5">
      <c r="A672" s="347">
        <v>749</v>
      </c>
      <c r="B672" s="304" t="s">
        <v>4312</v>
      </c>
      <c r="C672" s="304" t="s">
        <v>2049</v>
      </c>
      <c r="D672" s="304" t="s">
        <v>2050</v>
      </c>
      <c r="E672" s="304"/>
      <c r="F672" s="304" t="s">
        <v>2051</v>
      </c>
      <c r="G672" s="1111">
        <v>14059</v>
      </c>
      <c r="H672" s="1110" t="s">
        <v>6371</v>
      </c>
      <c r="I672" s="304" t="s">
        <v>2052</v>
      </c>
      <c r="J672" s="304" t="s">
        <v>2053</v>
      </c>
    </row>
    <row r="673" spans="1:10" ht="38.25">
      <c r="A673" s="347">
        <v>750</v>
      </c>
      <c r="B673" s="304" t="s">
        <v>4705</v>
      </c>
      <c r="C673" s="304" t="s">
        <v>665</v>
      </c>
      <c r="D673" s="304" t="s">
        <v>666</v>
      </c>
      <c r="E673" s="304" t="s">
        <v>708</v>
      </c>
      <c r="F673" s="304" t="s">
        <v>5190</v>
      </c>
      <c r="G673" s="1111">
        <v>14059</v>
      </c>
      <c r="H673" s="1110" t="s">
        <v>6371</v>
      </c>
      <c r="I673" s="304" t="s">
        <v>5191</v>
      </c>
      <c r="J673" s="304" t="s">
        <v>6279</v>
      </c>
    </row>
    <row r="674" spans="1:10" ht="25.5">
      <c r="A674" s="347">
        <v>751</v>
      </c>
      <c r="B674" s="304" t="s">
        <v>1064</v>
      </c>
      <c r="C674" s="304" t="s">
        <v>1065</v>
      </c>
      <c r="D674" s="304" t="s">
        <v>3918</v>
      </c>
      <c r="E674" s="304"/>
      <c r="F674" s="304" t="s">
        <v>845</v>
      </c>
      <c r="G674" s="1111">
        <v>14059</v>
      </c>
      <c r="H674" s="1110" t="s">
        <v>6371</v>
      </c>
      <c r="I674" s="304" t="s">
        <v>1066</v>
      </c>
      <c r="J674" s="304" t="s">
        <v>1067</v>
      </c>
    </row>
    <row r="675" spans="1:10">
      <c r="A675" s="347">
        <v>753</v>
      </c>
      <c r="B675" s="304" t="s">
        <v>3965</v>
      </c>
      <c r="C675" s="304" t="s">
        <v>3966</v>
      </c>
      <c r="D675" s="304" t="s">
        <v>1499</v>
      </c>
      <c r="E675" s="304" t="s">
        <v>3967</v>
      </c>
      <c r="F675" s="304" t="s">
        <v>1500</v>
      </c>
      <c r="G675" s="1111">
        <v>11524</v>
      </c>
      <c r="H675" s="1110" t="s">
        <v>3130</v>
      </c>
      <c r="I675" s="304" t="s">
        <v>1501</v>
      </c>
      <c r="J675" s="304" t="s">
        <v>1502</v>
      </c>
    </row>
    <row r="676" spans="1:10">
      <c r="A676" s="347">
        <v>754</v>
      </c>
      <c r="B676" s="304" t="s">
        <v>3544</v>
      </c>
      <c r="C676" s="304" t="s">
        <v>3545</v>
      </c>
      <c r="D676" s="304" t="s">
        <v>3546</v>
      </c>
      <c r="E676" s="304"/>
      <c r="F676" s="304" t="s">
        <v>3547</v>
      </c>
      <c r="G676" s="1111">
        <v>14973</v>
      </c>
      <c r="H676" s="1110" t="s">
        <v>1484</v>
      </c>
      <c r="I676" s="304" t="s">
        <v>3548</v>
      </c>
      <c r="J676" s="304" t="s">
        <v>4892</v>
      </c>
    </row>
    <row r="677" spans="1:10">
      <c r="A677" s="347">
        <v>755</v>
      </c>
      <c r="B677" s="304" t="s">
        <v>1229</v>
      </c>
      <c r="C677" s="304" t="s">
        <v>1230</v>
      </c>
      <c r="D677" s="304" t="s">
        <v>1231</v>
      </c>
      <c r="E677" s="304"/>
      <c r="F677" s="304" t="s">
        <v>1232</v>
      </c>
      <c r="G677" s="1111">
        <v>210296</v>
      </c>
      <c r="H677" s="1110" t="s">
        <v>5591</v>
      </c>
      <c r="I677" s="304" t="s">
        <v>5592</v>
      </c>
      <c r="J677" s="304" t="s">
        <v>5593</v>
      </c>
    </row>
    <row r="678" spans="1:10">
      <c r="A678" s="347">
        <v>756</v>
      </c>
      <c r="B678" s="304" t="s">
        <v>1618</v>
      </c>
      <c r="C678" s="304" t="s">
        <v>1619</v>
      </c>
      <c r="D678" s="304" t="s">
        <v>1620</v>
      </c>
      <c r="E678" s="304"/>
      <c r="F678" s="304" t="s">
        <v>1621</v>
      </c>
      <c r="G678" s="1111">
        <v>210366</v>
      </c>
      <c r="H678" s="1110" t="s">
        <v>2350</v>
      </c>
      <c r="I678" s="304" t="s">
        <v>2351</v>
      </c>
      <c r="J678" s="304" t="s">
        <v>2352</v>
      </c>
    </row>
    <row r="679" spans="1:10">
      <c r="A679" s="347">
        <v>757</v>
      </c>
      <c r="B679" s="304" t="s">
        <v>4467</v>
      </c>
      <c r="C679" s="304" t="s">
        <v>54</v>
      </c>
      <c r="D679" s="304" t="s">
        <v>55</v>
      </c>
      <c r="E679" s="304"/>
      <c r="F679" s="304" t="s">
        <v>56</v>
      </c>
      <c r="G679" s="1111">
        <v>209679</v>
      </c>
      <c r="H679" s="1110" t="s">
        <v>3272</v>
      </c>
      <c r="I679" s="304" t="s">
        <v>57</v>
      </c>
      <c r="J679" s="304" t="s">
        <v>894</v>
      </c>
    </row>
    <row r="680" spans="1:10">
      <c r="A680" s="347">
        <v>758</v>
      </c>
      <c r="B680" s="304" t="s">
        <v>5797</v>
      </c>
      <c r="C680" s="304" t="s">
        <v>1947</v>
      </c>
      <c r="D680" s="304" t="s">
        <v>1646</v>
      </c>
      <c r="E680" s="304"/>
      <c r="F680" s="304" t="s">
        <v>2934</v>
      </c>
      <c r="G680" s="1111">
        <v>13831</v>
      </c>
      <c r="H680" s="1110" t="s">
        <v>5653</v>
      </c>
      <c r="I680" s="304" t="s">
        <v>2935</v>
      </c>
      <c r="J680" s="304" t="s">
        <v>2936</v>
      </c>
    </row>
    <row r="681" spans="1:10">
      <c r="A681" s="347">
        <v>759</v>
      </c>
      <c r="B681" s="304" t="s">
        <v>5353</v>
      </c>
      <c r="C681" s="304" t="s">
        <v>5354</v>
      </c>
      <c r="D681" s="304" t="s">
        <v>5355</v>
      </c>
      <c r="E681" s="304"/>
      <c r="F681" s="304" t="s">
        <v>5356</v>
      </c>
      <c r="G681" s="1111">
        <v>14973</v>
      </c>
      <c r="H681" s="1110" t="s">
        <v>1484</v>
      </c>
      <c r="I681" s="304" t="s">
        <v>5357</v>
      </c>
      <c r="J681" s="304" t="s">
        <v>5358</v>
      </c>
    </row>
    <row r="682" spans="1:10">
      <c r="A682" s="347">
        <v>761</v>
      </c>
      <c r="B682" s="304" t="s">
        <v>338</v>
      </c>
      <c r="C682" s="304" t="s">
        <v>339</v>
      </c>
      <c r="D682" s="304" t="s">
        <v>340</v>
      </c>
      <c r="E682" s="304"/>
      <c r="F682" s="304" t="s">
        <v>3714</v>
      </c>
      <c r="G682" s="1111">
        <v>11468</v>
      </c>
      <c r="H682" s="1110" t="s">
        <v>3885</v>
      </c>
      <c r="I682" s="304" t="s">
        <v>3715</v>
      </c>
      <c r="J682" s="304" t="s">
        <v>3716</v>
      </c>
    </row>
    <row r="683" spans="1:10" ht="25.5">
      <c r="A683" s="347">
        <v>762</v>
      </c>
      <c r="B683" s="304" t="s">
        <v>6219</v>
      </c>
      <c r="C683" s="304" t="s">
        <v>6220</v>
      </c>
      <c r="D683" s="304" t="s">
        <v>6221</v>
      </c>
      <c r="E683" s="304"/>
      <c r="F683" s="304" t="s">
        <v>6222</v>
      </c>
      <c r="G683" s="1111">
        <v>210522</v>
      </c>
      <c r="H683" s="1110" t="s">
        <v>6223</v>
      </c>
      <c r="I683" s="304" t="s">
        <v>6224</v>
      </c>
      <c r="J683" s="304" t="s">
        <v>6225</v>
      </c>
    </row>
    <row r="684" spans="1:10" ht="25.5">
      <c r="A684" s="347">
        <v>763</v>
      </c>
      <c r="B684" s="304" t="s">
        <v>3487</v>
      </c>
      <c r="C684" s="304" t="s">
        <v>3488</v>
      </c>
      <c r="D684" s="304" t="s">
        <v>4372</v>
      </c>
      <c r="E684" s="304"/>
      <c r="F684" s="304" t="s">
        <v>3454</v>
      </c>
      <c r="G684" s="1111">
        <v>14059</v>
      </c>
      <c r="H684" s="1110" t="s">
        <v>6371</v>
      </c>
      <c r="I684" s="304" t="s">
        <v>3455</v>
      </c>
      <c r="J684" s="304" t="s">
        <v>2015</v>
      </c>
    </row>
    <row r="685" spans="1:10" ht="25.5">
      <c r="A685" s="347">
        <v>764</v>
      </c>
      <c r="B685" s="304" t="s">
        <v>598</v>
      </c>
      <c r="C685" s="304" t="s">
        <v>2033</v>
      </c>
      <c r="D685" s="304" t="s">
        <v>4888</v>
      </c>
      <c r="E685" s="304"/>
      <c r="F685" s="304" t="s">
        <v>4889</v>
      </c>
      <c r="G685" s="1111">
        <v>209803</v>
      </c>
      <c r="H685" s="1110" t="s">
        <v>4890</v>
      </c>
      <c r="I685" s="304" t="s">
        <v>2034</v>
      </c>
      <c r="J685" s="304" t="s">
        <v>4891</v>
      </c>
    </row>
    <row r="686" spans="1:10">
      <c r="A686" s="347">
        <v>765</v>
      </c>
      <c r="B686" s="304" t="s">
        <v>1308</v>
      </c>
      <c r="C686" s="304" t="s">
        <v>1309</v>
      </c>
      <c r="D686" s="304" t="s">
        <v>1310</v>
      </c>
      <c r="E686" s="304" t="s">
        <v>1311</v>
      </c>
      <c r="F686" s="304" t="s">
        <v>1312</v>
      </c>
      <c r="G686" s="1111">
        <v>11946</v>
      </c>
      <c r="H686" s="1110" t="s">
        <v>3506</v>
      </c>
      <c r="I686" s="304" t="s">
        <v>1313</v>
      </c>
      <c r="J686" s="304" t="s">
        <v>1314</v>
      </c>
    </row>
    <row r="687" spans="1:10" ht="25.5">
      <c r="A687" s="347">
        <v>766</v>
      </c>
      <c r="B687" s="304" t="s">
        <v>1035</v>
      </c>
      <c r="C687" s="304" t="s">
        <v>5408</v>
      </c>
      <c r="D687" s="304" t="s">
        <v>5409</v>
      </c>
      <c r="E687" s="304"/>
      <c r="F687" s="304" t="s">
        <v>82</v>
      </c>
      <c r="I687" s="304" t="s">
        <v>83</v>
      </c>
      <c r="J687" s="304" t="s">
        <v>1742</v>
      </c>
    </row>
    <row r="688" spans="1:10" ht="25.5">
      <c r="A688" s="347">
        <v>767</v>
      </c>
      <c r="B688" s="304" t="s">
        <v>2261</v>
      </c>
      <c r="C688" s="304" t="s">
        <v>2262</v>
      </c>
      <c r="D688" s="304" t="s">
        <v>2263</v>
      </c>
      <c r="E688" s="304"/>
      <c r="F688" s="304" t="s">
        <v>93</v>
      </c>
      <c r="G688" s="1111">
        <v>14059</v>
      </c>
      <c r="H688" s="1110" t="s">
        <v>6371</v>
      </c>
      <c r="I688" s="304" t="s">
        <v>94</v>
      </c>
      <c r="J688" s="304" t="s">
        <v>1919</v>
      </c>
    </row>
    <row r="689" spans="1:10">
      <c r="A689" s="347">
        <v>768</v>
      </c>
      <c r="B689" s="304" t="s">
        <v>6174</v>
      </c>
      <c r="C689" s="304" t="s">
        <v>1303</v>
      </c>
      <c r="D689" s="304" t="s">
        <v>1304</v>
      </c>
      <c r="E689" s="304"/>
      <c r="F689" s="304" t="s">
        <v>1305</v>
      </c>
      <c r="G689" s="1111">
        <v>11602</v>
      </c>
      <c r="H689" s="1110" t="s">
        <v>6288</v>
      </c>
      <c r="I689" s="304" t="s">
        <v>1306</v>
      </c>
      <c r="J689" s="304" t="s">
        <v>1307</v>
      </c>
    </row>
    <row r="690" spans="1:10" ht="25.5">
      <c r="A690" s="347">
        <v>769</v>
      </c>
      <c r="B690" s="304" t="s">
        <v>1894</v>
      </c>
      <c r="C690" s="304" t="s">
        <v>1895</v>
      </c>
      <c r="D690" s="304" t="s">
        <v>1896</v>
      </c>
      <c r="E690" s="304" t="s">
        <v>2538</v>
      </c>
      <c r="F690" s="304" t="s">
        <v>2539</v>
      </c>
      <c r="G690" s="1111">
        <v>14059</v>
      </c>
      <c r="H690" s="1110" t="s">
        <v>6371</v>
      </c>
      <c r="I690" s="304" t="s">
        <v>2540</v>
      </c>
      <c r="J690" s="304" t="s">
        <v>2541</v>
      </c>
    </row>
    <row r="691" spans="1:10" ht="25.5">
      <c r="A691" s="347">
        <v>770</v>
      </c>
      <c r="B691" s="304" t="s">
        <v>1746</v>
      </c>
      <c r="C691" s="304" t="s">
        <v>1747</v>
      </c>
      <c r="D691" s="304" t="s">
        <v>1748</v>
      </c>
      <c r="E691" s="304" t="s">
        <v>1749</v>
      </c>
      <c r="F691" s="304" t="s">
        <v>1750</v>
      </c>
      <c r="G691" s="1111">
        <v>14298</v>
      </c>
      <c r="H691" s="1110" t="s">
        <v>4785</v>
      </c>
      <c r="I691" s="304" t="s">
        <v>1751</v>
      </c>
      <c r="J691" s="304" t="s">
        <v>1752</v>
      </c>
    </row>
    <row r="692" spans="1:10">
      <c r="A692" s="347">
        <v>771</v>
      </c>
      <c r="B692" s="304" t="s">
        <v>4273</v>
      </c>
      <c r="D692" s="304" t="s">
        <v>4274</v>
      </c>
      <c r="E692" s="304"/>
      <c r="F692" s="304" t="s">
        <v>4275</v>
      </c>
      <c r="G692" s="1111">
        <v>210296</v>
      </c>
      <c r="H692" s="1110" t="s">
        <v>853</v>
      </c>
      <c r="I692" s="304" t="s">
        <v>4276</v>
      </c>
      <c r="J692" s="304" t="s">
        <v>4277</v>
      </c>
    </row>
    <row r="693" spans="1:10">
      <c r="A693" s="347">
        <v>772</v>
      </c>
      <c r="B693" s="304" t="s">
        <v>5509</v>
      </c>
      <c r="C693" s="304" t="s">
        <v>5510</v>
      </c>
      <c r="D693" s="304" t="s">
        <v>5511</v>
      </c>
      <c r="E693" s="304"/>
      <c r="F693" s="304" t="s">
        <v>3260</v>
      </c>
      <c r="G693" s="1111">
        <v>13831</v>
      </c>
      <c r="H693" s="1110" t="s">
        <v>5653</v>
      </c>
      <c r="I693" s="304" t="s">
        <v>5512</v>
      </c>
      <c r="J693" s="304" t="s">
        <v>5513</v>
      </c>
    </row>
    <row r="694" spans="1:10" ht="25.5">
      <c r="A694" s="347">
        <v>773</v>
      </c>
      <c r="B694" s="304" t="s">
        <v>3429</v>
      </c>
      <c r="C694" s="304" t="s">
        <v>3430</v>
      </c>
      <c r="D694" s="304" t="s">
        <v>3431</v>
      </c>
      <c r="E694" s="304"/>
      <c r="F694" s="304" t="s">
        <v>3432</v>
      </c>
      <c r="G694" s="1111">
        <v>14059</v>
      </c>
      <c r="H694" s="1110" t="s">
        <v>6371</v>
      </c>
      <c r="I694" s="304" t="s">
        <v>3433</v>
      </c>
      <c r="J694" s="304" t="s">
        <v>4060</v>
      </c>
    </row>
    <row r="695" spans="1:10" ht="25.5">
      <c r="A695" s="347">
        <v>774</v>
      </c>
      <c r="B695" s="304" t="s">
        <v>3856</v>
      </c>
      <c r="C695" s="304" t="s">
        <v>6019</v>
      </c>
      <c r="D695" s="304" t="s">
        <v>6020</v>
      </c>
      <c r="E695" s="304" t="s">
        <v>6023</v>
      </c>
      <c r="F695" s="304" t="s">
        <v>6020</v>
      </c>
      <c r="G695" s="1111">
        <v>14059</v>
      </c>
      <c r="H695" s="1110" t="s">
        <v>6371</v>
      </c>
      <c r="I695" s="304" t="s">
        <v>6021</v>
      </c>
      <c r="J695" s="304" t="s">
        <v>6022</v>
      </c>
    </row>
    <row r="696" spans="1:10">
      <c r="A696" s="347">
        <v>775</v>
      </c>
      <c r="B696" s="304" t="s">
        <v>722</v>
      </c>
      <c r="C696" s="304" t="s">
        <v>723</v>
      </c>
      <c r="D696" s="304" t="s">
        <v>724</v>
      </c>
      <c r="E696" s="304" t="s">
        <v>725</v>
      </c>
      <c r="F696" s="304" t="s">
        <v>726</v>
      </c>
      <c r="G696" s="1111">
        <v>11581</v>
      </c>
      <c r="H696" s="1110" t="s">
        <v>5245</v>
      </c>
      <c r="I696" s="304" t="s">
        <v>727</v>
      </c>
      <c r="J696" s="304" t="s">
        <v>728</v>
      </c>
    </row>
    <row r="697" spans="1:10">
      <c r="A697" s="347">
        <v>776</v>
      </c>
      <c r="B697" s="304" t="s">
        <v>3223</v>
      </c>
      <c r="C697" s="304" t="s">
        <v>3224</v>
      </c>
      <c r="D697" s="304" t="s">
        <v>3225</v>
      </c>
      <c r="E697" s="304" t="s">
        <v>3226</v>
      </c>
      <c r="F697" s="304" t="s">
        <v>4823</v>
      </c>
      <c r="G697" s="1111">
        <v>14298</v>
      </c>
      <c r="H697" s="1110" t="s">
        <v>4785</v>
      </c>
      <c r="I697" s="304" t="s">
        <v>3227</v>
      </c>
      <c r="J697" s="304" t="s">
        <v>3228</v>
      </c>
    </row>
    <row r="698" spans="1:10">
      <c r="A698" s="347">
        <v>777</v>
      </c>
      <c r="B698" s="304" t="s">
        <v>551</v>
      </c>
      <c r="C698" s="304" t="s">
        <v>552</v>
      </c>
      <c r="D698" s="304" t="s">
        <v>553</v>
      </c>
      <c r="E698" s="304"/>
      <c r="F698" s="304" t="s">
        <v>554</v>
      </c>
      <c r="G698" s="1111">
        <v>11602</v>
      </c>
      <c r="H698" s="1110" t="s">
        <v>6288</v>
      </c>
      <c r="I698" s="304" t="s">
        <v>555</v>
      </c>
      <c r="J698" s="304" t="s">
        <v>556</v>
      </c>
    </row>
    <row r="699" spans="1:10">
      <c r="A699" s="347">
        <v>778</v>
      </c>
      <c r="B699" s="304" t="s">
        <v>4944</v>
      </c>
      <c r="C699" s="304" t="s">
        <v>4945</v>
      </c>
      <c r="D699" s="304" t="s">
        <v>4946</v>
      </c>
      <c r="E699" s="304"/>
      <c r="F699" s="304" t="s">
        <v>4947</v>
      </c>
      <c r="G699" s="1111">
        <v>11602</v>
      </c>
      <c r="H699" s="1110" t="s">
        <v>6288</v>
      </c>
      <c r="I699" s="304" t="s">
        <v>4948</v>
      </c>
      <c r="J699" s="304" t="s">
        <v>4949</v>
      </c>
    </row>
    <row r="700" spans="1:10" ht="25.5">
      <c r="A700" s="347">
        <v>780</v>
      </c>
      <c r="B700" s="304" t="s">
        <v>4772</v>
      </c>
      <c r="C700" s="304" t="s">
        <v>4773</v>
      </c>
      <c r="D700" s="304" t="s">
        <v>4774</v>
      </c>
      <c r="E700" s="304"/>
      <c r="F700" s="304" t="s">
        <v>4775</v>
      </c>
      <c r="G700" s="1111">
        <v>11468</v>
      </c>
      <c r="H700" s="1110" t="s">
        <v>3885</v>
      </c>
      <c r="I700" s="304" t="s">
        <v>4776</v>
      </c>
      <c r="J700" s="304" t="s">
        <v>6278</v>
      </c>
    </row>
    <row r="701" spans="1:10" ht="25.5">
      <c r="A701" s="347">
        <v>781</v>
      </c>
      <c r="B701" s="304" t="s">
        <v>1037</v>
      </c>
      <c r="C701" s="304" t="s">
        <v>4903</v>
      </c>
      <c r="D701" s="304" t="s">
        <v>1038</v>
      </c>
      <c r="E701" s="304" t="s">
        <v>1039</v>
      </c>
      <c r="F701" s="304" t="s">
        <v>1040</v>
      </c>
      <c r="G701" s="1111">
        <v>14059</v>
      </c>
      <c r="H701" s="1110" t="s">
        <v>6371</v>
      </c>
      <c r="I701" s="304" t="s">
        <v>4904</v>
      </c>
      <c r="J701" s="304" t="s">
        <v>1041</v>
      </c>
    </row>
    <row r="702" spans="1:10" ht="25.5">
      <c r="A702" s="347">
        <v>782</v>
      </c>
      <c r="B702" s="304" t="s">
        <v>1552</v>
      </c>
      <c r="C702" s="304" t="s">
        <v>1553</v>
      </c>
      <c r="D702" s="304" t="s">
        <v>1554</v>
      </c>
      <c r="E702" s="304" t="s">
        <v>1558</v>
      </c>
      <c r="F702" s="304" t="s">
        <v>1555</v>
      </c>
      <c r="G702" s="1111">
        <v>14298</v>
      </c>
      <c r="H702" s="1110" t="s">
        <v>4785</v>
      </c>
      <c r="I702" s="304" t="s">
        <v>1556</v>
      </c>
      <c r="J702" s="304" t="s">
        <v>1557</v>
      </c>
    </row>
    <row r="703" spans="1:10" ht="25.5">
      <c r="A703" s="347">
        <v>783</v>
      </c>
      <c r="B703" s="304" t="s">
        <v>4364</v>
      </c>
      <c r="C703" s="304" t="s">
        <v>4365</v>
      </c>
      <c r="D703" s="304" t="s">
        <v>4366</v>
      </c>
      <c r="E703" s="304" t="s">
        <v>1342</v>
      </c>
      <c r="F703" s="304" t="s">
        <v>4574</v>
      </c>
      <c r="G703" s="1111">
        <v>13831</v>
      </c>
      <c r="H703" s="1110" t="s">
        <v>5653</v>
      </c>
      <c r="I703" s="304" t="s">
        <v>4575</v>
      </c>
      <c r="J703" s="304" t="s">
        <v>4576</v>
      </c>
    </row>
    <row r="704" spans="1:10">
      <c r="A704" s="347">
        <v>784</v>
      </c>
      <c r="B704" s="304" t="s">
        <v>2298</v>
      </c>
      <c r="C704" s="304" t="s">
        <v>2299</v>
      </c>
      <c r="D704" s="304" t="s">
        <v>2300</v>
      </c>
      <c r="E704" s="304" t="s">
        <v>2301</v>
      </c>
      <c r="F704" s="304" t="s">
        <v>2302</v>
      </c>
      <c r="G704" s="1111">
        <v>14059</v>
      </c>
      <c r="H704" s="1110" t="s">
        <v>6371</v>
      </c>
      <c r="I704" s="304" t="s">
        <v>2303</v>
      </c>
      <c r="J704" s="304" t="s">
        <v>2304</v>
      </c>
    </row>
    <row r="705" spans="1:10">
      <c r="A705" s="347">
        <v>785</v>
      </c>
      <c r="B705" s="304" t="s">
        <v>162</v>
      </c>
      <c r="C705" s="304" t="s">
        <v>552</v>
      </c>
      <c r="D705" s="304" t="s">
        <v>553</v>
      </c>
      <c r="E705" s="304" t="s">
        <v>163</v>
      </c>
      <c r="F705" s="304" t="s">
        <v>554</v>
      </c>
      <c r="G705" s="1111">
        <v>209803</v>
      </c>
      <c r="H705" s="1110" t="s">
        <v>2613</v>
      </c>
      <c r="I705" s="304" t="s">
        <v>555</v>
      </c>
      <c r="J705" s="304" t="s">
        <v>556</v>
      </c>
    </row>
    <row r="706" spans="1:10">
      <c r="A706" s="347">
        <v>786</v>
      </c>
      <c r="B706" s="304" t="s">
        <v>3672</v>
      </c>
      <c r="C706" s="304" t="s">
        <v>3673</v>
      </c>
      <c r="D706" s="304" t="s">
        <v>3200</v>
      </c>
      <c r="E706" s="304" t="s">
        <v>1659</v>
      </c>
      <c r="F706" s="304" t="s">
        <v>3674</v>
      </c>
      <c r="G706" s="1111">
        <v>210365</v>
      </c>
      <c r="H706" s="1110" t="s">
        <v>3675</v>
      </c>
      <c r="I706" s="304" t="s">
        <v>3676</v>
      </c>
      <c r="J706" s="304" t="s">
        <v>3677</v>
      </c>
    </row>
    <row r="707" spans="1:10" ht="25.5">
      <c r="A707" s="347">
        <v>787</v>
      </c>
      <c r="B707" s="304" t="s">
        <v>4883</v>
      </c>
      <c r="C707" s="304" t="s">
        <v>4884</v>
      </c>
      <c r="D707" s="304" t="s">
        <v>4885</v>
      </c>
      <c r="E707" s="304" t="s">
        <v>4886</v>
      </c>
      <c r="F707" s="304" t="s">
        <v>4887</v>
      </c>
      <c r="G707" s="1111">
        <v>14059</v>
      </c>
      <c r="H707" s="1110" t="s">
        <v>6371</v>
      </c>
      <c r="I707" s="304" t="s">
        <v>2433</v>
      </c>
      <c r="J707" s="304" t="s">
        <v>2434</v>
      </c>
    </row>
    <row r="708" spans="1:10" ht="25.5">
      <c r="A708" s="347">
        <v>788</v>
      </c>
      <c r="B708" s="304" t="s">
        <v>1042</v>
      </c>
      <c r="C708" s="304" t="s">
        <v>3456</v>
      </c>
      <c r="D708" s="304" t="s">
        <v>3457</v>
      </c>
      <c r="E708" s="304"/>
      <c r="F708" s="304" t="s">
        <v>3458</v>
      </c>
      <c r="G708" s="1111">
        <v>14059</v>
      </c>
      <c r="H708" s="1110" t="s">
        <v>6371</v>
      </c>
      <c r="I708" s="304" t="s">
        <v>3459</v>
      </c>
      <c r="J708" s="304" t="s">
        <v>3460</v>
      </c>
    </row>
    <row r="709" spans="1:10" ht="38.25">
      <c r="A709" s="347">
        <v>791</v>
      </c>
      <c r="B709" s="304" t="s">
        <v>2172</v>
      </c>
      <c r="C709" s="304" t="s">
        <v>4373</v>
      </c>
      <c r="D709" s="304" t="b">
        <v>0</v>
      </c>
      <c r="E709" s="304" t="s">
        <v>1569</v>
      </c>
      <c r="F709" s="304" t="s">
        <v>5619</v>
      </c>
      <c r="G709" s="1111">
        <v>14298</v>
      </c>
      <c r="H709" s="1110" t="s">
        <v>4785</v>
      </c>
      <c r="I709" s="304" t="s">
        <v>5620</v>
      </c>
      <c r="J709" s="304" t="s">
        <v>5621</v>
      </c>
    </row>
    <row r="710" spans="1:10">
      <c r="A710" s="347">
        <v>792</v>
      </c>
      <c r="B710" s="304" t="s">
        <v>2155</v>
      </c>
      <c r="C710" s="304" t="s">
        <v>2156</v>
      </c>
      <c r="D710" s="304" t="s">
        <v>3341</v>
      </c>
      <c r="E710" s="304" t="s">
        <v>3345</v>
      </c>
      <c r="F710" s="304" t="s">
        <v>3342</v>
      </c>
      <c r="G710" s="1111">
        <v>13831</v>
      </c>
      <c r="H710" s="1110" t="s">
        <v>5653</v>
      </c>
      <c r="I710" s="304" t="s">
        <v>3343</v>
      </c>
      <c r="J710" s="304" t="s">
        <v>3344</v>
      </c>
    </row>
    <row r="711" spans="1:10">
      <c r="A711" s="347">
        <v>793</v>
      </c>
      <c r="B711" s="304" t="s">
        <v>38</v>
      </c>
      <c r="C711" s="304" t="s">
        <v>4929</v>
      </c>
      <c r="D711" s="304" t="s">
        <v>4930</v>
      </c>
      <c r="E711" s="304"/>
      <c r="F711" s="304" t="s">
        <v>4931</v>
      </c>
      <c r="G711" s="1111">
        <v>14973</v>
      </c>
      <c r="H711" s="1110" t="s">
        <v>3806</v>
      </c>
      <c r="I711" s="304" t="s">
        <v>4932</v>
      </c>
      <c r="J711" s="304" t="s">
        <v>3838</v>
      </c>
    </row>
    <row r="712" spans="1:10" ht="25.5">
      <c r="A712" s="347">
        <v>794</v>
      </c>
      <c r="B712" s="304" t="s">
        <v>1107</v>
      </c>
      <c r="C712" s="304" t="s">
        <v>1108</v>
      </c>
      <c r="D712" s="304" t="s">
        <v>1109</v>
      </c>
      <c r="E712" s="304" t="s">
        <v>1110</v>
      </c>
      <c r="F712" s="304" t="s">
        <v>1111</v>
      </c>
      <c r="G712" s="1111">
        <v>14059</v>
      </c>
      <c r="H712" s="1110" t="s">
        <v>6371</v>
      </c>
      <c r="I712" s="304" t="s">
        <v>1112</v>
      </c>
      <c r="J712" s="304" t="s">
        <v>1113</v>
      </c>
    </row>
    <row r="713" spans="1:10">
      <c r="A713" s="347">
        <v>795</v>
      </c>
      <c r="B713" s="304" t="s">
        <v>2517</v>
      </c>
      <c r="C713" s="304" t="s">
        <v>4478</v>
      </c>
      <c r="D713" s="304" t="s">
        <v>1382</v>
      </c>
      <c r="E713" s="304"/>
      <c r="F713" s="304" t="s">
        <v>1383</v>
      </c>
      <c r="G713" s="1111">
        <v>210522</v>
      </c>
      <c r="H713" s="1110" t="s">
        <v>1134</v>
      </c>
      <c r="I713" s="304" t="s">
        <v>4479</v>
      </c>
      <c r="J713" s="304" t="s">
        <v>2057</v>
      </c>
    </row>
    <row r="714" spans="1:10" ht="25.5">
      <c r="A714" s="347">
        <v>796</v>
      </c>
      <c r="B714" s="304" t="s">
        <v>4669</v>
      </c>
      <c r="C714" s="304" t="s">
        <v>4670</v>
      </c>
      <c r="D714" s="304" t="s">
        <v>4671</v>
      </c>
      <c r="E714" s="304" t="s">
        <v>4672</v>
      </c>
      <c r="F714" s="304" t="s">
        <v>5159</v>
      </c>
      <c r="G714" s="1111">
        <v>14059</v>
      </c>
      <c r="H714" s="1110" t="s">
        <v>6371</v>
      </c>
      <c r="I714" s="304" t="s">
        <v>5160</v>
      </c>
      <c r="J714" s="304" t="s">
        <v>5161</v>
      </c>
    </row>
    <row r="715" spans="1:10" ht="25.5">
      <c r="A715" s="347">
        <v>797</v>
      </c>
      <c r="B715" s="304" t="s">
        <v>3943</v>
      </c>
      <c r="C715" s="304" t="s">
        <v>3944</v>
      </c>
      <c r="D715" s="304" t="s">
        <v>3945</v>
      </c>
      <c r="E715" s="304" t="s">
        <v>3946</v>
      </c>
      <c r="F715" s="304" t="s">
        <v>3947</v>
      </c>
      <c r="G715" s="1111">
        <v>13831</v>
      </c>
      <c r="H715" s="1110" t="s">
        <v>5653</v>
      </c>
      <c r="I715" s="304" t="s">
        <v>3948</v>
      </c>
      <c r="J715" s="304" t="s">
        <v>3949</v>
      </c>
    </row>
    <row r="716" spans="1:10">
      <c r="A716" s="347">
        <v>798</v>
      </c>
      <c r="B716" s="304" t="s">
        <v>2746</v>
      </c>
      <c r="C716" s="304" t="s">
        <v>2747</v>
      </c>
      <c r="D716" s="304" t="s">
        <v>2748</v>
      </c>
      <c r="E716" s="304"/>
      <c r="F716" s="304" t="s">
        <v>131</v>
      </c>
      <c r="G716" s="1111">
        <v>13831</v>
      </c>
      <c r="H716" s="1110" t="s">
        <v>5653</v>
      </c>
      <c r="I716" s="304" t="s">
        <v>132</v>
      </c>
      <c r="J716" s="304" t="s">
        <v>133</v>
      </c>
    </row>
    <row r="717" spans="1:10">
      <c r="A717" s="347">
        <v>799</v>
      </c>
      <c r="B717" s="304" t="s">
        <v>4539</v>
      </c>
      <c r="C717" s="304" t="s">
        <v>4540</v>
      </c>
      <c r="D717" s="304" t="s">
        <v>4541</v>
      </c>
      <c r="E717" s="304" t="s">
        <v>4542</v>
      </c>
      <c r="F717" s="304" t="s">
        <v>4543</v>
      </c>
      <c r="G717" s="1111">
        <v>11602</v>
      </c>
      <c r="H717" s="1110" t="s">
        <v>6288</v>
      </c>
      <c r="I717" s="304" t="s">
        <v>404</v>
      </c>
      <c r="J717" s="304" t="s">
        <v>1259</v>
      </c>
    </row>
    <row r="718" spans="1:10" ht="25.5">
      <c r="A718" s="347">
        <v>800</v>
      </c>
      <c r="B718" s="304" t="s">
        <v>834</v>
      </c>
      <c r="C718" s="304" t="s">
        <v>3063</v>
      </c>
      <c r="D718" s="304" t="s">
        <v>3064</v>
      </c>
      <c r="E718" s="304" t="s">
        <v>3065</v>
      </c>
      <c r="F718" s="304" t="s">
        <v>3066</v>
      </c>
      <c r="G718" s="1111">
        <v>14059</v>
      </c>
      <c r="H718" s="1110" t="s">
        <v>6371</v>
      </c>
      <c r="I718" s="304" t="s">
        <v>3067</v>
      </c>
      <c r="J718" s="304" t="s">
        <v>3068</v>
      </c>
    </row>
    <row r="719" spans="1:10" ht="25.5">
      <c r="A719" s="347">
        <v>801</v>
      </c>
      <c r="B719" s="304" t="s">
        <v>2112</v>
      </c>
      <c r="C719" s="304" t="s">
        <v>2113</v>
      </c>
      <c r="D719" s="304" t="s">
        <v>2114</v>
      </c>
      <c r="E719" s="304" t="s">
        <v>2115</v>
      </c>
      <c r="F719" s="304" t="s">
        <v>2116</v>
      </c>
      <c r="G719" s="1111">
        <v>14059</v>
      </c>
      <c r="H719" s="1110" t="s">
        <v>6371</v>
      </c>
      <c r="I719" s="304" t="s">
        <v>2117</v>
      </c>
      <c r="J719" s="304" t="s">
        <v>2434</v>
      </c>
    </row>
    <row r="720" spans="1:10" ht="25.5">
      <c r="A720" s="347">
        <v>802</v>
      </c>
      <c r="B720" s="304" t="s">
        <v>2044</v>
      </c>
      <c r="C720" s="304" t="s">
        <v>3749</v>
      </c>
      <c r="D720" s="304" t="s">
        <v>2045</v>
      </c>
      <c r="E720" s="304" t="s">
        <v>2046</v>
      </c>
      <c r="F720" s="304" t="s">
        <v>2047</v>
      </c>
      <c r="G720" s="1111">
        <v>11581</v>
      </c>
      <c r="H720" s="1110" t="s">
        <v>4513</v>
      </c>
      <c r="I720" s="304" t="s">
        <v>2048</v>
      </c>
      <c r="J720" s="304" t="s">
        <v>639</v>
      </c>
    </row>
    <row r="721" spans="1:10">
      <c r="A721" s="347">
        <v>803</v>
      </c>
      <c r="B721" s="304" t="s">
        <v>1095</v>
      </c>
      <c r="C721" s="304" t="s">
        <v>1096</v>
      </c>
      <c r="D721" s="304" t="s">
        <v>1097</v>
      </c>
      <c r="E721" s="304" t="s">
        <v>1098</v>
      </c>
      <c r="F721" s="304" t="s">
        <v>1099</v>
      </c>
      <c r="G721" s="1111">
        <v>14298</v>
      </c>
      <c r="H721" s="1110" t="s">
        <v>4785</v>
      </c>
      <c r="I721" s="304" t="s">
        <v>1100</v>
      </c>
      <c r="J721" s="304" t="s">
        <v>1101</v>
      </c>
    </row>
    <row r="722" spans="1:10" ht="25.5">
      <c r="A722" s="347">
        <v>804</v>
      </c>
      <c r="B722" s="304" t="s">
        <v>3597</v>
      </c>
      <c r="C722" s="304" t="s">
        <v>3598</v>
      </c>
      <c r="D722" s="304" t="s">
        <v>3599</v>
      </c>
      <c r="E722" s="304" t="s">
        <v>3600</v>
      </c>
      <c r="F722" s="304" t="s">
        <v>3601</v>
      </c>
      <c r="G722" s="1111">
        <v>14059</v>
      </c>
      <c r="H722" s="1110" t="s">
        <v>6371</v>
      </c>
      <c r="I722" s="304" t="s">
        <v>3602</v>
      </c>
      <c r="J722" s="304" t="s">
        <v>3603</v>
      </c>
    </row>
    <row r="723" spans="1:10">
      <c r="A723" s="347">
        <v>805</v>
      </c>
      <c r="B723" s="304" t="s">
        <v>4127</v>
      </c>
      <c r="C723" s="304" t="s">
        <v>4128</v>
      </c>
      <c r="D723" s="304" t="s">
        <v>4129</v>
      </c>
      <c r="E723" s="304" t="s">
        <v>4130</v>
      </c>
      <c r="F723" s="304" t="s">
        <v>4131</v>
      </c>
      <c r="G723" s="1111">
        <v>11602</v>
      </c>
      <c r="H723" s="1110" t="s">
        <v>6288</v>
      </c>
      <c r="I723" s="304" t="s">
        <v>5222</v>
      </c>
      <c r="J723" s="304" t="s">
        <v>5222</v>
      </c>
    </row>
    <row r="724" spans="1:10">
      <c r="A724" s="347">
        <v>807</v>
      </c>
      <c r="B724" s="304" t="s">
        <v>574</v>
      </c>
      <c r="C724" s="304" t="s">
        <v>457</v>
      </c>
      <c r="D724" s="304" t="s">
        <v>575</v>
      </c>
      <c r="E724" s="304"/>
      <c r="F724" s="304" t="s">
        <v>2047</v>
      </c>
      <c r="G724" s="1111">
        <v>11581</v>
      </c>
      <c r="H724" s="1110" t="s">
        <v>4513</v>
      </c>
      <c r="I724" s="304" t="s">
        <v>458</v>
      </c>
      <c r="J724" s="304" t="s">
        <v>459</v>
      </c>
    </row>
    <row r="725" spans="1:10" ht="25.5">
      <c r="A725" s="347">
        <v>808</v>
      </c>
      <c r="B725" s="304" t="s">
        <v>3265</v>
      </c>
      <c r="C725" s="304" t="s">
        <v>576</v>
      </c>
      <c r="D725" s="304" t="s">
        <v>577</v>
      </c>
      <c r="E725" s="304" t="s">
        <v>581</v>
      </c>
      <c r="F725" s="304" t="s">
        <v>578</v>
      </c>
      <c r="G725" s="1111">
        <v>11581</v>
      </c>
      <c r="H725" s="1110" t="s">
        <v>4513</v>
      </c>
      <c r="I725" s="304" t="s">
        <v>579</v>
      </c>
      <c r="J725" s="304" t="s">
        <v>580</v>
      </c>
    </row>
    <row r="726" spans="1:10">
      <c r="A726" s="347">
        <v>810</v>
      </c>
      <c r="B726" s="304" t="s">
        <v>5316</v>
      </c>
      <c r="C726" s="304" t="s">
        <v>5317</v>
      </c>
      <c r="D726" s="304" t="s">
        <v>5318</v>
      </c>
      <c r="E726" s="304"/>
      <c r="F726" s="304" t="s">
        <v>5257</v>
      </c>
      <c r="G726" s="1111">
        <v>11602</v>
      </c>
      <c r="H726" s="1110" t="s">
        <v>6288</v>
      </c>
      <c r="I726" s="304" t="s">
        <v>5258</v>
      </c>
      <c r="J726" s="304" t="s">
        <v>5259</v>
      </c>
    </row>
    <row r="727" spans="1:10" ht="25.5">
      <c r="A727" s="347">
        <v>811</v>
      </c>
      <c r="B727" s="304" t="s">
        <v>3553</v>
      </c>
      <c r="C727" s="304" t="s">
        <v>3554</v>
      </c>
      <c r="D727" s="304" t="s">
        <v>3555</v>
      </c>
      <c r="E727" s="304" t="s">
        <v>3556</v>
      </c>
      <c r="F727" s="304" t="s">
        <v>3557</v>
      </c>
      <c r="G727" s="1111" t="s">
        <v>3558</v>
      </c>
      <c r="H727" s="1110" t="s">
        <v>3559</v>
      </c>
      <c r="I727" s="304" t="s">
        <v>3560</v>
      </c>
      <c r="J727" s="304" t="s">
        <v>3561</v>
      </c>
    </row>
    <row r="728" spans="1:10" ht="25.5">
      <c r="A728" s="347">
        <v>813</v>
      </c>
      <c r="B728" s="304" t="s">
        <v>3553</v>
      </c>
      <c r="C728" s="304" t="s">
        <v>3554</v>
      </c>
      <c r="D728" s="304" t="s">
        <v>5880</v>
      </c>
      <c r="E728" s="304" t="s">
        <v>5881</v>
      </c>
      <c r="F728" s="304" t="s">
        <v>5884</v>
      </c>
      <c r="G728" s="1111" t="s">
        <v>5885</v>
      </c>
      <c r="H728" s="1110" t="s">
        <v>4708</v>
      </c>
      <c r="I728" s="304" t="s">
        <v>3560</v>
      </c>
      <c r="J728" s="304" t="s">
        <v>3561</v>
      </c>
    </row>
    <row r="729" spans="1:10" ht="25.5">
      <c r="A729" s="347">
        <v>814</v>
      </c>
      <c r="B729" s="304" t="s">
        <v>2421</v>
      </c>
      <c r="C729" s="304" t="s">
        <v>2422</v>
      </c>
      <c r="D729" s="304" t="s">
        <v>2423</v>
      </c>
      <c r="E729" s="304" t="s">
        <v>2424</v>
      </c>
      <c r="F729" s="304" t="s">
        <v>2425</v>
      </c>
      <c r="G729" s="1111">
        <v>14298</v>
      </c>
      <c r="H729" s="1110" t="s">
        <v>4785</v>
      </c>
      <c r="I729" s="304" t="s">
        <v>2426</v>
      </c>
      <c r="J729" s="304" t="s">
        <v>2427</v>
      </c>
    </row>
    <row r="730" spans="1:10" ht="25.5">
      <c r="A730" s="347">
        <v>815</v>
      </c>
      <c r="B730" s="304" t="s">
        <v>2222</v>
      </c>
      <c r="C730" s="304" t="s">
        <v>2223</v>
      </c>
      <c r="D730" s="304" t="s">
        <v>2224</v>
      </c>
      <c r="E730" s="304" t="s">
        <v>2225</v>
      </c>
      <c r="F730" s="304" t="s">
        <v>2226</v>
      </c>
      <c r="G730" s="1111">
        <v>14298</v>
      </c>
      <c r="H730" s="1110" t="s">
        <v>4785</v>
      </c>
      <c r="I730" s="304" t="s">
        <v>2227</v>
      </c>
      <c r="J730" s="304" t="s">
        <v>2228</v>
      </c>
    </row>
    <row r="731" spans="1:10">
      <c r="A731" s="347">
        <v>816</v>
      </c>
      <c r="B731" s="304" t="s">
        <v>1150</v>
      </c>
      <c r="C731" s="304" t="s">
        <v>1151</v>
      </c>
      <c r="D731" s="304" t="s">
        <v>1152</v>
      </c>
      <c r="E731" s="304" t="s">
        <v>1153</v>
      </c>
      <c r="F731" s="304" t="s">
        <v>1154</v>
      </c>
      <c r="G731" s="1111">
        <v>15512</v>
      </c>
      <c r="H731" s="1110" t="s">
        <v>5879</v>
      </c>
      <c r="I731" s="304" t="s">
        <v>1155</v>
      </c>
      <c r="J731" s="304" t="s">
        <v>1156</v>
      </c>
    </row>
    <row r="732" spans="1:10">
      <c r="A732" s="347">
        <v>817</v>
      </c>
      <c r="B732" s="304" t="s">
        <v>4037</v>
      </c>
      <c r="C732" s="304" t="s">
        <v>4038</v>
      </c>
      <c r="D732" s="304" t="s">
        <v>4039</v>
      </c>
      <c r="E732" s="304"/>
      <c r="F732" s="304" t="s">
        <v>4040</v>
      </c>
      <c r="G732" s="1111">
        <v>210296</v>
      </c>
      <c r="H732" s="1110" t="s">
        <v>5591</v>
      </c>
      <c r="I732" s="304" t="s">
        <v>4041</v>
      </c>
      <c r="J732" s="304" t="s">
        <v>4042</v>
      </c>
    </row>
    <row r="733" spans="1:10" ht="25.5">
      <c r="A733" s="347">
        <v>818</v>
      </c>
      <c r="B733" s="304" t="s">
        <v>2334</v>
      </c>
      <c r="C733" s="304" t="s">
        <v>2335</v>
      </c>
      <c r="D733" s="304"/>
      <c r="E733" s="304" t="s">
        <v>2336</v>
      </c>
      <c r="F733" s="304" t="s">
        <v>2337</v>
      </c>
      <c r="G733" s="1111">
        <v>11506</v>
      </c>
      <c r="H733" s="1110" t="s">
        <v>3384</v>
      </c>
      <c r="I733" s="304" t="s">
        <v>2338</v>
      </c>
      <c r="J733" s="304" t="s">
        <v>2339</v>
      </c>
    </row>
    <row r="734" spans="1:10">
      <c r="A734" s="347">
        <v>819</v>
      </c>
      <c r="B734" s="304" t="s">
        <v>3465</v>
      </c>
      <c r="C734" s="304" t="s">
        <v>1533</v>
      </c>
      <c r="D734" s="304" t="s">
        <v>3466</v>
      </c>
      <c r="E734" s="304"/>
      <c r="F734" s="304" t="s">
        <v>3467</v>
      </c>
      <c r="G734" s="1111">
        <v>210296</v>
      </c>
      <c r="H734" s="1110" t="s">
        <v>5591</v>
      </c>
      <c r="I734" s="304" t="s">
        <v>1534</v>
      </c>
      <c r="J734" s="304" t="s">
        <v>3468</v>
      </c>
    </row>
    <row r="735" spans="1:10">
      <c r="A735" s="347">
        <v>820</v>
      </c>
      <c r="B735" s="304" t="s">
        <v>38</v>
      </c>
      <c r="C735" s="304" t="s">
        <v>755</v>
      </c>
      <c r="D735" s="304" t="s">
        <v>756</v>
      </c>
      <c r="E735" s="304" t="s">
        <v>757</v>
      </c>
      <c r="F735" s="304" t="s">
        <v>758</v>
      </c>
      <c r="G735" s="1111">
        <v>209679</v>
      </c>
      <c r="H735" s="1110" t="s">
        <v>3272</v>
      </c>
      <c r="I735" s="304" t="s">
        <v>759</v>
      </c>
      <c r="J735" s="304" t="s">
        <v>760</v>
      </c>
    </row>
    <row r="736" spans="1:10">
      <c r="A736" s="347">
        <v>821</v>
      </c>
      <c r="B736" s="304" t="s">
        <v>2887</v>
      </c>
      <c r="C736" s="304" t="s">
        <v>2888</v>
      </c>
      <c r="D736" s="304" t="s">
        <v>2889</v>
      </c>
      <c r="E736" s="304"/>
      <c r="F736" s="304" t="s">
        <v>4823</v>
      </c>
      <c r="G736" s="1111">
        <v>14298</v>
      </c>
      <c r="H736" s="1110" t="s">
        <v>4785</v>
      </c>
      <c r="I736" s="304" t="s">
        <v>2890</v>
      </c>
      <c r="J736" s="304" t="s">
        <v>2891</v>
      </c>
    </row>
    <row r="737" spans="1:10">
      <c r="A737" s="347">
        <v>822</v>
      </c>
      <c r="B737" s="304" t="s">
        <v>6317</v>
      </c>
      <c r="C737" s="304" t="s">
        <v>6318</v>
      </c>
      <c r="D737" s="304" t="s">
        <v>6319</v>
      </c>
      <c r="E737" s="304"/>
      <c r="F737" s="304" t="s">
        <v>5828</v>
      </c>
      <c r="G737" s="1111">
        <v>210522</v>
      </c>
      <c r="H737" s="1110" t="s">
        <v>5829</v>
      </c>
      <c r="I737" s="304" t="s">
        <v>5830</v>
      </c>
      <c r="J737" s="304" t="s">
        <v>5831</v>
      </c>
    </row>
    <row r="738" spans="1:10">
      <c r="A738" s="347">
        <v>824</v>
      </c>
      <c r="B738" s="304" t="s">
        <v>2233</v>
      </c>
      <c r="C738" s="304" t="s">
        <v>2234</v>
      </c>
      <c r="D738" s="304" t="s">
        <v>2235</v>
      </c>
      <c r="E738" s="304" t="s">
        <v>2236</v>
      </c>
      <c r="F738" s="304" t="s">
        <v>2237</v>
      </c>
      <c r="G738" s="1111">
        <v>14973</v>
      </c>
      <c r="H738" s="1110" t="s">
        <v>1484</v>
      </c>
      <c r="I738" s="304" t="s">
        <v>2238</v>
      </c>
      <c r="J738" s="304" t="s">
        <v>2239</v>
      </c>
    </row>
    <row r="739" spans="1:10">
      <c r="A739" s="347">
        <v>826</v>
      </c>
      <c r="B739" s="304" t="s">
        <v>1842</v>
      </c>
      <c r="C739" s="304" t="s">
        <v>1843</v>
      </c>
      <c r="D739" s="304" t="s">
        <v>1844</v>
      </c>
      <c r="E739" s="304" t="s">
        <v>1845</v>
      </c>
      <c r="F739" s="304" t="s">
        <v>1846</v>
      </c>
      <c r="G739" s="1111">
        <v>11602</v>
      </c>
      <c r="H739" s="1110" t="s">
        <v>6288</v>
      </c>
      <c r="I739" s="304" t="s">
        <v>1847</v>
      </c>
      <c r="J739" s="304" t="s">
        <v>1848</v>
      </c>
    </row>
    <row r="740" spans="1:10">
      <c r="A740" s="347">
        <v>827</v>
      </c>
      <c r="B740" s="304" t="s">
        <v>1853</v>
      </c>
      <c r="C740" s="304" t="s">
        <v>3270</v>
      </c>
      <c r="D740" s="304" t="s">
        <v>5061</v>
      </c>
      <c r="E740" s="304"/>
      <c r="F740" s="304" t="s">
        <v>5062</v>
      </c>
      <c r="G740" s="1111">
        <v>210366</v>
      </c>
      <c r="H740" s="1110" t="s">
        <v>4922</v>
      </c>
      <c r="I740" s="304" t="s">
        <v>3271</v>
      </c>
      <c r="J740" s="304" t="s">
        <v>5044</v>
      </c>
    </row>
    <row r="741" spans="1:10">
      <c r="A741" s="347">
        <v>828</v>
      </c>
      <c r="B741" s="304" t="s">
        <v>5181</v>
      </c>
      <c r="C741" s="304" t="s">
        <v>5182</v>
      </c>
      <c r="D741" s="304" t="s">
        <v>5183</v>
      </c>
      <c r="E741" s="304"/>
      <c r="F741" s="304" t="s">
        <v>4724</v>
      </c>
      <c r="G741" s="1111">
        <v>11581</v>
      </c>
      <c r="H741" s="1110" t="s">
        <v>4725</v>
      </c>
      <c r="I741" s="304" t="s">
        <v>4726</v>
      </c>
    </row>
    <row r="742" spans="1:10" ht="25.5">
      <c r="A742" s="347">
        <v>829</v>
      </c>
      <c r="B742" s="304" t="s">
        <v>1048</v>
      </c>
      <c r="C742" s="304" t="s">
        <v>1049</v>
      </c>
      <c r="D742" s="304" t="s">
        <v>1050</v>
      </c>
      <c r="E742" s="304" t="s">
        <v>1051</v>
      </c>
      <c r="F742" s="304" t="s">
        <v>1052</v>
      </c>
      <c r="G742" s="1111">
        <v>14059</v>
      </c>
      <c r="H742" s="1110" t="s">
        <v>6371</v>
      </c>
      <c r="I742" s="304" t="s">
        <v>1053</v>
      </c>
      <c r="J742" s="304" t="s">
        <v>1054</v>
      </c>
    </row>
    <row r="743" spans="1:10">
      <c r="A743" s="347">
        <v>830</v>
      </c>
      <c r="B743" s="304" t="s">
        <v>6366</v>
      </c>
      <c r="C743" s="304" t="s">
        <v>6367</v>
      </c>
      <c r="D743" s="304" t="s">
        <v>6368</v>
      </c>
      <c r="E743" s="304"/>
      <c r="F743" s="304" t="s">
        <v>6369</v>
      </c>
      <c r="G743" s="1111">
        <v>11524</v>
      </c>
      <c r="H743" s="1110" t="s">
        <v>3130</v>
      </c>
      <c r="I743" s="304" t="s">
        <v>6370</v>
      </c>
      <c r="J743" s="304" t="s">
        <v>3356</v>
      </c>
    </row>
    <row r="744" spans="1:10" ht="25.5">
      <c r="A744" s="347">
        <v>831</v>
      </c>
      <c r="B744" s="304" t="s">
        <v>3201</v>
      </c>
      <c r="C744" s="304" t="s">
        <v>3202</v>
      </c>
      <c r="D744" s="304" t="s">
        <v>3203</v>
      </c>
      <c r="E744" s="304"/>
      <c r="F744" s="304" t="s">
        <v>3204</v>
      </c>
      <c r="G744" s="1111">
        <v>14059</v>
      </c>
      <c r="H744" s="1110" t="s">
        <v>6371</v>
      </c>
      <c r="I744" s="304" t="s">
        <v>3205</v>
      </c>
      <c r="J744" s="304" t="s">
        <v>3206</v>
      </c>
    </row>
    <row r="745" spans="1:10" ht="25.5">
      <c r="A745" s="347">
        <v>833</v>
      </c>
      <c r="B745" s="304" t="s">
        <v>227</v>
      </c>
      <c r="C745" s="304" t="s">
        <v>228</v>
      </c>
      <c r="D745" s="304" t="s">
        <v>229</v>
      </c>
      <c r="E745" s="304" t="s">
        <v>230</v>
      </c>
      <c r="F745" s="304" t="s">
        <v>231</v>
      </c>
      <c r="G745" s="1111">
        <v>14059</v>
      </c>
      <c r="H745" s="1110" t="s">
        <v>6371</v>
      </c>
      <c r="I745" s="304" t="s">
        <v>232</v>
      </c>
      <c r="J745" s="304" t="s">
        <v>233</v>
      </c>
    </row>
    <row r="746" spans="1:10">
      <c r="A746" s="347">
        <v>834</v>
      </c>
      <c r="B746" s="304" t="s">
        <v>5379</v>
      </c>
      <c r="C746" s="304" t="s">
        <v>5380</v>
      </c>
      <c r="D746" s="304" t="s">
        <v>5381</v>
      </c>
      <c r="E746" s="304"/>
      <c r="F746" s="304" t="s">
        <v>5382</v>
      </c>
      <c r="G746" s="1111">
        <v>11602</v>
      </c>
      <c r="H746" s="1110" t="s">
        <v>6288</v>
      </c>
      <c r="I746" s="304" t="s">
        <v>5383</v>
      </c>
      <c r="J746" s="304" t="s">
        <v>5384</v>
      </c>
    </row>
    <row r="747" spans="1:10">
      <c r="A747" s="347">
        <v>835</v>
      </c>
      <c r="B747" s="304" t="s">
        <v>4583</v>
      </c>
      <c r="C747" s="304" t="s">
        <v>4584</v>
      </c>
      <c r="D747" s="304" t="s">
        <v>4585</v>
      </c>
      <c r="E747" s="304" t="s">
        <v>5435</v>
      </c>
      <c r="F747" s="304" t="s">
        <v>4586</v>
      </c>
      <c r="G747" s="1111">
        <v>210366</v>
      </c>
      <c r="H747" s="1110" t="s">
        <v>5432</v>
      </c>
      <c r="I747" s="304" t="s">
        <v>5433</v>
      </c>
      <c r="J747" s="304" t="s">
        <v>5434</v>
      </c>
    </row>
    <row r="748" spans="1:10">
      <c r="A748" s="347">
        <v>836</v>
      </c>
      <c r="B748" s="304" t="s">
        <v>351</v>
      </c>
      <c r="C748" s="304" t="s">
        <v>352</v>
      </c>
      <c r="D748" s="304" t="s">
        <v>353</v>
      </c>
      <c r="E748" s="304" t="s">
        <v>2803</v>
      </c>
      <c r="F748" s="304" t="s">
        <v>2800</v>
      </c>
      <c r="G748" s="1111">
        <v>14298</v>
      </c>
      <c r="H748" s="1110" t="s">
        <v>4785</v>
      </c>
      <c r="I748" s="304" t="s">
        <v>2801</v>
      </c>
      <c r="J748" s="304" t="s">
        <v>2802</v>
      </c>
    </row>
    <row r="749" spans="1:10" ht="25.5">
      <c r="A749" s="347">
        <v>837</v>
      </c>
      <c r="B749" s="304" t="s">
        <v>2473</v>
      </c>
      <c r="C749" s="304" t="s">
        <v>2474</v>
      </c>
      <c r="D749" s="304" t="s">
        <v>2475</v>
      </c>
      <c r="E749" s="304" t="s">
        <v>2476</v>
      </c>
      <c r="F749" s="304" t="s">
        <v>2477</v>
      </c>
      <c r="G749" s="1111">
        <v>210365</v>
      </c>
      <c r="H749" s="1110" t="s">
        <v>2478</v>
      </c>
      <c r="I749" s="304" t="s">
        <v>2479</v>
      </c>
      <c r="J749" s="304" t="s">
        <v>4913</v>
      </c>
    </row>
    <row r="750" spans="1:10">
      <c r="A750" s="347">
        <v>838</v>
      </c>
      <c r="B750" s="304" t="s">
        <v>3145</v>
      </c>
      <c r="C750" s="304" t="s">
        <v>3146</v>
      </c>
      <c r="D750" s="304" t="s">
        <v>3147</v>
      </c>
      <c r="E750" s="304"/>
      <c r="F750" s="304" t="s">
        <v>3148</v>
      </c>
      <c r="G750" s="1111">
        <v>11581</v>
      </c>
      <c r="H750" s="1110" t="s">
        <v>5245</v>
      </c>
      <c r="I750" s="304" t="s">
        <v>3149</v>
      </c>
      <c r="J750" s="304" t="s">
        <v>3150</v>
      </c>
    </row>
    <row r="751" spans="1:10" ht="25.5">
      <c r="A751" s="347">
        <v>839</v>
      </c>
      <c r="B751" s="304" t="s">
        <v>354</v>
      </c>
      <c r="C751" s="304" t="s">
        <v>355</v>
      </c>
      <c r="D751" s="304" t="s">
        <v>356</v>
      </c>
      <c r="E751" s="304" t="s">
        <v>3629</v>
      </c>
      <c r="F751" s="304" t="s">
        <v>357</v>
      </c>
      <c r="G751" s="1111">
        <v>14059</v>
      </c>
      <c r="H751" s="1110" t="s">
        <v>6371</v>
      </c>
      <c r="I751" s="304" t="s">
        <v>358</v>
      </c>
      <c r="J751" s="304" t="s">
        <v>359</v>
      </c>
    </row>
    <row r="752" spans="1:10" ht="25.5">
      <c r="A752" s="347">
        <v>1000</v>
      </c>
      <c r="B752" s="304" t="s">
        <v>2941</v>
      </c>
      <c r="C752" s="304" t="s">
        <v>2942</v>
      </c>
      <c r="D752" s="304" t="s">
        <v>2943</v>
      </c>
      <c r="E752" s="304" t="s">
        <v>2447</v>
      </c>
      <c r="F752" s="304" t="s">
        <v>1719</v>
      </c>
      <c r="G752" s="1111">
        <v>14059</v>
      </c>
      <c r="H752" s="1110" t="s">
        <v>6371</v>
      </c>
      <c r="I752" s="304" t="s">
        <v>1720</v>
      </c>
      <c r="J752" s="304" t="s">
        <v>5132</v>
      </c>
    </row>
    <row r="753" spans="1:10">
      <c r="A753" s="347">
        <v>1001</v>
      </c>
      <c r="B753" s="304" t="s">
        <v>3060</v>
      </c>
      <c r="C753" s="304" t="s">
        <v>2513</v>
      </c>
      <c r="D753" s="304" t="s">
        <v>5415</v>
      </c>
      <c r="E753" s="304" t="s">
        <v>3826</v>
      </c>
      <c r="F753" s="304" t="s">
        <v>4656</v>
      </c>
      <c r="H753" s="1110" t="s">
        <v>1179</v>
      </c>
      <c r="I753" s="304" t="s">
        <v>4657</v>
      </c>
      <c r="J753" s="304" t="s">
        <v>2983</v>
      </c>
    </row>
    <row r="754" spans="1:10" ht="38.25">
      <c r="A754" s="347">
        <v>1002</v>
      </c>
      <c r="B754" s="304" t="s">
        <v>4997</v>
      </c>
      <c r="C754" s="304" t="s">
        <v>4998</v>
      </c>
      <c r="D754" s="304" t="s">
        <v>4999</v>
      </c>
      <c r="E754" s="304"/>
      <c r="F754" s="304" t="s">
        <v>5000</v>
      </c>
      <c r="I754" s="304" t="s">
        <v>5001</v>
      </c>
    </row>
    <row r="755" spans="1:10">
      <c r="A755" s="347">
        <v>1500</v>
      </c>
      <c r="B755" s="304" t="s">
        <v>327</v>
      </c>
      <c r="C755" s="304" t="s">
        <v>328</v>
      </c>
      <c r="D755" s="304" t="s">
        <v>213</v>
      </c>
      <c r="E755" s="304" t="s">
        <v>214</v>
      </c>
      <c r="F755" s="304" t="s">
        <v>1628</v>
      </c>
      <c r="I755" s="304" t="s">
        <v>1629</v>
      </c>
      <c r="J755" s="304" t="s">
        <v>1630</v>
      </c>
    </row>
    <row r="756" spans="1:10">
      <c r="A756" s="347">
        <v>1501</v>
      </c>
      <c r="B756" s="304" t="s">
        <v>4210</v>
      </c>
      <c r="C756" s="304" t="s">
        <v>1478</v>
      </c>
      <c r="D756" s="304" t="s">
        <v>3981</v>
      </c>
      <c r="E756" s="304"/>
      <c r="F756" s="304" t="s">
        <v>3982</v>
      </c>
      <c r="G756" s="1111">
        <v>210296</v>
      </c>
      <c r="H756" s="1110" t="s">
        <v>5591</v>
      </c>
      <c r="I756" s="304" t="s">
        <v>4449</v>
      </c>
    </row>
    <row r="757" spans="1:10">
      <c r="A757" s="347">
        <v>1502</v>
      </c>
      <c r="B757" s="304" t="s">
        <v>2429</v>
      </c>
      <c r="C757" s="304" t="s">
        <v>2430</v>
      </c>
      <c r="D757" s="304" t="s">
        <v>2431</v>
      </c>
      <c r="E757" s="304"/>
      <c r="F757" s="304" t="s">
        <v>5566</v>
      </c>
      <c r="G757" s="1111">
        <v>11690</v>
      </c>
      <c r="H757" s="1110" t="s">
        <v>2432</v>
      </c>
      <c r="J757" s="304" t="s">
        <v>5901</v>
      </c>
    </row>
    <row r="758" spans="1:10">
      <c r="A758" s="347">
        <v>2000</v>
      </c>
      <c r="B758" s="304" t="s">
        <v>2912</v>
      </c>
      <c r="C758" s="304" t="s">
        <v>1179</v>
      </c>
      <c r="D758" s="304" t="s">
        <v>2913</v>
      </c>
      <c r="E758" s="304"/>
      <c r="F758" s="304" t="s">
        <v>2914</v>
      </c>
      <c r="I758" s="304" t="s">
        <v>2915</v>
      </c>
      <c r="J758" s="304" t="s">
        <v>4805</v>
      </c>
    </row>
    <row r="759" spans="1:10">
      <c r="A759" s="347">
        <v>2001</v>
      </c>
      <c r="B759" s="304" t="s">
        <v>3863</v>
      </c>
      <c r="C759" s="304" t="s">
        <v>2480</v>
      </c>
      <c r="D759" s="304" t="s">
        <v>2481</v>
      </c>
      <c r="E759" s="304"/>
      <c r="F759" s="304" t="s">
        <v>2482</v>
      </c>
      <c r="I759" s="304" t="s">
        <v>2483</v>
      </c>
      <c r="J759" s="304" t="s">
        <v>2484</v>
      </c>
    </row>
    <row r="760" spans="1:10">
      <c r="A760" s="347">
        <v>840</v>
      </c>
      <c r="B760" s="304" t="s">
        <v>5800</v>
      </c>
      <c r="C760" s="304" t="s">
        <v>5801</v>
      </c>
      <c r="D760" s="304" t="s">
        <v>5802</v>
      </c>
      <c r="E760" s="304" t="s">
        <v>5803</v>
      </c>
      <c r="F760" s="304" t="s">
        <v>5804</v>
      </c>
      <c r="G760" s="1111">
        <v>14059</v>
      </c>
      <c r="H760" s="1110" t="s">
        <v>6371</v>
      </c>
      <c r="I760" s="304" t="s">
        <v>5805</v>
      </c>
      <c r="J760" s="304" t="s">
        <v>5806</v>
      </c>
    </row>
    <row r="761" spans="1:10" ht="25.5">
      <c r="A761" s="347">
        <v>841</v>
      </c>
      <c r="B761" s="304" t="s">
        <v>6150</v>
      </c>
      <c r="C761" s="304" t="s">
        <v>320</v>
      </c>
      <c r="D761" s="304" t="s">
        <v>321</v>
      </c>
      <c r="E761" s="304"/>
      <c r="F761" s="304" t="s">
        <v>322</v>
      </c>
      <c r="G761" s="1111">
        <v>11524</v>
      </c>
      <c r="H761" s="1110" t="s">
        <v>3130</v>
      </c>
      <c r="I761" s="304" t="s">
        <v>323</v>
      </c>
      <c r="J761" s="304" t="s">
        <v>324</v>
      </c>
    </row>
    <row r="762" spans="1:10" ht="25.5">
      <c r="A762" s="347">
        <v>842</v>
      </c>
      <c r="B762" s="304" t="s">
        <v>2988</v>
      </c>
      <c r="C762" s="304" t="s">
        <v>2989</v>
      </c>
      <c r="D762" s="304" t="s">
        <v>2990</v>
      </c>
      <c r="E762" s="304"/>
      <c r="F762" s="304" t="s">
        <v>2991</v>
      </c>
      <c r="G762" s="1111">
        <v>14973</v>
      </c>
      <c r="H762" s="1110" t="s">
        <v>1484</v>
      </c>
      <c r="I762" s="304" t="s">
        <v>2992</v>
      </c>
      <c r="J762" s="304" t="s">
        <v>2993</v>
      </c>
    </row>
    <row r="763" spans="1:10">
      <c r="A763" s="347">
        <v>843</v>
      </c>
      <c r="B763" s="304" t="s">
        <v>3899</v>
      </c>
      <c r="D763" s="304" t="s">
        <v>3900</v>
      </c>
      <c r="E763" s="304"/>
      <c r="F763" s="304" t="s">
        <v>3901</v>
      </c>
      <c r="G763" s="1111">
        <v>11581</v>
      </c>
      <c r="H763" s="1110" t="s">
        <v>3902</v>
      </c>
    </row>
    <row r="764" spans="1:10" ht="25.5">
      <c r="A764" s="347">
        <v>845</v>
      </c>
      <c r="B764" s="304" t="s">
        <v>5714</v>
      </c>
      <c r="C764" s="304" t="s">
        <v>5715</v>
      </c>
      <c r="D764" s="304" t="s">
        <v>5716</v>
      </c>
      <c r="E764" s="304" t="s">
        <v>5717</v>
      </c>
      <c r="F764" s="304" t="s">
        <v>5718</v>
      </c>
      <c r="G764" s="1111">
        <v>11524</v>
      </c>
      <c r="H764" s="1110" t="s">
        <v>3130</v>
      </c>
      <c r="I764" s="304" t="s">
        <v>5719</v>
      </c>
      <c r="J764" s="304" t="s">
        <v>5720</v>
      </c>
    </row>
    <row r="765" spans="1:10">
      <c r="A765" s="347">
        <v>846</v>
      </c>
      <c r="B765" s="304" t="s">
        <v>312</v>
      </c>
      <c r="C765" s="304" t="s">
        <v>313</v>
      </c>
      <c r="D765" s="304" t="s">
        <v>314</v>
      </c>
      <c r="E765" s="304"/>
      <c r="F765" s="304" t="s">
        <v>315</v>
      </c>
      <c r="G765" s="1111">
        <v>11581</v>
      </c>
      <c r="H765" s="1110" t="s">
        <v>3902</v>
      </c>
      <c r="I765" s="304" t="s">
        <v>316</v>
      </c>
    </row>
    <row r="766" spans="1:10" ht="25.5">
      <c r="A766" s="347">
        <v>847</v>
      </c>
      <c r="B766" s="304" t="s">
        <v>5023</v>
      </c>
      <c r="C766" s="304" t="s">
        <v>5024</v>
      </c>
      <c r="D766" s="304" t="s">
        <v>5025</v>
      </c>
      <c r="E766" s="304"/>
      <c r="F766" s="304" t="s">
        <v>5026</v>
      </c>
      <c r="G766" s="1111">
        <v>14059</v>
      </c>
      <c r="H766" s="1110" t="s">
        <v>6371</v>
      </c>
      <c r="I766" s="304" t="s">
        <v>5027</v>
      </c>
      <c r="J766" s="304" t="s">
        <v>5028</v>
      </c>
    </row>
    <row r="767" spans="1:10">
      <c r="A767" s="347">
        <v>848</v>
      </c>
      <c r="B767" s="304" t="s">
        <v>5633</v>
      </c>
      <c r="C767" s="304" t="s">
        <v>5634</v>
      </c>
      <c r="D767" s="304" t="s">
        <v>5635</v>
      </c>
      <c r="E767" s="304" t="s">
        <v>5636</v>
      </c>
      <c r="F767" s="304" t="s">
        <v>5637</v>
      </c>
      <c r="G767" s="1111">
        <v>210522</v>
      </c>
      <c r="H767" s="1110" t="s">
        <v>4624</v>
      </c>
      <c r="I767" s="304" t="s">
        <v>5638</v>
      </c>
      <c r="J767" s="304" t="s">
        <v>5639</v>
      </c>
    </row>
    <row r="768" spans="1:10">
      <c r="A768" s="347" t="s">
        <v>379</v>
      </c>
      <c r="B768" s="304"/>
      <c r="C768" s="304" t="s">
        <v>3576</v>
      </c>
      <c r="D768" s="304"/>
      <c r="E768" s="304"/>
      <c r="F768" s="304"/>
    </row>
    <row r="769" spans="1:6">
      <c r="A769" s="347"/>
      <c r="B769" s="304"/>
      <c r="C769" s="304" t="s">
        <v>3576</v>
      </c>
      <c r="D769" s="304"/>
      <c r="E769" s="304"/>
      <c r="F769" s="304"/>
    </row>
    <row r="770" spans="1:6">
      <c r="A770" s="347"/>
      <c r="B770" s="304"/>
      <c r="C770" s="304" t="s">
        <v>3576</v>
      </c>
      <c r="D770" s="304"/>
      <c r="E770" s="304"/>
      <c r="F770" s="304"/>
    </row>
    <row r="771" spans="1:6">
      <c r="A771" s="347"/>
      <c r="B771" s="304"/>
      <c r="C771" s="304" t="s">
        <v>3576</v>
      </c>
      <c r="D771" s="304"/>
      <c r="E771" s="304"/>
      <c r="F771" s="304"/>
    </row>
    <row r="772" spans="1:6">
      <c r="A772" s="347"/>
      <c r="B772" s="304"/>
      <c r="C772" s="304" t="s">
        <v>3576</v>
      </c>
      <c r="D772" s="304"/>
      <c r="E772" s="304"/>
      <c r="F772" s="304"/>
    </row>
    <row r="773" spans="1:6">
      <c r="A773" s="347"/>
      <c r="B773" s="304"/>
      <c r="C773" s="304" t="s">
        <v>3576</v>
      </c>
      <c r="D773" s="304"/>
      <c r="E773" s="304"/>
      <c r="F773" s="304"/>
    </row>
    <row r="774" spans="1:6">
      <c r="A774" s="347"/>
      <c r="B774" s="304"/>
      <c r="D774" s="304"/>
      <c r="E774" s="304"/>
      <c r="F774" s="304"/>
    </row>
    <row r="775" spans="1:6">
      <c r="A775" s="347"/>
      <c r="B775" s="304"/>
      <c r="D775" s="304"/>
      <c r="E775" s="304"/>
      <c r="F775" s="304"/>
    </row>
    <row r="776" spans="1:6">
      <c r="A776" s="347"/>
      <c r="B776" s="304"/>
      <c r="D776" s="304"/>
      <c r="E776" s="304"/>
      <c r="F776" s="304"/>
    </row>
    <row r="777" spans="1:6">
      <c r="A777" s="347"/>
      <c r="B777" s="304"/>
      <c r="D777" s="304"/>
      <c r="E777" s="304"/>
      <c r="F777" s="304"/>
    </row>
    <row r="778" spans="1:6">
      <c r="A778" s="347"/>
      <c r="B778" s="304"/>
      <c r="D778" s="304"/>
      <c r="E778" s="304"/>
      <c r="F778" s="304"/>
    </row>
    <row r="779" spans="1:6">
      <c r="A779" s="347"/>
      <c r="B779" s="304"/>
      <c r="D779" s="304"/>
      <c r="E779" s="304"/>
      <c r="F779" s="304"/>
    </row>
    <row r="780" spans="1:6">
      <c r="A780" s="347"/>
      <c r="B780" s="304"/>
      <c r="D780" s="304"/>
      <c r="E780" s="304"/>
      <c r="F780" s="304"/>
    </row>
    <row r="781" spans="1:6">
      <c r="A781" s="347"/>
      <c r="B781" s="304"/>
      <c r="D781" s="304"/>
      <c r="E781" s="304"/>
      <c r="F781" s="304"/>
    </row>
    <row r="782" spans="1:6">
      <c r="A782" s="347"/>
      <c r="B782" s="304"/>
      <c r="D782" s="304"/>
      <c r="E782" s="304"/>
      <c r="F782" s="304"/>
    </row>
    <row r="783" spans="1:6">
      <c r="A783" s="347"/>
      <c r="B783" s="304"/>
      <c r="D783" s="304"/>
      <c r="E783" s="304"/>
      <c r="F783" s="304"/>
    </row>
    <row r="784" spans="1:6">
      <c r="A784" s="347"/>
      <c r="B784" s="304"/>
      <c r="D784" s="304"/>
      <c r="E784" s="304"/>
      <c r="F784" s="304"/>
    </row>
    <row r="785" spans="1:6">
      <c r="A785" s="347"/>
      <c r="B785" s="304"/>
      <c r="D785" s="304"/>
      <c r="E785" s="304"/>
      <c r="F785" s="304"/>
    </row>
    <row r="786" spans="1:6">
      <c r="A786" s="347"/>
      <c r="B786" s="304"/>
      <c r="D786" s="304"/>
      <c r="E786" s="304"/>
      <c r="F786" s="304"/>
    </row>
    <row r="787" spans="1:6">
      <c r="A787" s="347"/>
      <c r="B787" s="304"/>
      <c r="D787" s="304"/>
      <c r="E787" s="304"/>
      <c r="F787" s="304"/>
    </row>
    <row r="788" spans="1:6">
      <c r="A788" s="347"/>
      <c r="B788" s="304"/>
      <c r="D788" s="304"/>
      <c r="E788" s="304"/>
      <c r="F788" s="304"/>
    </row>
    <row r="789" spans="1:6">
      <c r="A789" s="347"/>
      <c r="B789" s="304"/>
      <c r="D789" s="304"/>
      <c r="E789" s="304"/>
      <c r="F789" s="304"/>
    </row>
    <row r="790" spans="1:6">
      <c r="A790" s="347"/>
      <c r="B790" s="304"/>
      <c r="D790" s="304"/>
      <c r="E790" s="304"/>
      <c r="F790" s="304"/>
    </row>
    <row r="791" spans="1:6">
      <c r="A791" s="347"/>
      <c r="B791" s="304"/>
      <c r="D791" s="304"/>
      <c r="E791" s="304"/>
      <c r="F791" s="304"/>
    </row>
    <row r="792" spans="1:6">
      <c r="A792" s="347"/>
      <c r="B792" s="304"/>
      <c r="D792" s="304"/>
      <c r="E792" s="304"/>
      <c r="F792" s="304"/>
    </row>
    <row r="793" spans="1:6">
      <c r="A793" s="347"/>
      <c r="B793" s="304"/>
      <c r="D793" s="304"/>
      <c r="E793" s="304"/>
      <c r="F793" s="304"/>
    </row>
    <row r="794" spans="1:6">
      <c r="A794" s="347"/>
      <c r="B794" s="304"/>
      <c r="D794" s="304"/>
      <c r="E794" s="304"/>
      <c r="F794" s="304"/>
    </row>
    <row r="795" spans="1:6">
      <c r="A795" s="347"/>
      <c r="B795" s="304"/>
      <c r="D795" s="304"/>
      <c r="E795" s="304"/>
      <c r="F795" s="304"/>
    </row>
    <row r="796" spans="1:6">
      <c r="A796" s="347"/>
      <c r="B796" s="304"/>
      <c r="D796" s="304"/>
      <c r="E796" s="304"/>
      <c r="F796" s="304"/>
    </row>
    <row r="797" spans="1:6">
      <c r="A797" s="347"/>
      <c r="B797" s="304"/>
      <c r="D797" s="304"/>
      <c r="E797" s="304"/>
      <c r="F797" s="304"/>
    </row>
    <row r="798" spans="1:6">
      <c r="A798" s="347"/>
      <c r="B798" s="304"/>
      <c r="D798" s="304"/>
      <c r="E798" s="304"/>
      <c r="F798" s="304"/>
    </row>
    <row r="799" spans="1:6">
      <c r="A799" s="347"/>
      <c r="B799" s="304"/>
      <c r="D799" s="304"/>
      <c r="E799" s="304"/>
      <c r="F799" s="304"/>
    </row>
    <row r="800" spans="1:6">
      <c r="A800" s="347"/>
      <c r="B800" s="304"/>
      <c r="D800" s="304"/>
      <c r="E800" s="304"/>
      <c r="F800" s="304"/>
    </row>
    <row r="801" spans="1:6">
      <c r="A801" s="347"/>
      <c r="B801" s="304"/>
      <c r="D801" s="304"/>
      <c r="E801" s="304"/>
      <c r="F801" s="304"/>
    </row>
    <row r="802" spans="1:6">
      <c r="A802" s="347"/>
      <c r="B802" s="304"/>
      <c r="D802" s="304"/>
      <c r="E802" s="304"/>
      <c r="F802" s="304"/>
    </row>
    <row r="803" spans="1:6">
      <c r="A803" s="347"/>
      <c r="B803" s="304"/>
      <c r="D803" s="304"/>
      <c r="E803" s="304"/>
      <c r="F803" s="304"/>
    </row>
    <row r="804" spans="1:6">
      <c r="A804" s="347"/>
      <c r="B804" s="304"/>
      <c r="D804" s="304"/>
      <c r="E804" s="304"/>
      <c r="F804" s="304"/>
    </row>
    <row r="805" spans="1:6">
      <c r="A805" s="347"/>
      <c r="B805" s="304"/>
      <c r="D805" s="304"/>
      <c r="E805" s="304"/>
      <c r="F805" s="304"/>
    </row>
    <row r="806" spans="1:6">
      <c r="A806" s="347"/>
      <c r="B806" s="304"/>
      <c r="D806" s="304"/>
      <c r="E806" s="304"/>
      <c r="F806" s="304"/>
    </row>
    <row r="807" spans="1:6">
      <c r="A807" s="347"/>
      <c r="B807" s="304"/>
      <c r="D807" s="304"/>
      <c r="E807" s="304"/>
      <c r="F807" s="304"/>
    </row>
    <row r="808" spans="1:6">
      <c r="A808" s="347"/>
      <c r="B808" s="304"/>
      <c r="D808" s="304"/>
      <c r="E808" s="304"/>
      <c r="F808" s="304"/>
    </row>
    <row r="809" spans="1:6">
      <c r="A809" s="347"/>
      <c r="B809" s="304"/>
      <c r="D809" s="304"/>
      <c r="E809" s="304"/>
      <c r="F809" s="304"/>
    </row>
    <row r="810" spans="1:6">
      <c r="A810" s="347"/>
      <c r="B810" s="304"/>
      <c r="D810" s="304"/>
      <c r="E810" s="304"/>
      <c r="F810" s="304"/>
    </row>
    <row r="811" spans="1:6">
      <c r="A811" s="347"/>
      <c r="B811" s="304"/>
      <c r="D811" s="304"/>
      <c r="E811" s="304"/>
      <c r="F811" s="304"/>
    </row>
    <row r="812" spans="1:6">
      <c r="A812" s="347"/>
      <c r="B812" s="304"/>
      <c r="D812" s="304"/>
      <c r="E812" s="304"/>
      <c r="F812" s="304"/>
    </row>
    <row r="813" spans="1:6">
      <c r="A813" s="347"/>
      <c r="B813" s="304"/>
      <c r="D813" s="304"/>
      <c r="E813" s="304"/>
      <c r="F813" s="304"/>
    </row>
    <row r="814" spans="1:6">
      <c r="A814" s="347"/>
      <c r="B814" s="304"/>
      <c r="D814" s="304"/>
      <c r="E814" s="304"/>
      <c r="F814" s="304"/>
    </row>
    <row r="815" spans="1:6">
      <c r="A815" s="347"/>
      <c r="B815" s="304"/>
      <c r="D815" s="304"/>
      <c r="E815" s="304"/>
      <c r="F815" s="304"/>
    </row>
    <row r="816" spans="1:6">
      <c r="A816" s="347"/>
      <c r="B816" s="304"/>
      <c r="D816" s="304"/>
      <c r="E816" s="304"/>
      <c r="F816" s="304"/>
    </row>
    <row r="817" spans="1:6">
      <c r="A817" s="347"/>
      <c r="B817" s="304"/>
      <c r="D817" s="304"/>
      <c r="E817" s="304"/>
      <c r="F817" s="304"/>
    </row>
    <row r="818" spans="1:6">
      <c r="A818" s="347"/>
      <c r="B818" s="304"/>
      <c r="D818" s="304"/>
      <c r="E818" s="304"/>
      <c r="F818" s="304"/>
    </row>
    <row r="819" spans="1:6">
      <c r="A819" s="347"/>
      <c r="B819" s="304"/>
      <c r="D819" s="304"/>
      <c r="E819" s="304"/>
      <c r="F819" s="304"/>
    </row>
    <row r="820" spans="1:6">
      <c r="A820" s="347"/>
      <c r="B820" s="304"/>
      <c r="D820" s="304"/>
      <c r="E820" s="304"/>
      <c r="F820" s="304"/>
    </row>
    <row r="821" spans="1:6">
      <c r="A821" s="347"/>
      <c r="B821" s="304"/>
      <c r="D821" s="304"/>
      <c r="E821" s="304"/>
      <c r="F821" s="304"/>
    </row>
    <row r="822" spans="1:6">
      <c r="A822" s="347"/>
      <c r="B822" s="304"/>
      <c r="D822" s="304"/>
      <c r="E822" s="304"/>
      <c r="F822" s="304"/>
    </row>
    <row r="823" spans="1:6">
      <c r="A823" s="347"/>
      <c r="B823" s="304"/>
      <c r="D823" s="304"/>
      <c r="E823" s="304"/>
      <c r="F823" s="304"/>
    </row>
    <row r="824" spans="1:6">
      <c r="A824" s="347"/>
      <c r="B824" s="304"/>
      <c r="D824" s="304"/>
      <c r="E824" s="304"/>
      <c r="F824" s="304"/>
    </row>
    <row r="825" spans="1:6">
      <c r="A825" s="347"/>
      <c r="B825" s="304"/>
      <c r="D825" s="304"/>
      <c r="E825" s="304"/>
      <c r="F825" s="304"/>
    </row>
    <row r="826" spans="1:6">
      <c r="A826" s="347"/>
      <c r="B826" s="304"/>
      <c r="D826" s="304"/>
      <c r="E826" s="304"/>
      <c r="F826" s="304"/>
    </row>
    <row r="827" spans="1:6">
      <c r="A827" s="347"/>
      <c r="B827" s="304"/>
      <c r="D827" s="304"/>
      <c r="E827" s="304"/>
      <c r="F827" s="304"/>
    </row>
    <row r="828" spans="1:6">
      <c r="A828" s="347"/>
      <c r="B828" s="304"/>
      <c r="D828" s="304"/>
      <c r="E828" s="304"/>
      <c r="F828" s="304"/>
    </row>
    <row r="829" spans="1:6">
      <c r="A829" s="347"/>
      <c r="B829" s="304"/>
      <c r="D829" s="304"/>
      <c r="E829" s="304"/>
      <c r="F829" s="304"/>
    </row>
    <row r="830" spans="1:6">
      <c r="A830" s="347"/>
      <c r="B830" s="304"/>
      <c r="D830" s="304"/>
      <c r="E830" s="304"/>
      <c r="F830" s="304"/>
    </row>
    <row r="831" spans="1:6">
      <c r="A831" s="347"/>
      <c r="B831" s="304"/>
      <c r="D831" s="304"/>
      <c r="E831" s="304"/>
      <c r="F831" s="304"/>
    </row>
    <row r="832" spans="1:6">
      <c r="A832" s="347"/>
      <c r="B832" s="304"/>
      <c r="D832" s="304"/>
      <c r="E832" s="304"/>
      <c r="F832" s="304"/>
    </row>
    <row r="833" spans="1:6">
      <c r="A833" s="347"/>
      <c r="B833" s="304"/>
      <c r="D833" s="304"/>
      <c r="E833" s="304"/>
      <c r="F833" s="304"/>
    </row>
    <row r="834" spans="1:6">
      <c r="A834" s="347"/>
      <c r="B834" s="304"/>
      <c r="D834" s="304"/>
      <c r="E834" s="304"/>
      <c r="F834" s="304"/>
    </row>
    <row r="835" spans="1:6">
      <c r="A835" s="347"/>
      <c r="B835" s="304"/>
      <c r="D835" s="304"/>
      <c r="E835" s="304"/>
      <c r="F835" s="304"/>
    </row>
    <row r="836" spans="1:6">
      <c r="A836" s="347"/>
      <c r="B836" s="304"/>
      <c r="D836" s="304"/>
      <c r="E836" s="304"/>
      <c r="F836" s="304"/>
    </row>
    <row r="837" spans="1:6">
      <c r="A837" s="347"/>
      <c r="B837" s="304"/>
      <c r="D837" s="304"/>
      <c r="E837" s="304"/>
      <c r="F837" s="304"/>
    </row>
    <row r="838" spans="1:6">
      <c r="A838" s="347"/>
      <c r="B838" s="304"/>
      <c r="D838" s="304"/>
      <c r="E838" s="304"/>
      <c r="F838" s="304"/>
    </row>
    <row r="839" spans="1:6">
      <c r="A839" s="347"/>
      <c r="B839" s="304"/>
      <c r="D839" s="304"/>
      <c r="E839" s="304"/>
      <c r="F839" s="304"/>
    </row>
    <row r="840" spans="1:6">
      <c r="A840" s="347"/>
      <c r="B840" s="304"/>
      <c r="D840" s="304"/>
      <c r="E840" s="304"/>
      <c r="F840" s="304"/>
    </row>
    <row r="841" spans="1:6">
      <c r="A841" s="347"/>
      <c r="B841" s="304"/>
      <c r="D841" s="304"/>
      <c r="E841" s="304"/>
      <c r="F841" s="304"/>
    </row>
    <row r="842" spans="1:6">
      <c r="A842" s="347"/>
      <c r="B842" s="304"/>
      <c r="D842" s="304"/>
      <c r="E842" s="304"/>
      <c r="F842" s="304"/>
    </row>
    <row r="843" spans="1:6">
      <c r="A843" s="347"/>
      <c r="B843" s="304"/>
      <c r="D843" s="304"/>
      <c r="E843" s="304"/>
      <c r="F843" s="304"/>
    </row>
    <row r="844" spans="1:6">
      <c r="A844" s="347"/>
      <c r="B844" s="304"/>
      <c r="D844" s="304"/>
      <c r="E844" s="304"/>
      <c r="F844" s="304"/>
    </row>
    <row r="845" spans="1:6">
      <c r="A845" s="347"/>
      <c r="B845" s="304"/>
      <c r="D845" s="304"/>
      <c r="E845" s="304"/>
      <c r="F845" s="304"/>
    </row>
    <row r="846" spans="1:6">
      <c r="A846" s="347"/>
      <c r="B846" s="304"/>
      <c r="D846" s="304"/>
      <c r="E846" s="304"/>
      <c r="F846" s="304"/>
    </row>
    <row r="847" spans="1:6">
      <c r="A847" s="347"/>
      <c r="B847" s="304"/>
      <c r="D847" s="304"/>
      <c r="E847" s="304"/>
      <c r="F847" s="304"/>
    </row>
    <row r="848" spans="1:6">
      <c r="A848" s="347"/>
      <c r="B848" s="304"/>
      <c r="D848" s="304"/>
      <c r="E848" s="304"/>
      <c r="F848" s="304"/>
    </row>
    <row r="849" spans="1:6">
      <c r="A849" s="347"/>
      <c r="B849" s="304"/>
      <c r="D849" s="304"/>
      <c r="E849" s="304"/>
      <c r="F849" s="304"/>
    </row>
    <row r="850" spans="1:6">
      <c r="A850" s="347"/>
      <c r="B850" s="304"/>
      <c r="D850" s="304"/>
      <c r="E850" s="304"/>
      <c r="F850" s="304"/>
    </row>
    <row r="851" spans="1:6">
      <c r="A851" s="347"/>
      <c r="B851" s="304"/>
      <c r="D851" s="304"/>
      <c r="E851" s="304"/>
      <c r="F851" s="304"/>
    </row>
    <row r="852" spans="1:6">
      <c r="A852" s="347"/>
      <c r="B852" s="304"/>
      <c r="D852" s="304"/>
      <c r="E852" s="304"/>
      <c r="F852" s="304"/>
    </row>
    <row r="853" spans="1:6">
      <c r="A853" s="347"/>
      <c r="B853" s="304"/>
      <c r="D853" s="304"/>
      <c r="E853" s="304"/>
      <c r="F853" s="304"/>
    </row>
    <row r="854" spans="1:6">
      <c r="A854" s="347"/>
      <c r="B854" s="304"/>
      <c r="D854" s="304"/>
      <c r="E854" s="304"/>
      <c r="F854" s="304"/>
    </row>
    <row r="855" spans="1:6">
      <c r="A855" s="347"/>
      <c r="B855" s="304"/>
      <c r="D855" s="304"/>
      <c r="E855" s="304"/>
      <c r="F855" s="304"/>
    </row>
    <row r="856" spans="1:6">
      <c r="A856" s="347"/>
      <c r="B856" s="304"/>
      <c r="D856" s="304"/>
      <c r="E856" s="304"/>
      <c r="F856" s="304"/>
    </row>
    <row r="857" spans="1:6">
      <c r="A857" s="347"/>
      <c r="B857" s="304"/>
      <c r="D857" s="304"/>
      <c r="E857" s="304"/>
      <c r="F857" s="304"/>
    </row>
    <row r="858" spans="1:6">
      <c r="A858" s="347"/>
      <c r="B858" s="304"/>
      <c r="D858" s="304"/>
      <c r="E858" s="304"/>
      <c r="F858" s="304"/>
    </row>
    <row r="859" spans="1:6">
      <c r="A859" s="347"/>
      <c r="B859" s="304"/>
      <c r="D859" s="304"/>
      <c r="E859" s="304"/>
      <c r="F859" s="304"/>
    </row>
    <row r="860" spans="1:6">
      <c r="A860" s="347"/>
      <c r="B860" s="304"/>
      <c r="D860" s="304"/>
      <c r="E860" s="304"/>
      <c r="F860" s="304"/>
    </row>
    <row r="861" spans="1:6">
      <c r="A861" s="347"/>
      <c r="B861" s="304"/>
      <c r="D861" s="304"/>
      <c r="E861" s="304"/>
      <c r="F861" s="304"/>
    </row>
    <row r="862" spans="1:6">
      <c r="A862" s="347"/>
      <c r="B862" s="304"/>
      <c r="D862" s="304"/>
      <c r="E862" s="304"/>
      <c r="F862" s="304"/>
    </row>
    <row r="863" spans="1:6">
      <c r="A863" s="347"/>
      <c r="B863" s="304"/>
      <c r="D863" s="304"/>
      <c r="E863" s="304"/>
      <c r="F863" s="304"/>
    </row>
    <row r="864" spans="1:6">
      <c r="A864" s="347"/>
      <c r="B864" s="304"/>
      <c r="D864" s="304"/>
      <c r="E864" s="304"/>
      <c r="F864" s="304"/>
    </row>
    <row r="865" spans="1:6">
      <c r="A865" s="347"/>
      <c r="B865" s="304"/>
      <c r="D865" s="304"/>
      <c r="E865" s="304"/>
      <c r="F865" s="304"/>
    </row>
    <row r="866" spans="1:6">
      <c r="A866" s="347"/>
      <c r="B866" s="304"/>
      <c r="D866" s="304"/>
      <c r="E866" s="304"/>
      <c r="F866" s="304"/>
    </row>
    <row r="867" spans="1:6">
      <c r="A867" s="347"/>
      <c r="B867" s="304"/>
      <c r="D867" s="304"/>
      <c r="E867" s="304"/>
      <c r="F867" s="304"/>
    </row>
    <row r="868" spans="1:6">
      <c r="A868" s="347"/>
      <c r="B868" s="304"/>
      <c r="D868" s="304"/>
      <c r="E868" s="304"/>
      <c r="F868" s="304"/>
    </row>
    <row r="869" spans="1:6">
      <c r="A869" s="347"/>
      <c r="B869" s="304"/>
      <c r="D869" s="304"/>
      <c r="E869" s="304"/>
      <c r="F869" s="304"/>
    </row>
    <row r="870" spans="1:6">
      <c r="A870" s="347"/>
      <c r="B870" s="304"/>
      <c r="D870" s="304"/>
      <c r="E870" s="304"/>
      <c r="F870" s="304"/>
    </row>
    <row r="871" spans="1:6">
      <c r="A871" s="347"/>
      <c r="B871" s="304"/>
      <c r="D871" s="304"/>
      <c r="E871" s="304"/>
      <c r="F871" s="304"/>
    </row>
    <row r="872" spans="1:6">
      <c r="A872" s="347"/>
      <c r="B872" s="304"/>
      <c r="D872" s="304"/>
      <c r="E872" s="304"/>
      <c r="F872" s="304"/>
    </row>
    <row r="873" spans="1:6">
      <c r="A873" s="347"/>
      <c r="B873" s="304"/>
      <c r="D873" s="304"/>
      <c r="E873" s="304"/>
      <c r="F873" s="304"/>
    </row>
    <row r="874" spans="1:6">
      <c r="A874" s="347"/>
      <c r="B874" s="304"/>
      <c r="D874" s="304"/>
      <c r="E874" s="304"/>
      <c r="F874" s="304"/>
    </row>
    <row r="875" spans="1:6">
      <c r="A875" s="347"/>
      <c r="B875" s="304"/>
      <c r="D875" s="304"/>
      <c r="E875" s="304"/>
      <c r="F875" s="304"/>
    </row>
    <row r="876" spans="1:6">
      <c r="A876" s="347"/>
      <c r="B876" s="304"/>
      <c r="D876" s="304"/>
      <c r="E876" s="304"/>
      <c r="F876" s="304"/>
    </row>
    <row r="877" spans="1:6">
      <c r="A877" s="347"/>
      <c r="B877" s="304"/>
      <c r="D877" s="304"/>
      <c r="E877" s="304"/>
      <c r="F877" s="304"/>
    </row>
    <row r="878" spans="1:6">
      <c r="A878" s="347"/>
      <c r="B878" s="304"/>
      <c r="D878" s="304"/>
      <c r="E878" s="304"/>
      <c r="F878" s="304"/>
    </row>
    <row r="879" spans="1:6">
      <c r="A879" s="347"/>
      <c r="B879" s="304"/>
      <c r="D879" s="304"/>
      <c r="E879" s="304"/>
      <c r="F879" s="304"/>
    </row>
    <row r="880" spans="1:6">
      <c r="A880" s="347"/>
      <c r="B880" s="304"/>
      <c r="D880" s="304"/>
      <c r="E880" s="304"/>
      <c r="F880" s="304"/>
    </row>
    <row r="881" spans="1:6">
      <c r="A881" s="347"/>
      <c r="B881" s="304"/>
      <c r="D881" s="304"/>
      <c r="E881" s="304"/>
      <c r="F881" s="304"/>
    </row>
    <row r="882" spans="1:6">
      <c r="A882" s="347"/>
      <c r="B882" s="304"/>
      <c r="D882" s="304"/>
      <c r="E882" s="304"/>
      <c r="F882" s="304"/>
    </row>
    <row r="883" spans="1:6">
      <c r="A883" s="347"/>
      <c r="B883" s="304"/>
      <c r="D883" s="304"/>
      <c r="E883" s="304"/>
      <c r="F883" s="304"/>
    </row>
    <row r="884" spans="1:6">
      <c r="A884" s="347"/>
      <c r="B884" s="304"/>
      <c r="D884" s="304"/>
      <c r="E884" s="304"/>
      <c r="F884" s="304"/>
    </row>
    <row r="885" spans="1:6">
      <c r="A885" s="347"/>
      <c r="B885" s="304"/>
      <c r="D885" s="304"/>
      <c r="E885" s="304"/>
      <c r="F885" s="304"/>
    </row>
    <row r="886" spans="1:6">
      <c r="A886" s="347"/>
      <c r="B886" s="304"/>
      <c r="D886" s="304"/>
      <c r="E886" s="304"/>
      <c r="F886" s="304"/>
    </row>
    <row r="887" spans="1:6">
      <c r="A887" s="347"/>
      <c r="B887" s="304"/>
      <c r="D887" s="304"/>
      <c r="E887" s="304"/>
      <c r="F887" s="304"/>
    </row>
    <row r="888" spans="1:6">
      <c r="A888" s="347"/>
      <c r="B888" s="304"/>
      <c r="D888" s="304"/>
      <c r="E888" s="304"/>
      <c r="F888" s="304"/>
    </row>
    <row r="889" spans="1:6">
      <c r="A889" s="347"/>
      <c r="B889" s="304"/>
      <c r="D889" s="304"/>
      <c r="E889" s="304"/>
      <c r="F889" s="304"/>
    </row>
    <row r="890" spans="1:6">
      <c r="A890" s="347"/>
      <c r="B890" s="304"/>
      <c r="D890" s="304"/>
      <c r="E890" s="304"/>
      <c r="F890" s="304"/>
    </row>
    <row r="891" spans="1:6">
      <c r="A891" s="347"/>
      <c r="B891" s="304"/>
      <c r="D891" s="304"/>
      <c r="E891" s="304"/>
      <c r="F891" s="304"/>
    </row>
    <row r="892" spans="1:6">
      <c r="A892" s="347"/>
      <c r="B892" s="304"/>
      <c r="D892" s="304"/>
      <c r="E892" s="304"/>
      <c r="F892" s="304"/>
    </row>
    <row r="893" spans="1:6">
      <c r="A893" s="347"/>
      <c r="B893" s="304"/>
      <c r="D893" s="304"/>
      <c r="E893" s="304"/>
      <c r="F893" s="304"/>
    </row>
    <row r="894" spans="1:6">
      <c r="A894" s="347"/>
      <c r="B894" s="304"/>
      <c r="D894" s="304"/>
      <c r="E894" s="304"/>
      <c r="F894" s="304"/>
    </row>
    <row r="895" spans="1:6">
      <c r="A895" s="347"/>
      <c r="B895" s="304"/>
      <c r="D895" s="304"/>
      <c r="E895" s="304"/>
      <c r="F895" s="304"/>
    </row>
    <row r="896" spans="1:6">
      <c r="A896" s="347"/>
      <c r="B896" s="304"/>
      <c r="D896" s="304"/>
      <c r="E896" s="304"/>
      <c r="F896" s="304"/>
    </row>
    <row r="897" spans="1:6">
      <c r="A897" s="347"/>
      <c r="B897" s="304"/>
      <c r="D897" s="304"/>
      <c r="E897" s="304"/>
      <c r="F897" s="304"/>
    </row>
    <row r="898" spans="1:6">
      <c r="A898" s="347"/>
      <c r="B898" s="304"/>
      <c r="D898" s="304"/>
      <c r="E898" s="304"/>
      <c r="F898" s="304"/>
    </row>
    <row r="899" spans="1:6">
      <c r="A899" s="347"/>
      <c r="B899" s="304"/>
      <c r="D899" s="304"/>
      <c r="E899" s="304"/>
      <c r="F899" s="304"/>
    </row>
    <row r="900" spans="1:6">
      <c r="A900" s="347"/>
      <c r="B900" s="304"/>
      <c r="D900" s="304"/>
      <c r="E900" s="304"/>
      <c r="F900" s="304"/>
    </row>
    <row r="901" spans="1:6">
      <c r="A901" s="347"/>
      <c r="B901" s="304"/>
      <c r="D901" s="304"/>
      <c r="E901" s="304"/>
      <c r="F901" s="304"/>
    </row>
    <row r="902" spans="1:6">
      <c r="A902" s="347"/>
      <c r="B902" s="304"/>
      <c r="D902" s="304"/>
      <c r="E902" s="304"/>
      <c r="F902" s="304"/>
    </row>
    <row r="903" spans="1:6">
      <c r="A903" s="347"/>
      <c r="B903" s="304"/>
      <c r="D903" s="304"/>
      <c r="E903" s="304"/>
      <c r="F903" s="304"/>
    </row>
    <row r="904" spans="1:6">
      <c r="A904" s="347"/>
      <c r="B904" s="304"/>
      <c r="D904" s="304"/>
      <c r="E904" s="304"/>
      <c r="F904" s="304"/>
    </row>
    <row r="905" spans="1:6">
      <c r="A905" s="347"/>
      <c r="B905" s="304"/>
      <c r="D905" s="304"/>
      <c r="E905" s="304"/>
      <c r="F905" s="304"/>
    </row>
    <row r="906" spans="1:6">
      <c r="A906" s="347"/>
      <c r="B906" s="304"/>
      <c r="D906" s="304"/>
      <c r="E906" s="304"/>
      <c r="F906" s="304"/>
    </row>
    <row r="907" spans="1:6">
      <c r="A907" s="347"/>
      <c r="B907" s="304"/>
      <c r="D907" s="304"/>
      <c r="E907" s="304"/>
      <c r="F907" s="304"/>
    </row>
    <row r="908" spans="1:6">
      <c r="A908" s="347"/>
      <c r="B908" s="304"/>
      <c r="D908" s="304"/>
      <c r="E908" s="304"/>
      <c r="F908" s="304"/>
    </row>
    <row r="909" spans="1:6">
      <c r="A909" s="347"/>
      <c r="B909" s="304"/>
      <c r="D909" s="304"/>
      <c r="E909" s="304"/>
      <c r="F909" s="304"/>
    </row>
    <row r="910" spans="1:6">
      <c r="A910" s="347"/>
      <c r="B910" s="304"/>
      <c r="D910" s="304"/>
      <c r="E910" s="304"/>
      <c r="F910" s="304"/>
    </row>
    <row r="911" spans="1:6">
      <c r="A911" s="347"/>
      <c r="B911" s="304"/>
      <c r="D911" s="304"/>
      <c r="E911" s="304"/>
      <c r="F911" s="304"/>
    </row>
    <row r="912" spans="1:6">
      <c r="A912" s="347"/>
      <c r="B912" s="304"/>
      <c r="D912" s="304"/>
      <c r="E912" s="304"/>
      <c r="F912" s="304"/>
    </row>
    <row r="913" spans="1:6">
      <c r="A913" s="347"/>
      <c r="B913" s="304"/>
      <c r="D913" s="304"/>
      <c r="E913" s="304"/>
      <c r="F913" s="304"/>
    </row>
    <row r="914" spans="1:6">
      <c r="A914" s="347"/>
      <c r="B914" s="304"/>
      <c r="D914" s="304"/>
      <c r="E914" s="304"/>
      <c r="F914" s="304"/>
    </row>
    <row r="915" spans="1:6">
      <c r="A915" s="347"/>
      <c r="B915" s="304"/>
      <c r="D915" s="304"/>
      <c r="E915" s="304"/>
      <c r="F915" s="304"/>
    </row>
    <row r="916" spans="1:6">
      <c r="A916" s="347"/>
      <c r="B916" s="304"/>
      <c r="D916" s="304"/>
      <c r="E916" s="304"/>
      <c r="F916" s="304"/>
    </row>
    <row r="917" spans="1:6">
      <c r="A917" s="347"/>
      <c r="B917" s="304"/>
      <c r="D917" s="304"/>
      <c r="E917" s="304"/>
      <c r="F917" s="304"/>
    </row>
    <row r="918" spans="1:6">
      <c r="A918" s="347"/>
      <c r="B918" s="304"/>
      <c r="D918" s="304"/>
      <c r="E918" s="304"/>
      <c r="F918" s="304"/>
    </row>
    <row r="919" spans="1:6">
      <c r="A919" s="347"/>
      <c r="B919" s="304"/>
      <c r="D919" s="304"/>
      <c r="E919" s="304"/>
      <c r="F919" s="304"/>
    </row>
    <row r="920" spans="1:6">
      <c r="A920" s="347"/>
      <c r="B920" s="304"/>
      <c r="D920" s="304"/>
      <c r="E920" s="304"/>
      <c r="F920" s="304"/>
    </row>
    <row r="921" spans="1:6">
      <c r="A921" s="347"/>
      <c r="B921" s="304"/>
      <c r="D921" s="304"/>
      <c r="E921" s="304"/>
      <c r="F921" s="304"/>
    </row>
    <row r="922" spans="1:6">
      <c r="A922" s="347"/>
      <c r="B922" s="304"/>
      <c r="D922" s="304"/>
      <c r="E922" s="304"/>
      <c r="F922" s="304"/>
    </row>
    <row r="923" spans="1:6">
      <c r="A923" s="347"/>
      <c r="B923" s="304"/>
      <c r="D923" s="304"/>
      <c r="E923" s="304"/>
      <c r="F923" s="304"/>
    </row>
    <row r="924" spans="1:6">
      <c r="A924" s="347"/>
      <c r="B924" s="304"/>
      <c r="D924" s="304"/>
      <c r="E924" s="304"/>
      <c r="F924" s="304"/>
    </row>
    <row r="925" spans="1:6">
      <c r="A925" s="347"/>
      <c r="B925" s="304"/>
      <c r="D925" s="304"/>
      <c r="E925" s="304"/>
      <c r="F925" s="304"/>
    </row>
    <row r="926" spans="1:6">
      <c r="A926" s="347"/>
      <c r="B926" s="304"/>
      <c r="D926" s="304"/>
      <c r="E926" s="304"/>
      <c r="F926" s="304"/>
    </row>
    <row r="927" spans="1:6">
      <c r="A927" s="347"/>
      <c r="B927" s="304"/>
      <c r="D927" s="304"/>
      <c r="E927" s="304"/>
      <c r="F927" s="304"/>
    </row>
    <row r="928" spans="1:6">
      <c r="A928" s="347"/>
      <c r="B928" s="304"/>
      <c r="D928" s="304"/>
      <c r="E928" s="304"/>
      <c r="F928" s="304"/>
    </row>
    <row r="929" spans="1:6">
      <c r="A929" s="347"/>
      <c r="B929" s="304"/>
      <c r="D929" s="304"/>
      <c r="E929" s="304"/>
      <c r="F929" s="304"/>
    </row>
    <row r="930" spans="1:6">
      <c r="A930" s="347"/>
      <c r="B930" s="304"/>
      <c r="D930" s="304"/>
      <c r="E930" s="304"/>
      <c r="F930" s="304"/>
    </row>
    <row r="931" spans="1:6">
      <c r="A931" s="347"/>
      <c r="B931" s="304"/>
      <c r="D931" s="304"/>
      <c r="E931" s="304"/>
      <c r="F931" s="304"/>
    </row>
    <row r="932" spans="1:6">
      <c r="A932" s="347"/>
      <c r="B932" s="304"/>
      <c r="D932" s="304"/>
      <c r="E932" s="304"/>
      <c r="F932" s="304"/>
    </row>
    <row r="933" spans="1:6">
      <c r="A933" s="347"/>
      <c r="B933" s="304"/>
      <c r="D933" s="304"/>
      <c r="E933" s="304"/>
      <c r="F933" s="304"/>
    </row>
    <row r="934" spans="1:6">
      <c r="A934" s="347"/>
      <c r="B934" s="304"/>
      <c r="D934" s="304"/>
      <c r="E934" s="304"/>
      <c r="F934" s="304"/>
    </row>
    <row r="935" spans="1:6">
      <c r="A935" s="347"/>
      <c r="B935" s="304"/>
      <c r="D935" s="304"/>
      <c r="E935" s="304"/>
      <c r="F935" s="304"/>
    </row>
    <row r="936" spans="1:6">
      <c r="A936" s="347"/>
      <c r="B936" s="304"/>
      <c r="D936" s="304"/>
      <c r="E936" s="304"/>
      <c r="F936" s="304"/>
    </row>
    <row r="937" spans="1:6">
      <c r="A937" s="347"/>
      <c r="B937" s="304"/>
      <c r="D937" s="304"/>
      <c r="E937" s="304"/>
      <c r="F937" s="304"/>
    </row>
    <row r="938" spans="1:6">
      <c r="A938" s="347"/>
      <c r="B938" s="304"/>
      <c r="D938" s="304"/>
      <c r="E938" s="304"/>
      <c r="F938" s="304"/>
    </row>
    <row r="939" spans="1:6">
      <c r="A939" s="347"/>
      <c r="B939" s="304"/>
      <c r="D939" s="304"/>
      <c r="E939" s="304"/>
      <c r="F939" s="304"/>
    </row>
    <row r="940" spans="1:6">
      <c r="A940" s="347"/>
      <c r="B940" s="304"/>
      <c r="D940" s="304"/>
      <c r="E940" s="304"/>
      <c r="F940" s="304"/>
    </row>
    <row r="941" spans="1:6">
      <c r="A941" s="347"/>
      <c r="B941" s="304"/>
      <c r="D941" s="304"/>
      <c r="E941" s="304"/>
      <c r="F941" s="304"/>
    </row>
    <row r="942" spans="1:6">
      <c r="A942" s="347"/>
      <c r="B942" s="304"/>
      <c r="D942" s="304"/>
      <c r="E942" s="304"/>
      <c r="F942" s="304"/>
    </row>
    <row r="943" spans="1:6">
      <c r="A943" s="347"/>
      <c r="B943" s="304"/>
      <c r="D943" s="304"/>
      <c r="E943" s="304"/>
      <c r="F943" s="304"/>
    </row>
    <row r="944" spans="1:6">
      <c r="A944" s="347"/>
      <c r="B944" s="304"/>
      <c r="D944" s="304"/>
      <c r="E944" s="304"/>
      <c r="F944" s="304"/>
    </row>
    <row r="945" spans="1:6">
      <c r="A945" s="347"/>
      <c r="B945" s="304"/>
      <c r="D945" s="304"/>
      <c r="E945" s="304"/>
      <c r="F945" s="304"/>
    </row>
    <row r="946" spans="1:6">
      <c r="A946" s="347"/>
      <c r="B946" s="304"/>
      <c r="D946" s="304"/>
      <c r="E946" s="304"/>
      <c r="F946" s="304"/>
    </row>
    <row r="947" spans="1:6">
      <c r="A947" s="347"/>
      <c r="B947" s="304"/>
      <c r="D947" s="304"/>
      <c r="E947" s="304"/>
      <c r="F947" s="304"/>
    </row>
    <row r="948" spans="1:6">
      <c r="A948" s="347"/>
      <c r="B948" s="304"/>
      <c r="D948" s="304"/>
      <c r="E948" s="304"/>
      <c r="F948" s="304"/>
    </row>
    <row r="949" spans="1:6">
      <c r="A949" s="347"/>
      <c r="B949" s="304"/>
      <c r="D949" s="304"/>
      <c r="E949" s="304"/>
      <c r="F949" s="304"/>
    </row>
    <row r="950" spans="1:6">
      <c r="A950" s="347"/>
      <c r="B950" s="304"/>
      <c r="D950" s="304"/>
      <c r="E950" s="304"/>
      <c r="F950" s="304"/>
    </row>
    <row r="951" spans="1:6">
      <c r="A951" s="347"/>
      <c r="B951" s="304"/>
      <c r="D951" s="304"/>
      <c r="E951" s="304"/>
      <c r="F951" s="304"/>
    </row>
    <row r="952" spans="1:6">
      <c r="A952" s="347"/>
      <c r="B952" s="304"/>
      <c r="D952" s="304"/>
      <c r="E952" s="304"/>
      <c r="F952" s="304"/>
    </row>
    <row r="953" spans="1:6">
      <c r="A953" s="347"/>
      <c r="B953" s="304"/>
      <c r="D953" s="304"/>
      <c r="E953" s="304"/>
      <c r="F953" s="304"/>
    </row>
    <row r="954" spans="1:6">
      <c r="A954" s="347"/>
      <c r="B954" s="304"/>
      <c r="D954" s="304"/>
      <c r="E954" s="304"/>
      <c r="F954" s="304"/>
    </row>
    <row r="955" spans="1:6">
      <c r="A955" s="347"/>
      <c r="B955" s="304"/>
      <c r="D955" s="304"/>
      <c r="E955" s="304"/>
      <c r="F955" s="304"/>
    </row>
    <row r="956" spans="1:6">
      <c r="A956" s="347"/>
      <c r="B956" s="304"/>
      <c r="D956" s="304"/>
      <c r="E956" s="304"/>
      <c r="F956" s="304"/>
    </row>
    <row r="957" spans="1:6">
      <c r="A957" s="347"/>
      <c r="B957" s="304"/>
      <c r="D957" s="304"/>
      <c r="E957" s="304"/>
      <c r="F957" s="304"/>
    </row>
    <row r="958" spans="1:6">
      <c r="A958" s="347"/>
      <c r="B958" s="304"/>
      <c r="D958" s="304"/>
      <c r="E958" s="304"/>
      <c r="F958" s="304"/>
    </row>
    <row r="959" spans="1:6">
      <c r="A959" s="347"/>
      <c r="B959" s="304"/>
      <c r="D959" s="304"/>
      <c r="E959" s="304"/>
      <c r="F959" s="304"/>
    </row>
    <row r="960" spans="1:6">
      <c r="A960" s="347"/>
      <c r="B960" s="304"/>
      <c r="D960" s="304"/>
      <c r="E960" s="304"/>
      <c r="F960" s="304"/>
    </row>
    <row r="961" spans="1:6">
      <c r="A961" s="347"/>
      <c r="B961" s="304"/>
      <c r="D961" s="304"/>
      <c r="E961" s="304"/>
      <c r="F961" s="304"/>
    </row>
    <row r="962" spans="1:6">
      <c r="A962" s="347"/>
      <c r="B962" s="304"/>
      <c r="D962" s="304"/>
      <c r="E962" s="304"/>
      <c r="F962" s="304"/>
    </row>
    <row r="963" spans="1:6">
      <c r="A963" s="347"/>
      <c r="B963" s="304"/>
      <c r="D963" s="304"/>
      <c r="E963" s="304"/>
      <c r="F963" s="304"/>
    </row>
    <row r="964" spans="1:6">
      <c r="A964" s="347"/>
      <c r="B964" s="304"/>
      <c r="D964" s="304"/>
      <c r="E964" s="304"/>
      <c r="F964" s="304"/>
    </row>
    <row r="965" spans="1:6">
      <c r="A965" s="347"/>
      <c r="B965" s="304"/>
      <c r="D965" s="304"/>
      <c r="E965" s="304"/>
      <c r="F965" s="304"/>
    </row>
    <row r="966" spans="1:6">
      <c r="A966" s="347"/>
      <c r="B966" s="304"/>
      <c r="D966" s="304"/>
      <c r="E966" s="304"/>
      <c r="F966" s="304"/>
    </row>
    <row r="967" spans="1:6">
      <c r="A967" s="347"/>
      <c r="B967" s="304"/>
      <c r="D967" s="304"/>
      <c r="E967" s="304"/>
      <c r="F967" s="304"/>
    </row>
    <row r="968" spans="1:6">
      <c r="A968" s="347"/>
      <c r="B968" s="304"/>
      <c r="D968" s="304"/>
      <c r="E968" s="304"/>
      <c r="F968" s="304"/>
    </row>
    <row r="969" spans="1:6">
      <c r="A969" s="347"/>
      <c r="B969" s="304"/>
      <c r="D969" s="304"/>
      <c r="E969" s="304"/>
      <c r="F969" s="304"/>
    </row>
    <row r="970" spans="1:6">
      <c r="A970" s="347"/>
      <c r="B970" s="304"/>
      <c r="D970" s="304"/>
      <c r="E970" s="304"/>
      <c r="F970" s="304"/>
    </row>
    <row r="971" spans="1:6">
      <c r="A971" s="347"/>
      <c r="B971" s="304"/>
      <c r="D971" s="304"/>
      <c r="E971" s="304"/>
      <c r="F971" s="304"/>
    </row>
    <row r="972" spans="1:6">
      <c r="A972" s="347"/>
      <c r="B972" s="304"/>
      <c r="D972" s="304"/>
      <c r="E972" s="304"/>
      <c r="F972" s="304"/>
    </row>
    <row r="973" spans="1:6">
      <c r="A973" s="347"/>
      <c r="B973" s="304"/>
      <c r="D973" s="304"/>
      <c r="E973" s="304"/>
      <c r="F973" s="304"/>
    </row>
    <row r="974" spans="1:6">
      <c r="A974" s="347"/>
      <c r="B974" s="304"/>
      <c r="D974" s="304"/>
      <c r="E974" s="304"/>
      <c r="F974" s="304"/>
    </row>
    <row r="975" spans="1:6">
      <c r="A975" s="347"/>
      <c r="B975" s="304"/>
      <c r="D975" s="304"/>
      <c r="E975" s="304"/>
      <c r="F975" s="304"/>
    </row>
    <row r="976" spans="1:6">
      <c r="A976" s="347"/>
      <c r="B976" s="304"/>
      <c r="D976" s="304"/>
      <c r="E976" s="304"/>
      <c r="F976" s="304"/>
    </row>
    <row r="977" spans="1:6">
      <c r="A977" s="347"/>
      <c r="B977" s="304"/>
      <c r="D977" s="304"/>
      <c r="E977" s="304"/>
      <c r="F977" s="304"/>
    </row>
    <row r="978" spans="1:6">
      <c r="A978" s="347"/>
      <c r="B978" s="304"/>
      <c r="D978" s="304"/>
      <c r="E978" s="304"/>
      <c r="F978" s="304"/>
    </row>
    <row r="979" spans="1:6">
      <c r="A979" s="347"/>
      <c r="B979" s="304"/>
      <c r="D979" s="304"/>
      <c r="E979" s="304"/>
      <c r="F979" s="304"/>
    </row>
    <row r="980" spans="1:6">
      <c r="A980" s="347"/>
      <c r="B980" s="304"/>
      <c r="D980" s="304"/>
      <c r="E980" s="304"/>
      <c r="F980" s="304"/>
    </row>
    <row r="981" spans="1:6">
      <c r="A981" s="347"/>
      <c r="B981" s="304"/>
      <c r="D981" s="304"/>
      <c r="E981" s="304"/>
      <c r="F981" s="304"/>
    </row>
    <row r="982" spans="1:6">
      <c r="A982" s="347"/>
      <c r="B982" s="304"/>
      <c r="D982" s="304"/>
      <c r="E982" s="304"/>
      <c r="F982" s="304"/>
    </row>
    <row r="983" spans="1:6">
      <c r="A983" s="347"/>
      <c r="B983" s="304"/>
      <c r="D983" s="304"/>
      <c r="E983" s="304"/>
      <c r="F983" s="304"/>
    </row>
    <row r="984" spans="1:6">
      <c r="A984" s="347"/>
      <c r="B984" s="304"/>
      <c r="D984" s="304"/>
      <c r="E984" s="304"/>
      <c r="F984" s="304"/>
    </row>
    <row r="985" spans="1:6">
      <c r="A985" s="347"/>
      <c r="B985" s="304"/>
      <c r="D985" s="304"/>
      <c r="E985" s="304"/>
      <c r="F985" s="304"/>
    </row>
    <row r="986" spans="1:6">
      <c r="A986" s="347"/>
      <c r="B986" s="304"/>
      <c r="D986" s="304"/>
      <c r="E986" s="304"/>
      <c r="F986" s="304"/>
    </row>
    <row r="987" spans="1:6">
      <c r="A987" s="347"/>
      <c r="B987" s="304"/>
      <c r="D987" s="304"/>
      <c r="E987" s="304"/>
      <c r="F987" s="304"/>
    </row>
    <row r="988" spans="1:6">
      <c r="A988" s="347"/>
      <c r="B988" s="304"/>
      <c r="D988" s="304"/>
      <c r="E988" s="304"/>
      <c r="F988" s="304"/>
    </row>
    <row r="989" spans="1:6">
      <c r="A989" s="347"/>
      <c r="B989" s="304"/>
      <c r="D989" s="304"/>
      <c r="E989" s="304"/>
      <c r="F989" s="304"/>
    </row>
    <row r="990" spans="1:6">
      <c r="A990" s="347"/>
      <c r="B990" s="304"/>
      <c r="D990" s="304"/>
      <c r="E990" s="304"/>
      <c r="F990" s="304"/>
    </row>
    <row r="991" spans="1:6">
      <c r="A991" s="347"/>
      <c r="B991" s="304"/>
      <c r="D991" s="304"/>
      <c r="E991" s="304"/>
      <c r="F991" s="304"/>
    </row>
    <row r="992" spans="1:6">
      <c r="A992" s="347"/>
      <c r="B992" s="304"/>
      <c r="D992" s="304"/>
      <c r="E992" s="304"/>
      <c r="F992" s="304"/>
    </row>
    <row r="993" spans="1:6">
      <c r="A993" s="347"/>
      <c r="B993" s="304"/>
      <c r="D993" s="304"/>
      <c r="E993" s="304"/>
      <c r="F993" s="304"/>
    </row>
    <row r="994" spans="1:6">
      <c r="A994" s="347"/>
      <c r="B994" s="304"/>
      <c r="D994" s="304"/>
      <c r="E994" s="304"/>
      <c r="F994" s="304"/>
    </row>
    <row r="995" spans="1:6">
      <c r="A995" s="347"/>
      <c r="B995" s="304"/>
      <c r="D995" s="304"/>
      <c r="E995" s="304"/>
      <c r="F995" s="304"/>
    </row>
    <row r="996" spans="1:6">
      <c r="A996" s="347"/>
      <c r="B996" s="304"/>
      <c r="D996" s="304"/>
      <c r="E996" s="304"/>
      <c r="F996" s="304"/>
    </row>
    <row r="997" spans="1:6">
      <c r="A997" s="347"/>
      <c r="B997" s="304"/>
      <c r="D997" s="304"/>
      <c r="E997" s="304"/>
      <c r="F997" s="304"/>
    </row>
    <row r="998" spans="1:6">
      <c r="A998" s="347"/>
      <c r="B998" s="304"/>
      <c r="D998" s="304"/>
      <c r="E998" s="304"/>
      <c r="F998" s="304"/>
    </row>
    <row r="999" spans="1:6">
      <c r="A999" s="347"/>
      <c r="B999" s="304"/>
      <c r="D999" s="304"/>
      <c r="E999" s="304"/>
      <c r="F999" s="304"/>
    </row>
    <row r="1000" spans="1:6">
      <c r="A1000" s="347"/>
      <c r="B1000" s="304"/>
      <c r="D1000" s="304"/>
      <c r="E1000" s="304"/>
      <c r="F1000" s="304"/>
    </row>
    <row r="1001" spans="1:6">
      <c r="A1001" s="347"/>
      <c r="B1001" s="304"/>
      <c r="D1001" s="304"/>
      <c r="E1001" s="304"/>
      <c r="F1001" s="304"/>
    </row>
    <row r="1002" spans="1:6">
      <c r="A1002" s="347"/>
      <c r="B1002" s="304"/>
      <c r="D1002" s="304"/>
      <c r="E1002" s="304"/>
      <c r="F1002" s="304"/>
    </row>
    <row r="1003" spans="1:6">
      <c r="A1003" s="347"/>
      <c r="B1003" s="304"/>
      <c r="D1003" s="304"/>
      <c r="E1003" s="304"/>
      <c r="F1003" s="304"/>
    </row>
    <row r="1004" spans="1:6">
      <c r="A1004" s="347"/>
      <c r="B1004" s="304"/>
      <c r="D1004" s="304"/>
      <c r="E1004" s="304"/>
      <c r="F1004" s="304"/>
    </row>
    <row r="1005" spans="1:6">
      <c r="A1005" s="347"/>
      <c r="B1005" s="304"/>
      <c r="D1005" s="304"/>
      <c r="E1005" s="304"/>
      <c r="F1005" s="304"/>
    </row>
    <row r="1006" spans="1:6">
      <c r="A1006" s="347"/>
      <c r="B1006" s="304"/>
      <c r="D1006" s="304"/>
      <c r="E1006" s="304"/>
      <c r="F1006" s="304"/>
    </row>
    <row r="1007" spans="1:6">
      <c r="A1007" s="347"/>
      <c r="B1007" s="304"/>
      <c r="D1007" s="304"/>
      <c r="E1007" s="304"/>
      <c r="F1007" s="304"/>
    </row>
    <row r="1008" spans="1:6">
      <c r="A1008" s="347"/>
      <c r="B1008" s="304"/>
      <c r="D1008" s="304"/>
      <c r="E1008" s="304"/>
      <c r="F1008" s="304"/>
    </row>
    <row r="1009" spans="1:6">
      <c r="A1009" s="347"/>
      <c r="B1009" s="304"/>
      <c r="D1009" s="304"/>
      <c r="E1009" s="304"/>
      <c r="F1009" s="304"/>
    </row>
    <row r="1010" spans="1:6">
      <c r="A1010" s="347"/>
      <c r="B1010" s="304"/>
      <c r="D1010" s="304"/>
      <c r="E1010" s="304"/>
      <c r="F1010" s="304"/>
    </row>
    <row r="1011" spans="1:6">
      <c r="A1011" s="347"/>
      <c r="B1011" s="304"/>
      <c r="D1011" s="304"/>
      <c r="E1011" s="304"/>
      <c r="F1011" s="304"/>
    </row>
    <row r="1012" spans="1:6">
      <c r="A1012" s="347"/>
      <c r="B1012" s="304"/>
      <c r="D1012" s="304"/>
      <c r="E1012" s="304"/>
      <c r="F1012" s="304"/>
    </row>
    <row r="1013" spans="1:6">
      <c r="A1013" s="347"/>
      <c r="B1013" s="304"/>
      <c r="D1013" s="304"/>
      <c r="E1013" s="304"/>
      <c r="F1013" s="304"/>
    </row>
    <row r="1014" spans="1:6">
      <c r="A1014" s="347"/>
      <c r="B1014" s="304"/>
      <c r="D1014" s="304"/>
      <c r="E1014" s="304"/>
      <c r="F1014" s="304"/>
    </row>
    <row r="1015" spans="1:6">
      <c r="A1015" s="347"/>
      <c r="B1015" s="304"/>
      <c r="D1015" s="304"/>
      <c r="E1015" s="304"/>
      <c r="F1015" s="304"/>
    </row>
    <row r="1016" spans="1:6">
      <c r="A1016" s="347"/>
      <c r="B1016" s="304"/>
      <c r="D1016" s="304"/>
      <c r="E1016" s="304"/>
      <c r="F1016" s="304"/>
    </row>
    <row r="1017" spans="1:6">
      <c r="A1017" s="347"/>
      <c r="B1017" s="304"/>
      <c r="D1017" s="304"/>
      <c r="E1017" s="304"/>
      <c r="F1017" s="304"/>
    </row>
    <row r="1018" spans="1:6">
      <c r="A1018" s="347"/>
      <c r="B1018" s="304"/>
      <c r="D1018" s="304"/>
      <c r="E1018" s="304"/>
      <c r="F1018" s="304"/>
    </row>
    <row r="1019" spans="1:6">
      <c r="A1019" s="347"/>
      <c r="B1019" s="304"/>
      <c r="D1019" s="304"/>
      <c r="E1019" s="304"/>
      <c r="F1019" s="304"/>
    </row>
    <row r="1020" spans="1:6">
      <c r="A1020" s="347"/>
      <c r="B1020" s="304"/>
      <c r="D1020" s="304"/>
      <c r="E1020" s="304"/>
      <c r="F1020" s="304"/>
    </row>
    <row r="1021" spans="1:6">
      <c r="A1021" s="347"/>
      <c r="B1021" s="304"/>
      <c r="D1021" s="304"/>
      <c r="E1021" s="304"/>
      <c r="F1021" s="304"/>
    </row>
    <row r="1022" spans="1:6">
      <c r="A1022" s="347"/>
      <c r="B1022" s="304"/>
      <c r="D1022" s="304"/>
      <c r="E1022" s="304"/>
      <c r="F1022" s="304"/>
    </row>
    <row r="1023" spans="1:6">
      <c r="A1023" s="347"/>
      <c r="B1023" s="304"/>
      <c r="D1023" s="304"/>
      <c r="E1023" s="304"/>
      <c r="F1023" s="304"/>
    </row>
    <row r="1024" spans="1:6">
      <c r="A1024" s="347"/>
      <c r="B1024" s="304"/>
      <c r="D1024" s="304"/>
      <c r="E1024" s="304"/>
      <c r="F1024" s="304"/>
    </row>
    <row r="1025" spans="1:6">
      <c r="A1025" s="347"/>
      <c r="B1025" s="304"/>
      <c r="D1025" s="304"/>
      <c r="E1025" s="304"/>
      <c r="F1025" s="304"/>
    </row>
    <row r="1026" spans="1:6">
      <c r="A1026" s="347"/>
      <c r="B1026" s="304"/>
      <c r="D1026" s="304"/>
      <c r="E1026" s="304"/>
      <c r="F1026" s="304"/>
    </row>
    <row r="1027" spans="1:6">
      <c r="A1027" s="347"/>
      <c r="B1027" s="304"/>
      <c r="D1027" s="304"/>
      <c r="E1027" s="304"/>
      <c r="F1027" s="304"/>
    </row>
    <row r="1028" spans="1:6">
      <c r="A1028" s="347"/>
      <c r="B1028" s="304"/>
      <c r="D1028" s="304"/>
      <c r="E1028" s="304"/>
      <c r="F1028" s="304"/>
    </row>
    <row r="1029" spans="1:6">
      <c r="A1029" s="347"/>
      <c r="B1029" s="304"/>
      <c r="D1029" s="304"/>
      <c r="E1029" s="304"/>
      <c r="F1029" s="304"/>
    </row>
    <row r="1030" spans="1:6">
      <c r="A1030" s="347"/>
      <c r="B1030" s="304"/>
      <c r="D1030" s="304"/>
      <c r="E1030" s="304"/>
      <c r="F1030" s="304"/>
    </row>
    <row r="1031" spans="1:6">
      <c r="A1031" s="347"/>
      <c r="B1031" s="304"/>
      <c r="D1031" s="304"/>
      <c r="E1031" s="304"/>
      <c r="F1031" s="304"/>
    </row>
    <row r="1032" spans="1:6">
      <c r="A1032" s="347"/>
      <c r="B1032" s="304"/>
      <c r="D1032" s="304"/>
      <c r="E1032" s="304"/>
      <c r="F1032" s="304"/>
    </row>
    <row r="1033" spans="1:6">
      <c r="A1033" s="347"/>
      <c r="B1033" s="304"/>
      <c r="D1033" s="304"/>
      <c r="E1033" s="304"/>
      <c r="F1033" s="304"/>
    </row>
    <row r="1034" spans="1:6">
      <c r="A1034" s="347"/>
      <c r="B1034" s="304"/>
      <c r="D1034" s="304"/>
      <c r="E1034" s="304"/>
      <c r="F1034" s="304"/>
    </row>
    <row r="1035" spans="1:6">
      <c r="A1035" s="347"/>
      <c r="B1035" s="304"/>
      <c r="D1035" s="304"/>
      <c r="E1035" s="304"/>
      <c r="F1035" s="304"/>
    </row>
    <row r="1036" spans="1:6">
      <c r="A1036" s="347"/>
      <c r="B1036" s="304"/>
      <c r="D1036" s="304"/>
      <c r="E1036" s="304"/>
      <c r="F1036" s="304"/>
    </row>
    <row r="1037" spans="1:6">
      <c r="A1037" s="347"/>
      <c r="B1037" s="304"/>
      <c r="D1037" s="304"/>
      <c r="E1037" s="304"/>
      <c r="F1037" s="304"/>
    </row>
    <row r="1038" spans="1:6">
      <c r="A1038" s="347"/>
      <c r="B1038" s="304"/>
      <c r="D1038" s="304"/>
      <c r="E1038" s="304"/>
      <c r="F1038" s="304"/>
    </row>
    <row r="1039" spans="1:6">
      <c r="A1039" s="347"/>
      <c r="B1039" s="304"/>
      <c r="D1039" s="304"/>
      <c r="E1039" s="304"/>
      <c r="F1039" s="304"/>
    </row>
    <row r="1040" spans="1:6">
      <c r="A1040" s="347"/>
      <c r="B1040" s="304"/>
      <c r="D1040" s="304"/>
      <c r="E1040" s="304"/>
      <c r="F1040" s="304"/>
    </row>
    <row r="1041" spans="1:6">
      <c r="A1041" s="347"/>
      <c r="B1041" s="304"/>
      <c r="D1041" s="304"/>
      <c r="E1041" s="304"/>
      <c r="F1041" s="304"/>
    </row>
    <row r="1042" spans="1:6">
      <c r="A1042" s="347"/>
      <c r="B1042" s="304"/>
      <c r="D1042" s="304"/>
      <c r="E1042" s="304"/>
      <c r="F1042" s="304"/>
    </row>
    <row r="1043" spans="1:6">
      <c r="A1043" s="347"/>
      <c r="B1043" s="304"/>
      <c r="D1043" s="304"/>
      <c r="E1043" s="304"/>
      <c r="F1043" s="304"/>
    </row>
    <row r="1044" spans="1:6">
      <c r="A1044" s="347"/>
      <c r="B1044" s="304"/>
      <c r="D1044" s="304"/>
      <c r="E1044" s="304"/>
      <c r="F1044" s="304"/>
    </row>
    <row r="1045" spans="1:6">
      <c r="A1045" s="347"/>
      <c r="B1045" s="304"/>
      <c r="D1045" s="304"/>
      <c r="E1045" s="304"/>
      <c r="F1045" s="304"/>
    </row>
    <row r="1046" spans="1:6">
      <c r="A1046" s="347"/>
      <c r="B1046" s="304"/>
      <c r="D1046" s="304"/>
      <c r="E1046" s="304"/>
      <c r="F1046" s="304"/>
    </row>
    <row r="1047" spans="1:6">
      <c r="A1047" s="347"/>
      <c r="B1047" s="304"/>
      <c r="D1047" s="304"/>
      <c r="E1047" s="304"/>
      <c r="F1047" s="304"/>
    </row>
    <row r="1048" spans="1:6">
      <c r="A1048" s="347"/>
      <c r="B1048" s="304"/>
      <c r="D1048" s="304"/>
      <c r="E1048" s="304"/>
      <c r="F1048" s="304"/>
    </row>
    <row r="1049" spans="1:6">
      <c r="A1049" s="347"/>
      <c r="B1049" s="304"/>
      <c r="D1049" s="304"/>
      <c r="E1049" s="304"/>
      <c r="F1049" s="304"/>
    </row>
    <row r="1050" spans="1:6">
      <c r="A1050" s="347"/>
      <c r="B1050" s="304"/>
      <c r="D1050" s="304"/>
      <c r="E1050" s="304"/>
      <c r="F1050" s="304"/>
    </row>
    <row r="1051" spans="1:6">
      <c r="A1051" s="347"/>
      <c r="B1051" s="304"/>
      <c r="D1051" s="304"/>
      <c r="E1051" s="304"/>
      <c r="F1051" s="304"/>
    </row>
    <row r="1052" spans="1:6">
      <c r="A1052" s="347"/>
      <c r="B1052" s="304"/>
      <c r="D1052" s="304"/>
      <c r="E1052" s="304"/>
      <c r="F1052" s="304"/>
    </row>
    <row r="1053" spans="1:6">
      <c r="A1053" s="347"/>
      <c r="B1053" s="304"/>
      <c r="D1053" s="304"/>
      <c r="E1053" s="304"/>
      <c r="F1053" s="304"/>
    </row>
    <row r="1054" spans="1:6">
      <c r="A1054" s="347"/>
      <c r="B1054" s="304"/>
      <c r="D1054" s="304"/>
      <c r="E1054" s="304"/>
      <c r="F1054" s="304"/>
    </row>
    <row r="1055" spans="1:6">
      <c r="A1055" s="347"/>
      <c r="B1055" s="304"/>
      <c r="D1055" s="304"/>
      <c r="E1055" s="304"/>
      <c r="F1055" s="304"/>
    </row>
    <row r="1056" spans="1:6">
      <c r="A1056" s="347"/>
      <c r="B1056" s="304"/>
      <c r="D1056" s="304"/>
      <c r="E1056" s="304"/>
      <c r="F1056" s="304"/>
    </row>
    <row r="1057" spans="1:6">
      <c r="A1057" s="347"/>
      <c r="B1057" s="304"/>
      <c r="D1057" s="304"/>
      <c r="E1057" s="304"/>
      <c r="F1057" s="304"/>
    </row>
    <row r="1058" spans="1:6">
      <c r="A1058" s="347"/>
      <c r="B1058" s="304"/>
      <c r="D1058" s="304"/>
      <c r="E1058" s="304"/>
      <c r="F1058" s="304"/>
    </row>
    <row r="1059" spans="1:6">
      <c r="A1059" s="347"/>
      <c r="B1059" s="304"/>
      <c r="D1059" s="304"/>
      <c r="E1059" s="304"/>
      <c r="F1059" s="304"/>
    </row>
    <row r="1060" spans="1:6">
      <c r="A1060" s="347"/>
      <c r="B1060" s="304"/>
      <c r="D1060" s="304"/>
      <c r="E1060" s="304"/>
      <c r="F1060" s="304"/>
    </row>
    <row r="1061" spans="1:6">
      <c r="A1061" s="347"/>
      <c r="B1061" s="304"/>
      <c r="D1061" s="304"/>
      <c r="E1061" s="304"/>
      <c r="F1061" s="304"/>
    </row>
    <row r="1062" spans="1:6">
      <c r="A1062" s="347"/>
      <c r="B1062" s="304"/>
      <c r="D1062" s="304"/>
      <c r="E1062" s="304"/>
      <c r="F1062" s="304"/>
    </row>
    <row r="1063" spans="1:6">
      <c r="A1063" s="347"/>
      <c r="B1063" s="304"/>
      <c r="D1063" s="304"/>
      <c r="E1063" s="304"/>
      <c r="F1063" s="304"/>
    </row>
    <row r="1064" spans="1:6">
      <c r="A1064" s="347"/>
      <c r="B1064" s="304"/>
      <c r="D1064" s="304"/>
      <c r="E1064" s="304"/>
      <c r="F1064" s="304"/>
    </row>
    <row r="1065" spans="1:6">
      <c r="A1065" s="347"/>
      <c r="B1065" s="304"/>
      <c r="D1065" s="304"/>
      <c r="E1065" s="304"/>
      <c r="F1065" s="304"/>
    </row>
    <row r="1066" spans="1:6">
      <c r="A1066" s="347"/>
      <c r="B1066" s="304"/>
      <c r="D1066" s="304"/>
      <c r="E1066" s="304"/>
      <c r="F1066" s="304"/>
    </row>
    <row r="1067" spans="1:6">
      <c r="A1067" s="347"/>
      <c r="B1067" s="304"/>
      <c r="D1067" s="304"/>
      <c r="E1067" s="304"/>
      <c r="F1067" s="304"/>
    </row>
    <row r="1068" spans="1:6">
      <c r="A1068" s="347"/>
      <c r="B1068" s="304"/>
      <c r="D1068" s="304"/>
      <c r="E1068" s="304"/>
      <c r="F1068" s="304"/>
    </row>
    <row r="1069" spans="1:6">
      <c r="A1069" s="347"/>
      <c r="B1069" s="304"/>
      <c r="D1069" s="304"/>
      <c r="E1069" s="304"/>
      <c r="F1069" s="304"/>
    </row>
    <row r="1070" spans="1:6">
      <c r="A1070" s="347"/>
      <c r="B1070" s="304"/>
      <c r="D1070" s="304"/>
      <c r="E1070" s="304"/>
      <c r="F1070" s="304"/>
    </row>
    <row r="1071" spans="1:6">
      <c r="A1071" s="347"/>
      <c r="B1071" s="304"/>
      <c r="D1071" s="304"/>
      <c r="E1071" s="304"/>
      <c r="F1071" s="304"/>
    </row>
    <row r="1072" spans="1:6">
      <c r="A1072" s="347"/>
      <c r="B1072" s="304"/>
      <c r="D1072" s="304"/>
      <c r="E1072" s="304"/>
      <c r="F1072" s="304"/>
    </row>
    <row r="1073" spans="1:6">
      <c r="A1073" s="347"/>
      <c r="B1073" s="304"/>
      <c r="D1073" s="304"/>
      <c r="E1073" s="304"/>
      <c r="F1073" s="304"/>
    </row>
    <row r="1074" spans="1:6">
      <c r="A1074" s="347"/>
      <c r="B1074" s="304"/>
      <c r="D1074" s="304"/>
      <c r="E1074" s="304"/>
      <c r="F1074" s="304"/>
    </row>
    <row r="1075" spans="1:6">
      <c r="A1075" s="347"/>
      <c r="B1075" s="304"/>
      <c r="D1075" s="304"/>
      <c r="E1075" s="304"/>
      <c r="F1075" s="304"/>
    </row>
    <row r="1076" spans="1:6">
      <c r="A1076" s="347"/>
      <c r="B1076" s="304"/>
      <c r="D1076" s="304"/>
      <c r="E1076" s="304"/>
      <c r="F1076" s="304"/>
    </row>
    <row r="1077" spans="1:6">
      <c r="A1077" s="347"/>
      <c r="B1077" s="304"/>
      <c r="D1077" s="304"/>
      <c r="E1077" s="304"/>
      <c r="F1077" s="304"/>
    </row>
    <row r="1078" spans="1:6">
      <c r="A1078" s="347"/>
      <c r="B1078" s="304"/>
      <c r="D1078" s="304"/>
      <c r="E1078" s="304"/>
      <c r="F1078" s="304"/>
    </row>
    <row r="1079" spans="1:6">
      <c r="A1079" s="347"/>
      <c r="B1079" s="304"/>
      <c r="D1079" s="304"/>
      <c r="E1079" s="304"/>
      <c r="F1079" s="304"/>
    </row>
    <row r="1080" spans="1:6">
      <c r="A1080" s="347"/>
      <c r="B1080" s="304"/>
      <c r="D1080" s="304"/>
      <c r="E1080" s="304"/>
      <c r="F1080" s="304"/>
    </row>
    <row r="1081" spans="1:6">
      <c r="A1081" s="347"/>
      <c r="B1081" s="304"/>
      <c r="D1081" s="304"/>
      <c r="E1081" s="304"/>
      <c r="F1081" s="304"/>
    </row>
    <row r="1082" spans="1:6">
      <c r="A1082" s="347"/>
      <c r="B1082" s="304"/>
      <c r="D1082" s="304"/>
      <c r="E1082" s="304"/>
      <c r="F1082" s="304"/>
    </row>
    <row r="1083" spans="1:6">
      <c r="A1083" s="347"/>
      <c r="B1083" s="304"/>
      <c r="D1083" s="304"/>
      <c r="E1083" s="304"/>
      <c r="F1083" s="304"/>
    </row>
    <row r="1084" spans="1:6">
      <c r="A1084" s="347"/>
      <c r="B1084" s="304"/>
      <c r="D1084" s="304"/>
      <c r="E1084" s="304"/>
      <c r="F1084" s="304"/>
    </row>
    <row r="1085" spans="1:6">
      <c r="A1085" s="347"/>
      <c r="B1085" s="304"/>
      <c r="D1085" s="304"/>
      <c r="E1085" s="304"/>
      <c r="F1085" s="304"/>
    </row>
    <row r="1086" spans="1:6">
      <c r="A1086" s="347"/>
      <c r="B1086" s="304"/>
      <c r="D1086" s="304"/>
      <c r="E1086" s="304"/>
      <c r="F1086" s="304"/>
    </row>
    <row r="1087" spans="1:6">
      <c r="A1087" s="347"/>
      <c r="B1087" s="304"/>
      <c r="D1087" s="304"/>
      <c r="E1087" s="304"/>
      <c r="F1087" s="304"/>
    </row>
    <row r="1088" spans="1:6">
      <c r="A1088" s="347"/>
      <c r="B1088" s="304"/>
      <c r="D1088" s="304"/>
      <c r="E1088" s="304"/>
      <c r="F1088" s="304"/>
    </row>
    <row r="1089" spans="1:6">
      <c r="A1089" s="347"/>
      <c r="B1089" s="304"/>
      <c r="D1089" s="304"/>
      <c r="E1089" s="304"/>
      <c r="F1089" s="304"/>
    </row>
    <row r="1090" spans="1:6">
      <c r="A1090" s="347"/>
      <c r="B1090" s="304"/>
      <c r="D1090" s="304"/>
      <c r="E1090" s="304"/>
      <c r="F1090" s="304"/>
    </row>
    <row r="1091" spans="1:6">
      <c r="A1091" s="347"/>
      <c r="B1091" s="304"/>
      <c r="D1091" s="304"/>
      <c r="E1091" s="304"/>
      <c r="F1091" s="304"/>
    </row>
    <row r="1092" spans="1:6">
      <c r="A1092" s="347"/>
      <c r="B1092" s="304"/>
      <c r="D1092" s="304"/>
      <c r="E1092" s="304"/>
      <c r="F1092" s="304"/>
    </row>
    <row r="1093" spans="1:6">
      <c r="A1093" s="347"/>
      <c r="B1093" s="304"/>
      <c r="D1093" s="304"/>
      <c r="E1093" s="304"/>
      <c r="F1093" s="304"/>
    </row>
    <row r="1094" spans="1:6">
      <c r="A1094" s="347"/>
      <c r="B1094" s="304"/>
      <c r="D1094" s="304"/>
      <c r="E1094" s="304"/>
      <c r="F1094" s="304"/>
    </row>
    <row r="1095" spans="1:6">
      <c r="A1095" s="347"/>
      <c r="B1095" s="304"/>
      <c r="D1095" s="304"/>
      <c r="E1095" s="304"/>
      <c r="F1095" s="304"/>
    </row>
    <row r="1096" spans="1:6">
      <c r="A1096" s="347"/>
      <c r="B1096" s="304"/>
      <c r="D1096" s="304"/>
      <c r="E1096" s="304"/>
      <c r="F1096" s="304"/>
    </row>
    <row r="1097" spans="1:6">
      <c r="A1097" s="347"/>
      <c r="B1097" s="304"/>
      <c r="D1097" s="304"/>
      <c r="E1097" s="304"/>
      <c r="F1097" s="304"/>
    </row>
    <row r="1098" spans="1:6">
      <c r="A1098" s="347"/>
      <c r="B1098" s="304"/>
      <c r="D1098" s="304"/>
      <c r="E1098" s="304"/>
      <c r="F1098" s="304"/>
    </row>
    <row r="1099" spans="1:6">
      <c r="A1099" s="347"/>
      <c r="B1099" s="304"/>
      <c r="D1099" s="304"/>
      <c r="E1099" s="304"/>
      <c r="F1099" s="304"/>
    </row>
    <row r="1100" spans="1:6">
      <c r="A1100" s="347"/>
      <c r="B1100" s="304"/>
      <c r="D1100" s="304"/>
      <c r="E1100" s="304"/>
      <c r="F1100" s="304"/>
    </row>
    <row r="1101" spans="1:6">
      <c r="A1101" s="347"/>
      <c r="B1101" s="304"/>
      <c r="D1101" s="304"/>
      <c r="E1101" s="304"/>
      <c r="F1101" s="304"/>
    </row>
    <row r="1102" spans="1:6">
      <c r="A1102" s="347"/>
      <c r="B1102" s="304"/>
      <c r="D1102" s="304"/>
      <c r="E1102" s="304"/>
      <c r="F1102" s="304"/>
    </row>
    <row r="1103" spans="1:6">
      <c r="A1103" s="347"/>
      <c r="B1103" s="304"/>
      <c r="D1103" s="304"/>
      <c r="E1103" s="304"/>
      <c r="F1103" s="304"/>
    </row>
    <row r="1104" spans="1:6">
      <c r="A1104" s="347"/>
      <c r="B1104" s="304"/>
      <c r="D1104" s="304"/>
      <c r="E1104" s="304"/>
      <c r="F1104" s="304"/>
    </row>
    <row r="1105" spans="1:6">
      <c r="A1105" s="347"/>
      <c r="B1105" s="304"/>
      <c r="D1105" s="304"/>
      <c r="E1105" s="304"/>
      <c r="F1105" s="304"/>
    </row>
    <row r="1106" spans="1:6">
      <c r="A1106" s="347"/>
      <c r="B1106" s="304"/>
      <c r="D1106" s="304"/>
      <c r="E1106" s="304"/>
      <c r="F1106" s="304"/>
    </row>
    <row r="1107" spans="1:6">
      <c r="A1107" s="347"/>
      <c r="B1107" s="304"/>
      <c r="D1107" s="304"/>
      <c r="E1107" s="304"/>
      <c r="F1107" s="304"/>
    </row>
    <row r="1108" spans="1:6">
      <c r="A1108" s="347"/>
      <c r="B1108" s="304"/>
      <c r="D1108" s="304"/>
      <c r="E1108" s="304"/>
      <c r="F1108" s="304"/>
    </row>
    <row r="1109" spans="1:6">
      <c r="A1109" s="347"/>
      <c r="B1109" s="304"/>
      <c r="D1109" s="304"/>
      <c r="E1109" s="304"/>
      <c r="F1109" s="304"/>
    </row>
    <row r="1110" spans="1:6">
      <c r="A1110" s="347"/>
      <c r="B1110" s="304"/>
      <c r="D1110" s="304"/>
      <c r="E1110" s="304"/>
      <c r="F1110" s="304"/>
    </row>
    <row r="1111" spans="1:6">
      <c r="A1111" s="347"/>
      <c r="B1111" s="304"/>
      <c r="D1111" s="304"/>
      <c r="E1111" s="304"/>
      <c r="F1111" s="304"/>
    </row>
    <row r="1112" spans="1:6">
      <c r="A1112" s="347"/>
      <c r="B1112" s="304"/>
      <c r="D1112" s="304"/>
      <c r="E1112" s="304"/>
      <c r="F1112" s="304"/>
    </row>
    <row r="1113" spans="1:6">
      <c r="A1113" s="347"/>
      <c r="B1113" s="304"/>
      <c r="D1113" s="304"/>
      <c r="E1113" s="304"/>
      <c r="F1113" s="304"/>
    </row>
    <row r="1114" spans="1:6">
      <c r="A1114" s="347"/>
      <c r="B1114" s="304"/>
      <c r="D1114" s="304"/>
      <c r="E1114" s="304"/>
      <c r="F1114" s="304"/>
    </row>
    <row r="1115" spans="1:6">
      <c r="A1115" s="347"/>
      <c r="B1115" s="304"/>
      <c r="D1115" s="304"/>
      <c r="E1115" s="304"/>
      <c r="F1115" s="304"/>
    </row>
    <row r="1116" spans="1:6">
      <c r="A1116" s="347"/>
      <c r="B1116" s="304"/>
      <c r="D1116" s="304"/>
      <c r="E1116" s="304"/>
      <c r="F1116" s="304"/>
    </row>
    <row r="1117" spans="1:6">
      <c r="A1117" s="347"/>
      <c r="B1117" s="304"/>
      <c r="D1117" s="304"/>
      <c r="E1117" s="304"/>
      <c r="F1117" s="304"/>
    </row>
    <row r="1118" spans="1:6">
      <c r="A1118" s="347"/>
      <c r="B1118" s="304"/>
      <c r="D1118" s="304"/>
      <c r="E1118" s="304"/>
      <c r="F1118" s="304"/>
    </row>
    <row r="1119" spans="1:6">
      <c r="A1119" s="347"/>
      <c r="B1119" s="304"/>
      <c r="D1119" s="304"/>
      <c r="E1119" s="304"/>
      <c r="F1119" s="304"/>
    </row>
    <row r="1120" spans="1:6">
      <c r="A1120" s="347"/>
      <c r="B1120" s="304"/>
      <c r="D1120" s="304"/>
      <c r="E1120" s="304"/>
      <c r="F1120" s="304"/>
    </row>
    <row r="1121" spans="1:6">
      <c r="A1121" s="347"/>
      <c r="B1121" s="304"/>
      <c r="D1121" s="304"/>
      <c r="E1121" s="304"/>
      <c r="F1121" s="304"/>
    </row>
    <row r="1122" spans="1:6">
      <c r="A1122" s="347"/>
      <c r="B1122" s="304"/>
      <c r="D1122" s="304"/>
      <c r="E1122" s="304"/>
      <c r="F1122" s="304"/>
    </row>
    <row r="1123" spans="1:6">
      <c r="A1123" s="347"/>
      <c r="B1123" s="304"/>
      <c r="D1123" s="304"/>
      <c r="E1123" s="304"/>
      <c r="F1123" s="304"/>
    </row>
    <row r="1124" spans="1:6">
      <c r="A1124" s="347"/>
      <c r="B1124" s="304"/>
      <c r="D1124" s="304"/>
      <c r="E1124" s="304"/>
      <c r="F1124" s="304"/>
    </row>
    <row r="1125" spans="1:6">
      <c r="A1125" s="347"/>
      <c r="B1125" s="304"/>
      <c r="D1125" s="304"/>
      <c r="E1125" s="304"/>
      <c r="F1125" s="304"/>
    </row>
    <row r="1126" spans="1:6">
      <c r="A1126" s="347"/>
      <c r="B1126" s="304"/>
      <c r="D1126" s="304"/>
      <c r="E1126" s="304"/>
      <c r="F1126" s="304"/>
    </row>
    <row r="1127" spans="1:6">
      <c r="A1127" s="347"/>
      <c r="B1127" s="304"/>
      <c r="D1127" s="304"/>
      <c r="E1127" s="304"/>
      <c r="F1127" s="304"/>
    </row>
    <row r="1128" spans="1:6">
      <c r="A1128" s="347"/>
      <c r="B1128" s="304"/>
      <c r="D1128" s="304"/>
      <c r="E1128" s="304"/>
      <c r="F1128" s="304"/>
    </row>
    <row r="1129" spans="1:6">
      <c r="A1129" s="347"/>
      <c r="B1129" s="304"/>
      <c r="D1129" s="304"/>
      <c r="E1129" s="304"/>
      <c r="F1129" s="304"/>
    </row>
    <row r="1130" spans="1:6">
      <c r="A1130" s="347"/>
      <c r="B1130" s="304"/>
      <c r="D1130" s="304"/>
      <c r="E1130" s="304"/>
      <c r="F1130" s="304"/>
    </row>
    <row r="1131" spans="1:6">
      <c r="A1131" s="347"/>
      <c r="B1131" s="304"/>
      <c r="D1131" s="304"/>
      <c r="E1131" s="304"/>
      <c r="F1131" s="304"/>
    </row>
    <row r="1132" spans="1:6">
      <c r="A1132" s="347"/>
      <c r="B1132" s="304"/>
      <c r="D1132" s="304"/>
      <c r="E1132" s="304"/>
      <c r="F1132" s="304"/>
    </row>
    <row r="1133" spans="1:6">
      <c r="A1133" s="347"/>
      <c r="B1133" s="304"/>
      <c r="D1133" s="304"/>
      <c r="E1133" s="304"/>
      <c r="F1133" s="304"/>
    </row>
    <row r="1134" spans="1:6">
      <c r="A1134" s="347"/>
      <c r="B1134" s="304"/>
      <c r="D1134" s="304"/>
      <c r="E1134" s="304"/>
      <c r="F1134" s="304"/>
    </row>
    <row r="1135" spans="1:6">
      <c r="A1135" s="347"/>
      <c r="B1135" s="304"/>
      <c r="D1135" s="304"/>
      <c r="E1135" s="304"/>
      <c r="F1135" s="304"/>
    </row>
    <row r="1136" spans="1:6">
      <c r="A1136" s="347"/>
      <c r="B1136" s="304"/>
      <c r="D1136" s="304"/>
      <c r="E1136" s="304"/>
      <c r="F1136" s="304"/>
    </row>
    <row r="1137" spans="1:6">
      <c r="A1137" s="347"/>
      <c r="B1137" s="304"/>
      <c r="D1137" s="304"/>
      <c r="E1137" s="304"/>
      <c r="F1137" s="304"/>
    </row>
    <row r="1138" spans="1:6">
      <c r="A1138" s="347"/>
      <c r="B1138" s="304"/>
      <c r="D1138" s="304"/>
      <c r="E1138" s="304"/>
      <c r="F1138" s="304"/>
    </row>
    <row r="1139" spans="1:6">
      <c r="A1139" s="347"/>
      <c r="B1139" s="304"/>
      <c r="D1139" s="304"/>
      <c r="E1139" s="304"/>
      <c r="F1139" s="304"/>
    </row>
    <row r="1140" spans="1:6">
      <c r="A1140" s="347"/>
      <c r="B1140" s="304"/>
      <c r="D1140" s="304"/>
      <c r="E1140" s="304"/>
      <c r="F1140" s="304"/>
    </row>
    <row r="1141" spans="1:6">
      <c r="A1141" s="347"/>
      <c r="B1141" s="304"/>
      <c r="D1141" s="304"/>
      <c r="E1141" s="304"/>
      <c r="F1141" s="304"/>
    </row>
    <row r="1142" spans="1:6">
      <c r="A1142" s="347"/>
      <c r="B1142" s="304"/>
      <c r="D1142" s="304"/>
      <c r="E1142" s="304"/>
      <c r="F1142" s="304"/>
    </row>
    <row r="1143" spans="1:6">
      <c r="A1143" s="347"/>
      <c r="B1143" s="304"/>
      <c r="D1143" s="304"/>
      <c r="E1143" s="304"/>
      <c r="F1143" s="304"/>
    </row>
    <row r="1144" spans="1:6">
      <c r="A1144" s="347"/>
      <c r="B1144" s="304"/>
      <c r="D1144" s="304"/>
      <c r="E1144" s="304"/>
      <c r="F1144" s="304"/>
    </row>
    <row r="1145" spans="1:6">
      <c r="A1145" s="347"/>
      <c r="B1145" s="304"/>
      <c r="D1145" s="304"/>
      <c r="E1145" s="304"/>
      <c r="F1145" s="304"/>
    </row>
    <row r="1146" spans="1:6">
      <c r="A1146" s="347"/>
      <c r="B1146" s="304"/>
      <c r="D1146" s="304"/>
      <c r="E1146" s="304"/>
      <c r="F1146" s="304"/>
    </row>
    <row r="1147" spans="1:6">
      <c r="A1147" s="347"/>
      <c r="B1147" s="304"/>
      <c r="D1147" s="304"/>
      <c r="E1147" s="304"/>
      <c r="F1147" s="304"/>
    </row>
    <row r="1148" spans="1:6">
      <c r="A1148" s="347"/>
      <c r="B1148" s="304"/>
      <c r="D1148" s="304"/>
      <c r="E1148" s="304"/>
      <c r="F1148" s="304"/>
    </row>
    <row r="1149" spans="1:6">
      <c r="A1149" s="347"/>
      <c r="B1149" s="304"/>
      <c r="D1149" s="304"/>
      <c r="E1149" s="304"/>
      <c r="F1149" s="304"/>
    </row>
    <row r="1150" spans="1:6">
      <c r="A1150" s="347"/>
      <c r="B1150" s="304"/>
      <c r="D1150" s="304"/>
      <c r="E1150" s="304"/>
      <c r="F1150" s="304"/>
    </row>
    <row r="1151" spans="1:6">
      <c r="A1151" s="347"/>
      <c r="B1151" s="304"/>
      <c r="D1151" s="304"/>
      <c r="E1151" s="304"/>
      <c r="F1151" s="304"/>
    </row>
    <row r="1152" spans="1:6">
      <c r="A1152" s="347"/>
      <c r="B1152" s="304"/>
      <c r="D1152" s="304"/>
      <c r="E1152" s="304"/>
      <c r="F1152" s="304"/>
    </row>
    <row r="1153" spans="1:6">
      <c r="A1153" s="347"/>
      <c r="B1153" s="304"/>
      <c r="D1153" s="304"/>
      <c r="E1153" s="304"/>
      <c r="F1153" s="304"/>
    </row>
    <row r="1154" spans="1:6">
      <c r="A1154" s="347"/>
      <c r="B1154" s="304"/>
      <c r="D1154" s="304"/>
      <c r="E1154" s="304"/>
      <c r="F1154" s="304"/>
    </row>
    <row r="1155" spans="1:6">
      <c r="A1155" s="347"/>
      <c r="B1155" s="304"/>
      <c r="D1155" s="304"/>
      <c r="E1155" s="304"/>
      <c r="F1155" s="304"/>
    </row>
    <row r="1156" spans="1:6">
      <c r="A1156" s="347"/>
      <c r="B1156" s="304"/>
      <c r="D1156" s="304"/>
      <c r="E1156" s="304"/>
      <c r="F1156" s="304"/>
    </row>
    <row r="1157" spans="1:6">
      <c r="A1157" s="347"/>
      <c r="B1157" s="304"/>
      <c r="D1157" s="304"/>
      <c r="E1157" s="304"/>
      <c r="F1157" s="304"/>
    </row>
    <row r="1158" spans="1:6">
      <c r="A1158" s="347"/>
      <c r="B1158" s="304"/>
      <c r="D1158" s="304"/>
      <c r="E1158" s="304"/>
      <c r="F1158" s="304"/>
    </row>
    <row r="1159" spans="1:6">
      <c r="A1159" s="347"/>
      <c r="B1159" s="304"/>
      <c r="D1159" s="304"/>
      <c r="E1159" s="304"/>
      <c r="F1159" s="304"/>
    </row>
    <row r="1160" spans="1:6">
      <c r="A1160" s="347"/>
      <c r="B1160" s="304"/>
      <c r="D1160" s="304"/>
      <c r="E1160" s="304"/>
      <c r="F1160" s="304"/>
    </row>
    <row r="1161" spans="1:6">
      <c r="A1161" s="347"/>
      <c r="B1161" s="304"/>
      <c r="D1161" s="304"/>
      <c r="E1161" s="304"/>
      <c r="F1161" s="304"/>
    </row>
    <row r="1162" spans="1:6">
      <c r="A1162" s="347"/>
      <c r="B1162" s="304"/>
      <c r="D1162" s="304"/>
      <c r="E1162" s="304"/>
      <c r="F1162" s="304"/>
    </row>
    <row r="1163" spans="1:6">
      <c r="A1163" s="347"/>
      <c r="B1163" s="304"/>
      <c r="D1163" s="304"/>
      <c r="E1163" s="304"/>
      <c r="F1163" s="304"/>
    </row>
    <row r="1164" spans="1:6">
      <c r="A1164" s="347"/>
      <c r="B1164" s="304"/>
      <c r="D1164" s="304"/>
      <c r="E1164" s="304"/>
      <c r="F1164" s="304"/>
    </row>
    <row r="1165" spans="1:6">
      <c r="A1165" s="347"/>
      <c r="B1165" s="304"/>
      <c r="D1165" s="304"/>
      <c r="E1165" s="304"/>
      <c r="F1165" s="304"/>
    </row>
    <row r="1166" spans="1:6">
      <c r="A1166" s="347"/>
      <c r="B1166" s="304"/>
      <c r="D1166" s="304"/>
      <c r="E1166" s="304"/>
      <c r="F1166" s="304"/>
    </row>
    <row r="1167" spans="1:6">
      <c r="A1167" s="347"/>
      <c r="B1167" s="304"/>
      <c r="D1167" s="304"/>
      <c r="E1167" s="304"/>
      <c r="F1167" s="304"/>
    </row>
    <row r="1168" spans="1:6">
      <c r="A1168" s="347"/>
      <c r="B1168" s="304"/>
      <c r="D1168" s="304"/>
      <c r="E1168" s="304"/>
      <c r="F1168" s="304"/>
    </row>
    <row r="1169" spans="1:6">
      <c r="A1169" s="347"/>
      <c r="B1169" s="304"/>
      <c r="D1169" s="304"/>
      <c r="E1169" s="304"/>
      <c r="F1169" s="304"/>
    </row>
    <row r="1170" spans="1:6">
      <c r="A1170" s="347"/>
      <c r="B1170" s="304"/>
      <c r="D1170" s="304"/>
      <c r="E1170" s="304"/>
      <c r="F1170" s="304"/>
    </row>
    <row r="1171" spans="1:6">
      <c r="A1171" s="347"/>
      <c r="B1171" s="304"/>
      <c r="D1171" s="304"/>
      <c r="E1171" s="304"/>
      <c r="F1171" s="304"/>
    </row>
    <row r="1172" spans="1:6">
      <c r="A1172" s="347"/>
      <c r="B1172" s="304"/>
      <c r="D1172" s="304"/>
      <c r="E1172" s="304"/>
      <c r="F1172" s="304"/>
    </row>
    <row r="1173" spans="1:6">
      <c r="A1173" s="347"/>
      <c r="B1173" s="304"/>
      <c r="D1173" s="304"/>
      <c r="E1173" s="304"/>
      <c r="F1173" s="304"/>
    </row>
    <row r="1174" spans="1:6">
      <c r="A1174" s="347"/>
      <c r="B1174" s="304"/>
      <c r="D1174" s="304"/>
      <c r="E1174" s="304"/>
      <c r="F1174" s="304"/>
    </row>
    <row r="1175" spans="1:6">
      <c r="A1175" s="347"/>
      <c r="B1175" s="304"/>
      <c r="D1175" s="304"/>
      <c r="E1175" s="304"/>
      <c r="F1175" s="304"/>
    </row>
    <row r="1176" spans="1:6">
      <c r="A1176" s="347"/>
      <c r="B1176" s="304"/>
      <c r="D1176" s="304"/>
      <c r="E1176" s="304"/>
      <c r="F1176" s="304"/>
    </row>
    <row r="1177" spans="1:6">
      <c r="A1177" s="347"/>
      <c r="B1177" s="304"/>
      <c r="D1177" s="304"/>
      <c r="E1177" s="304"/>
      <c r="F1177" s="304"/>
    </row>
    <row r="1178" spans="1:6">
      <c r="A1178" s="347"/>
      <c r="B1178" s="304"/>
      <c r="D1178" s="304"/>
      <c r="E1178" s="304"/>
      <c r="F1178" s="304"/>
    </row>
    <row r="1179" spans="1:6">
      <c r="A1179" s="347"/>
      <c r="B1179" s="304"/>
      <c r="D1179" s="304"/>
      <c r="E1179" s="304"/>
      <c r="F1179" s="304"/>
    </row>
    <row r="1180" spans="1:6">
      <c r="A1180" s="347"/>
      <c r="B1180" s="304"/>
      <c r="D1180" s="304"/>
      <c r="E1180" s="304"/>
      <c r="F1180" s="304"/>
    </row>
    <row r="1181" spans="1:6">
      <c r="A1181" s="347"/>
      <c r="B1181" s="304"/>
      <c r="D1181" s="304"/>
      <c r="E1181" s="304"/>
      <c r="F1181" s="304"/>
    </row>
    <row r="1182" spans="1:6">
      <c r="A1182" s="347"/>
      <c r="B1182" s="304"/>
      <c r="D1182" s="304"/>
      <c r="E1182" s="304"/>
      <c r="F1182" s="304"/>
    </row>
    <row r="1183" spans="1:6">
      <c r="A1183" s="347"/>
      <c r="B1183" s="304"/>
      <c r="D1183" s="304"/>
      <c r="E1183" s="304"/>
      <c r="F1183" s="304"/>
    </row>
    <row r="1184" spans="1:6">
      <c r="A1184" s="347"/>
      <c r="B1184" s="304"/>
      <c r="D1184" s="304"/>
      <c r="E1184" s="304"/>
      <c r="F1184" s="304"/>
    </row>
    <row r="1185" spans="1:6">
      <c r="A1185" s="347"/>
      <c r="B1185" s="304"/>
      <c r="D1185" s="304"/>
      <c r="E1185" s="304"/>
      <c r="F1185" s="304"/>
    </row>
    <row r="1186" spans="1:6">
      <c r="A1186" s="347"/>
      <c r="B1186" s="304"/>
      <c r="D1186" s="304"/>
      <c r="E1186" s="304"/>
      <c r="F1186" s="304"/>
    </row>
    <row r="1187" spans="1:6">
      <c r="A1187" s="347"/>
      <c r="B1187" s="304"/>
      <c r="D1187" s="304"/>
      <c r="E1187" s="304"/>
      <c r="F1187" s="304"/>
    </row>
    <row r="1188" spans="1:6">
      <c r="A1188" s="347"/>
      <c r="B1188" s="304"/>
      <c r="D1188" s="304"/>
      <c r="E1188" s="304"/>
      <c r="F1188" s="304"/>
    </row>
    <row r="1189" spans="1:6">
      <c r="A1189" s="347"/>
      <c r="B1189" s="304"/>
      <c r="D1189" s="304"/>
      <c r="E1189" s="304"/>
      <c r="F1189" s="304"/>
    </row>
    <row r="1190" spans="1:6">
      <c r="A1190" s="347"/>
      <c r="B1190" s="304"/>
      <c r="D1190" s="304"/>
      <c r="E1190" s="304"/>
      <c r="F1190" s="304"/>
    </row>
    <row r="1191" spans="1:6">
      <c r="A1191" s="347"/>
      <c r="B1191" s="304"/>
      <c r="D1191" s="304"/>
      <c r="E1191" s="304"/>
      <c r="F1191" s="304"/>
    </row>
    <row r="1192" spans="1:6">
      <c r="A1192" s="347"/>
      <c r="B1192" s="304"/>
      <c r="D1192" s="304"/>
      <c r="E1192" s="304"/>
      <c r="F1192" s="304"/>
    </row>
    <row r="1193" spans="1:6">
      <c r="A1193" s="347"/>
      <c r="B1193" s="304"/>
      <c r="D1193" s="304"/>
      <c r="E1193" s="304"/>
      <c r="F1193" s="304"/>
    </row>
    <row r="1194" spans="1:6">
      <c r="A1194" s="347"/>
      <c r="B1194" s="304"/>
      <c r="D1194" s="304"/>
      <c r="E1194" s="304"/>
      <c r="F1194" s="304"/>
    </row>
    <row r="1195" spans="1:6">
      <c r="A1195" s="347"/>
      <c r="B1195" s="304"/>
      <c r="D1195" s="304"/>
      <c r="E1195" s="304"/>
      <c r="F1195" s="304"/>
    </row>
    <row r="1196" spans="1:6">
      <c r="A1196" s="347"/>
      <c r="B1196" s="304"/>
      <c r="D1196" s="304"/>
      <c r="E1196" s="304"/>
      <c r="F1196" s="304"/>
    </row>
    <row r="1197" spans="1:6">
      <c r="A1197" s="347"/>
      <c r="B1197" s="304"/>
      <c r="D1197" s="304"/>
      <c r="E1197" s="304"/>
      <c r="F1197" s="304"/>
    </row>
    <row r="1198" spans="1:6">
      <c r="A1198" s="347"/>
      <c r="B1198" s="304"/>
      <c r="D1198" s="304"/>
      <c r="E1198" s="304"/>
      <c r="F1198" s="304"/>
    </row>
    <row r="1199" spans="1:6">
      <c r="A1199" s="347"/>
      <c r="B1199" s="304"/>
      <c r="D1199" s="304"/>
      <c r="E1199" s="304"/>
      <c r="F1199" s="304"/>
    </row>
    <row r="1200" spans="1:6">
      <c r="A1200" s="347"/>
      <c r="B1200" s="304"/>
      <c r="D1200" s="304"/>
      <c r="E1200" s="304"/>
      <c r="F1200" s="304"/>
    </row>
    <row r="1201" spans="1:6">
      <c r="A1201" s="347"/>
      <c r="B1201" s="304"/>
      <c r="D1201" s="304"/>
      <c r="E1201" s="304"/>
      <c r="F1201" s="304"/>
    </row>
    <row r="1202" spans="1:6">
      <c r="A1202" s="347"/>
      <c r="B1202" s="304"/>
      <c r="D1202" s="304"/>
      <c r="E1202" s="304"/>
      <c r="F1202" s="304"/>
    </row>
    <row r="1203" spans="1:6">
      <c r="A1203" s="347"/>
      <c r="B1203" s="304"/>
      <c r="D1203" s="304"/>
      <c r="E1203" s="304"/>
      <c r="F1203" s="304"/>
    </row>
    <row r="1204" spans="1:6">
      <c r="A1204" s="347"/>
      <c r="B1204" s="304"/>
      <c r="D1204" s="304"/>
      <c r="E1204" s="304"/>
      <c r="F1204" s="304"/>
    </row>
    <row r="1205" spans="1:6">
      <c r="A1205" s="347"/>
      <c r="B1205" s="304"/>
      <c r="D1205" s="304"/>
      <c r="E1205" s="304"/>
      <c r="F1205" s="304"/>
    </row>
    <row r="1206" spans="1:6">
      <c r="A1206" s="347"/>
      <c r="B1206" s="304"/>
      <c r="D1206" s="304"/>
      <c r="E1206" s="304"/>
      <c r="F1206" s="304"/>
    </row>
    <row r="1207" spans="1:6">
      <c r="A1207" s="347"/>
      <c r="B1207" s="304"/>
      <c r="D1207" s="304"/>
      <c r="E1207" s="304"/>
      <c r="F1207" s="304"/>
    </row>
    <row r="1208" spans="1:6">
      <c r="A1208" s="347"/>
      <c r="B1208" s="304"/>
      <c r="D1208" s="304"/>
      <c r="E1208" s="304"/>
      <c r="F1208" s="304"/>
    </row>
    <row r="1209" spans="1:6">
      <c r="A1209" s="347"/>
      <c r="B1209" s="304"/>
      <c r="D1209" s="304"/>
      <c r="E1209" s="304"/>
      <c r="F1209" s="304"/>
    </row>
    <row r="1210" spans="1:6">
      <c r="A1210" s="347"/>
      <c r="B1210" s="304"/>
      <c r="D1210" s="304"/>
      <c r="E1210" s="304"/>
      <c r="F1210" s="304"/>
    </row>
    <row r="1211" spans="1:6">
      <c r="A1211" s="347"/>
      <c r="B1211" s="304"/>
      <c r="D1211" s="304"/>
      <c r="E1211" s="304"/>
      <c r="F1211" s="304"/>
    </row>
    <row r="1212" spans="1:6">
      <c r="A1212" s="347"/>
      <c r="B1212" s="304"/>
      <c r="D1212" s="304"/>
      <c r="E1212" s="304"/>
      <c r="F1212" s="304"/>
    </row>
    <row r="1213" spans="1:6">
      <c r="A1213" s="347"/>
      <c r="B1213" s="304"/>
      <c r="D1213" s="304"/>
      <c r="E1213" s="304"/>
      <c r="F1213" s="304"/>
    </row>
    <row r="1214" spans="1:6">
      <c r="A1214" s="347"/>
      <c r="B1214" s="304"/>
      <c r="D1214" s="304"/>
      <c r="E1214" s="304"/>
      <c r="F1214" s="304"/>
    </row>
    <row r="1215" spans="1:6">
      <c r="A1215" s="347"/>
      <c r="B1215" s="304"/>
      <c r="D1215" s="304"/>
      <c r="E1215" s="304"/>
      <c r="F1215" s="304"/>
    </row>
    <row r="1216" spans="1:6">
      <c r="A1216" s="347"/>
      <c r="B1216" s="304"/>
      <c r="D1216" s="304"/>
      <c r="E1216" s="304"/>
      <c r="F1216" s="304"/>
    </row>
    <row r="1217" spans="1:6">
      <c r="A1217" s="347"/>
      <c r="B1217" s="304"/>
      <c r="D1217" s="304"/>
      <c r="E1217" s="304"/>
      <c r="F1217" s="304"/>
    </row>
    <row r="1218" spans="1:6">
      <c r="A1218" s="347"/>
      <c r="B1218" s="304"/>
      <c r="D1218" s="304"/>
      <c r="E1218" s="304"/>
      <c r="F1218" s="304"/>
    </row>
    <row r="1219" spans="1:6">
      <c r="A1219" s="347"/>
      <c r="B1219" s="304"/>
      <c r="D1219" s="304"/>
      <c r="E1219" s="304"/>
      <c r="F1219" s="304"/>
    </row>
    <row r="1220" spans="1:6">
      <c r="A1220" s="347"/>
      <c r="B1220" s="304"/>
      <c r="D1220" s="304"/>
      <c r="E1220" s="304"/>
      <c r="F1220" s="304"/>
    </row>
    <row r="1221" spans="1:6">
      <c r="A1221" s="347"/>
      <c r="B1221" s="304"/>
      <c r="D1221" s="304"/>
      <c r="E1221" s="304"/>
      <c r="F1221" s="304"/>
    </row>
    <row r="1222" spans="1:6">
      <c r="A1222" s="347"/>
      <c r="B1222" s="304"/>
      <c r="D1222" s="304"/>
      <c r="E1222" s="304"/>
      <c r="F1222" s="304"/>
    </row>
    <row r="1223" spans="1:6">
      <c r="A1223" s="347"/>
      <c r="B1223" s="304"/>
      <c r="D1223" s="304"/>
      <c r="E1223" s="304"/>
      <c r="F1223" s="304"/>
    </row>
    <row r="1224" spans="1:6">
      <c r="A1224" s="347"/>
      <c r="B1224" s="304"/>
      <c r="D1224" s="304"/>
      <c r="E1224" s="304"/>
      <c r="F1224" s="304"/>
    </row>
    <row r="1225" spans="1:6">
      <c r="A1225" s="347"/>
      <c r="B1225" s="304"/>
      <c r="D1225" s="304"/>
      <c r="E1225" s="304"/>
      <c r="F1225" s="304"/>
    </row>
    <row r="1226" spans="1:6">
      <c r="A1226" s="347"/>
      <c r="B1226" s="304"/>
      <c r="D1226" s="304"/>
      <c r="E1226" s="304"/>
      <c r="F1226" s="304"/>
    </row>
    <row r="1227" spans="1:6">
      <c r="A1227" s="347"/>
      <c r="B1227" s="304"/>
      <c r="D1227" s="304"/>
      <c r="E1227" s="304"/>
      <c r="F1227" s="304"/>
    </row>
    <row r="1228" spans="1:6">
      <c r="A1228" s="347"/>
      <c r="B1228" s="304"/>
      <c r="D1228" s="304"/>
      <c r="E1228" s="304"/>
      <c r="F1228" s="304"/>
    </row>
    <row r="1229" spans="1:6">
      <c r="A1229" s="347"/>
      <c r="B1229" s="304"/>
      <c r="D1229" s="304"/>
      <c r="E1229" s="304"/>
      <c r="F1229" s="304"/>
    </row>
    <row r="1230" spans="1:6">
      <c r="A1230" s="347"/>
      <c r="B1230" s="304"/>
      <c r="D1230" s="304"/>
      <c r="E1230" s="304"/>
      <c r="F1230" s="304"/>
    </row>
    <row r="1231" spans="1:6">
      <c r="A1231" s="347"/>
      <c r="B1231" s="304"/>
      <c r="D1231" s="304"/>
      <c r="E1231" s="304"/>
      <c r="F1231" s="304"/>
    </row>
    <row r="1232" spans="1:6">
      <c r="A1232" s="347"/>
      <c r="B1232" s="304"/>
      <c r="D1232" s="304"/>
      <c r="E1232" s="304"/>
      <c r="F1232" s="304"/>
    </row>
    <row r="1233" spans="1:6">
      <c r="A1233" s="347"/>
      <c r="B1233" s="304"/>
      <c r="D1233" s="304"/>
      <c r="E1233" s="304"/>
      <c r="F1233" s="304"/>
    </row>
    <row r="1234" spans="1:6">
      <c r="A1234" s="347"/>
      <c r="B1234" s="304"/>
      <c r="D1234" s="304"/>
      <c r="E1234" s="304"/>
      <c r="F1234" s="304"/>
    </row>
    <row r="1235" spans="1:6">
      <c r="A1235" s="347"/>
      <c r="B1235" s="304"/>
      <c r="D1235" s="304"/>
      <c r="E1235" s="304"/>
      <c r="F1235" s="304"/>
    </row>
    <row r="1236" spans="1:6">
      <c r="A1236" s="347"/>
      <c r="B1236" s="304"/>
      <c r="D1236" s="304"/>
      <c r="E1236" s="304"/>
      <c r="F1236" s="304"/>
    </row>
    <row r="1237" spans="1:6">
      <c r="A1237" s="347"/>
      <c r="B1237" s="304"/>
      <c r="D1237" s="304"/>
      <c r="E1237" s="304"/>
      <c r="F1237" s="304"/>
    </row>
    <row r="1238" spans="1:6">
      <c r="A1238" s="347"/>
      <c r="B1238" s="304"/>
      <c r="D1238" s="304"/>
      <c r="E1238" s="304"/>
      <c r="F1238" s="304"/>
    </row>
    <row r="1239" spans="1:6">
      <c r="A1239" s="347"/>
      <c r="B1239" s="304"/>
      <c r="D1239" s="304"/>
      <c r="E1239" s="304"/>
      <c r="F1239" s="304"/>
    </row>
    <row r="1240" spans="1:6">
      <c r="A1240" s="347"/>
      <c r="B1240" s="304"/>
      <c r="D1240" s="304"/>
      <c r="E1240" s="304"/>
      <c r="F1240" s="304"/>
    </row>
    <row r="1241" spans="1:6">
      <c r="A1241" s="347"/>
      <c r="B1241" s="304"/>
      <c r="D1241" s="304"/>
      <c r="E1241" s="304"/>
      <c r="F1241" s="304"/>
    </row>
    <row r="1242" spans="1:6">
      <c r="A1242" s="347"/>
      <c r="B1242" s="304"/>
      <c r="D1242" s="304"/>
      <c r="E1242" s="304"/>
      <c r="F1242" s="304"/>
    </row>
    <row r="1243" spans="1:6">
      <c r="A1243" s="347"/>
      <c r="B1243" s="304"/>
      <c r="D1243" s="304"/>
      <c r="E1243" s="304"/>
      <c r="F1243" s="304"/>
    </row>
    <row r="1244" spans="1:6">
      <c r="A1244" s="347"/>
      <c r="B1244" s="304"/>
      <c r="D1244" s="304"/>
      <c r="E1244" s="304"/>
      <c r="F1244" s="304"/>
    </row>
    <row r="1245" spans="1:6">
      <c r="A1245" s="347"/>
      <c r="B1245" s="304"/>
      <c r="D1245" s="304"/>
      <c r="E1245" s="304"/>
      <c r="F1245" s="304"/>
    </row>
    <row r="1246" spans="1:6">
      <c r="A1246" s="347"/>
      <c r="B1246" s="304"/>
      <c r="D1246" s="304"/>
      <c r="E1246" s="304"/>
      <c r="F1246" s="304"/>
    </row>
    <row r="1247" spans="1:6">
      <c r="A1247" s="347"/>
      <c r="B1247" s="304"/>
      <c r="D1247" s="304"/>
      <c r="E1247" s="304"/>
      <c r="F1247" s="304"/>
    </row>
    <row r="1248" spans="1:6">
      <c r="A1248" s="347"/>
      <c r="B1248" s="304"/>
      <c r="D1248" s="304"/>
      <c r="E1248" s="304"/>
      <c r="F1248" s="304"/>
    </row>
    <row r="1249" spans="1:6">
      <c r="A1249" s="347"/>
      <c r="B1249" s="304"/>
      <c r="D1249" s="304"/>
      <c r="E1249" s="304"/>
      <c r="F1249" s="304"/>
    </row>
    <row r="1250" spans="1:6">
      <c r="A1250" s="347"/>
      <c r="B1250" s="304"/>
      <c r="D1250" s="304"/>
      <c r="E1250" s="304"/>
      <c r="F1250" s="304"/>
    </row>
    <row r="1251" spans="1:6">
      <c r="A1251" s="347"/>
      <c r="B1251" s="304"/>
      <c r="D1251" s="304"/>
      <c r="E1251" s="304"/>
      <c r="F1251" s="304"/>
    </row>
    <row r="1252" spans="1:6">
      <c r="A1252" s="347"/>
      <c r="B1252" s="304"/>
      <c r="D1252" s="304"/>
      <c r="E1252" s="304"/>
      <c r="F1252" s="304"/>
    </row>
    <row r="1253" spans="1:6">
      <c r="A1253" s="347"/>
      <c r="B1253" s="304"/>
      <c r="D1253" s="304"/>
      <c r="E1253" s="304"/>
      <c r="F1253" s="304"/>
    </row>
    <row r="1254" spans="1:6">
      <c r="A1254" s="347"/>
      <c r="B1254" s="304"/>
      <c r="D1254" s="304"/>
      <c r="E1254" s="304"/>
      <c r="F1254" s="304"/>
    </row>
    <row r="1255" spans="1:6">
      <c r="A1255" s="347"/>
      <c r="B1255" s="304"/>
      <c r="D1255" s="304"/>
      <c r="E1255" s="304"/>
      <c r="F1255" s="304"/>
    </row>
    <row r="1256" spans="1:6">
      <c r="A1256" s="347"/>
      <c r="B1256" s="304"/>
      <c r="D1256" s="304"/>
      <c r="E1256" s="304"/>
      <c r="F1256" s="304"/>
    </row>
    <row r="1257" spans="1:6">
      <c r="A1257" s="347"/>
      <c r="B1257" s="304"/>
      <c r="D1257" s="304"/>
      <c r="E1257" s="304"/>
      <c r="F1257" s="304"/>
    </row>
    <row r="1258" spans="1:6">
      <c r="A1258" s="347"/>
      <c r="B1258" s="304"/>
      <c r="D1258" s="304"/>
      <c r="E1258" s="304"/>
      <c r="F1258" s="304"/>
    </row>
    <row r="1259" spans="1:6">
      <c r="A1259" s="347"/>
      <c r="B1259" s="304"/>
      <c r="D1259" s="304"/>
      <c r="E1259" s="304"/>
      <c r="F1259" s="304"/>
    </row>
    <row r="1260" spans="1:6">
      <c r="A1260" s="347"/>
      <c r="B1260" s="304"/>
      <c r="D1260" s="304"/>
      <c r="E1260" s="304"/>
      <c r="F1260" s="304"/>
    </row>
    <row r="1261" spans="1:6">
      <c r="A1261" s="347"/>
      <c r="B1261" s="304"/>
      <c r="D1261" s="304"/>
      <c r="E1261" s="304"/>
      <c r="F1261" s="304"/>
    </row>
    <row r="1262" spans="1:6">
      <c r="A1262" s="347"/>
      <c r="B1262" s="304"/>
      <c r="D1262" s="304"/>
      <c r="E1262" s="304"/>
      <c r="F1262" s="304"/>
    </row>
    <row r="1263" spans="1:6">
      <c r="A1263" s="347"/>
      <c r="B1263" s="304"/>
      <c r="D1263" s="304"/>
      <c r="E1263" s="304"/>
      <c r="F1263" s="304"/>
    </row>
    <row r="1264" spans="1:6">
      <c r="A1264" s="347"/>
      <c r="B1264" s="304"/>
      <c r="D1264" s="304"/>
      <c r="E1264" s="304"/>
      <c r="F1264" s="304"/>
    </row>
    <row r="1265" spans="1:6">
      <c r="A1265" s="347"/>
      <c r="B1265" s="304"/>
      <c r="D1265" s="304"/>
      <c r="E1265" s="304"/>
      <c r="F1265" s="304"/>
    </row>
    <row r="1266" spans="1:6">
      <c r="A1266" s="347"/>
      <c r="B1266" s="304"/>
      <c r="D1266" s="304"/>
      <c r="E1266" s="304"/>
      <c r="F1266" s="304"/>
    </row>
    <row r="1267" spans="1:6">
      <c r="A1267" s="347"/>
      <c r="B1267" s="304"/>
      <c r="D1267" s="304"/>
      <c r="E1267" s="304"/>
      <c r="F1267" s="304"/>
    </row>
    <row r="1268" spans="1:6">
      <c r="A1268" s="347"/>
      <c r="B1268" s="304"/>
      <c r="D1268" s="304"/>
      <c r="E1268" s="304"/>
      <c r="F1268" s="304"/>
    </row>
    <row r="1269" spans="1:6">
      <c r="A1269" s="347"/>
      <c r="B1269" s="304"/>
      <c r="D1269" s="304"/>
      <c r="E1269" s="304"/>
      <c r="F1269" s="304"/>
    </row>
    <row r="1270" spans="1:6">
      <c r="A1270" s="347"/>
      <c r="B1270" s="304"/>
      <c r="D1270" s="304"/>
      <c r="E1270" s="304"/>
      <c r="F1270" s="304"/>
    </row>
    <row r="1271" spans="1:6">
      <c r="A1271" s="347"/>
      <c r="B1271" s="304"/>
      <c r="D1271" s="304"/>
      <c r="E1271" s="304"/>
      <c r="F1271" s="304"/>
    </row>
    <row r="1272" spans="1:6">
      <c r="A1272" s="347"/>
      <c r="B1272" s="304"/>
      <c r="D1272" s="304"/>
      <c r="E1272" s="304"/>
      <c r="F1272" s="304"/>
    </row>
    <row r="1273" spans="1:6">
      <c r="A1273" s="347"/>
      <c r="B1273" s="304"/>
      <c r="D1273" s="304"/>
      <c r="E1273" s="304"/>
      <c r="F1273" s="304"/>
    </row>
    <row r="1274" spans="1:6">
      <c r="A1274" s="347"/>
      <c r="B1274" s="304"/>
      <c r="D1274" s="304"/>
      <c r="E1274" s="304"/>
      <c r="F1274" s="304"/>
    </row>
    <row r="1275" spans="1:6">
      <c r="A1275" s="347"/>
      <c r="B1275" s="304"/>
      <c r="D1275" s="304"/>
      <c r="E1275" s="304"/>
      <c r="F1275" s="304"/>
    </row>
    <row r="1276" spans="1:6">
      <c r="A1276" s="347"/>
      <c r="B1276" s="304"/>
      <c r="D1276" s="304"/>
      <c r="E1276" s="304"/>
      <c r="F1276" s="304"/>
    </row>
    <row r="1277" spans="1:6">
      <c r="A1277" s="347"/>
      <c r="B1277" s="304"/>
      <c r="D1277" s="304"/>
      <c r="E1277" s="304"/>
      <c r="F1277" s="304"/>
    </row>
    <row r="1278" spans="1:6">
      <c r="A1278" s="347"/>
      <c r="B1278" s="304"/>
      <c r="D1278" s="304"/>
      <c r="E1278" s="304"/>
      <c r="F1278" s="304"/>
    </row>
    <row r="1279" spans="1:6">
      <c r="A1279" s="347"/>
      <c r="B1279" s="304"/>
      <c r="D1279" s="304"/>
      <c r="E1279" s="304"/>
      <c r="F1279" s="304"/>
    </row>
    <row r="1280" spans="1:6">
      <c r="A1280" s="347"/>
      <c r="B1280" s="304"/>
      <c r="D1280" s="304"/>
      <c r="E1280" s="304"/>
      <c r="F1280" s="304"/>
    </row>
    <row r="1281" spans="1:6">
      <c r="A1281" s="347"/>
      <c r="B1281" s="304"/>
      <c r="D1281" s="304"/>
      <c r="E1281" s="304"/>
      <c r="F1281" s="304"/>
    </row>
    <row r="1282" spans="1:6">
      <c r="A1282" s="347"/>
      <c r="B1282" s="304"/>
      <c r="D1282" s="304"/>
      <c r="E1282" s="304"/>
      <c r="F1282" s="304"/>
    </row>
    <row r="1283" spans="1:6">
      <c r="A1283" s="347"/>
      <c r="B1283" s="304"/>
      <c r="D1283" s="304"/>
      <c r="E1283" s="304"/>
      <c r="F1283" s="304"/>
    </row>
    <row r="1284" spans="1:6">
      <c r="A1284" s="347"/>
      <c r="B1284" s="304"/>
      <c r="D1284" s="304"/>
      <c r="E1284" s="304"/>
      <c r="F1284" s="304"/>
    </row>
    <row r="1285" spans="1:6">
      <c r="A1285" s="347"/>
      <c r="B1285" s="304"/>
      <c r="D1285" s="304"/>
      <c r="E1285" s="304"/>
      <c r="F1285" s="304"/>
    </row>
    <row r="1286" spans="1:6">
      <c r="A1286" s="347"/>
      <c r="B1286" s="304"/>
      <c r="D1286" s="304"/>
      <c r="E1286" s="304"/>
      <c r="F1286" s="304"/>
    </row>
    <row r="1287" spans="1:6">
      <c r="A1287" s="347"/>
      <c r="B1287" s="304"/>
      <c r="D1287" s="304"/>
      <c r="E1287" s="304"/>
      <c r="F1287" s="304"/>
    </row>
    <row r="1288" spans="1:6">
      <c r="A1288" s="347"/>
      <c r="B1288" s="304"/>
      <c r="D1288" s="304"/>
      <c r="E1288" s="304"/>
      <c r="F1288" s="304"/>
    </row>
    <row r="1289" spans="1:6">
      <c r="A1289" s="347"/>
      <c r="B1289" s="304"/>
      <c r="D1289" s="304"/>
      <c r="E1289" s="304"/>
      <c r="F1289" s="304"/>
    </row>
    <row r="1290" spans="1:6">
      <c r="A1290" s="347"/>
      <c r="B1290" s="304"/>
      <c r="D1290" s="304"/>
      <c r="E1290" s="304"/>
      <c r="F1290" s="304"/>
    </row>
    <row r="1291" spans="1:6">
      <c r="A1291" s="347"/>
      <c r="B1291" s="304"/>
      <c r="D1291" s="304"/>
      <c r="E1291" s="304"/>
      <c r="F1291" s="304"/>
    </row>
    <row r="1292" spans="1:6">
      <c r="A1292" s="347"/>
      <c r="B1292" s="304"/>
      <c r="D1292" s="304"/>
      <c r="E1292" s="304"/>
      <c r="F1292" s="304"/>
    </row>
    <row r="1293" spans="1:6">
      <c r="A1293" s="347"/>
      <c r="B1293" s="304"/>
      <c r="D1293" s="304"/>
      <c r="E1293" s="304"/>
      <c r="F1293" s="304"/>
    </row>
    <row r="1294" spans="1:6">
      <c r="A1294" s="347"/>
      <c r="B1294" s="304"/>
      <c r="D1294" s="304"/>
      <c r="E1294" s="304"/>
      <c r="F1294" s="304"/>
    </row>
    <row r="1295" spans="1:6">
      <c r="A1295" s="347"/>
      <c r="B1295" s="304"/>
      <c r="D1295" s="304"/>
      <c r="E1295" s="304"/>
      <c r="F1295" s="304"/>
    </row>
    <row r="1296" spans="1:6">
      <c r="A1296" s="347"/>
      <c r="B1296" s="304"/>
      <c r="D1296" s="304"/>
      <c r="E1296" s="304"/>
      <c r="F1296" s="304"/>
    </row>
    <row r="1297" spans="1:6">
      <c r="A1297" s="347"/>
      <c r="B1297" s="304"/>
      <c r="D1297" s="304"/>
      <c r="E1297" s="304"/>
      <c r="F1297" s="304"/>
    </row>
    <row r="1298" spans="1:6">
      <c r="A1298" s="347"/>
      <c r="B1298" s="304"/>
      <c r="D1298" s="304"/>
      <c r="E1298" s="304"/>
      <c r="F1298" s="304"/>
    </row>
    <row r="1299" spans="1:6">
      <c r="A1299" s="347"/>
      <c r="B1299" s="304"/>
      <c r="D1299" s="304"/>
      <c r="E1299" s="304"/>
      <c r="F1299" s="304"/>
    </row>
    <row r="1300" spans="1:6">
      <c r="A1300" s="347"/>
      <c r="B1300" s="304"/>
      <c r="D1300" s="304"/>
      <c r="E1300" s="304"/>
      <c r="F1300" s="304"/>
    </row>
    <row r="1301" spans="1:6">
      <c r="A1301" s="347"/>
      <c r="B1301" s="304"/>
      <c r="D1301" s="304"/>
      <c r="E1301" s="304"/>
      <c r="F1301" s="304"/>
    </row>
    <row r="1302" spans="1:6">
      <c r="A1302" s="347"/>
      <c r="B1302" s="304"/>
      <c r="D1302" s="304"/>
      <c r="E1302" s="304"/>
      <c r="F1302" s="304"/>
    </row>
    <row r="1303" spans="1:6">
      <c r="A1303" s="347"/>
      <c r="B1303" s="304"/>
      <c r="D1303" s="304"/>
      <c r="E1303" s="304"/>
      <c r="F1303" s="304"/>
    </row>
    <row r="1304" spans="1:6">
      <c r="A1304" s="347"/>
      <c r="B1304" s="304"/>
      <c r="D1304" s="304"/>
      <c r="E1304" s="304"/>
      <c r="F1304" s="304"/>
    </row>
    <row r="1305" spans="1:6">
      <c r="A1305" s="347"/>
      <c r="B1305" s="304"/>
      <c r="D1305" s="304"/>
      <c r="E1305" s="304"/>
      <c r="F1305" s="304"/>
    </row>
    <row r="1306" spans="1:6">
      <c r="A1306" s="347"/>
      <c r="B1306" s="304"/>
      <c r="D1306" s="304"/>
      <c r="E1306" s="304"/>
      <c r="F1306" s="304"/>
    </row>
    <row r="1307" spans="1:6">
      <c r="A1307" s="347"/>
      <c r="B1307" s="304"/>
      <c r="D1307" s="304"/>
      <c r="E1307" s="304"/>
      <c r="F1307" s="304"/>
    </row>
    <row r="1308" spans="1:6">
      <c r="A1308" s="347"/>
      <c r="B1308" s="304"/>
      <c r="D1308" s="304"/>
      <c r="E1308" s="304"/>
      <c r="F1308" s="304"/>
    </row>
    <row r="1309" spans="1:6">
      <c r="A1309" s="347"/>
      <c r="B1309" s="304"/>
      <c r="D1309" s="304"/>
      <c r="E1309" s="304"/>
      <c r="F1309" s="304"/>
    </row>
    <row r="1310" spans="1:6">
      <c r="A1310" s="347"/>
      <c r="B1310" s="304"/>
      <c r="D1310" s="304"/>
      <c r="E1310" s="304"/>
      <c r="F1310" s="304"/>
    </row>
    <row r="1311" spans="1:6">
      <c r="A1311" s="347"/>
      <c r="B1311" s="304"/>
      <c r="D1311" s="304"/>
      <c r="E1311" s="304"/>
      <c r="F1311" s="304"/>
    </row>
    <row r="1312" spans="1:6">
      <c r="A1312" s="347"/>
      <c r="B1312" s="304"/>
      <c r="D1312" s="304"/>
      <c r="E1312" s="304"/>
      <c r="F1312" s="304"/>
    </row>
    <row r="1313" spans="1:6">
      <c r="A1313" s="347"/>
      <c r="B1313" s="304"/>
      <c r="D1313" s="304"/>
      <c r="E1313" s="304"/>
      <c r="F1313" s="304"/>
    </row>
    <row r="1314" spans="1:6">
      <c r="A1314" s="347"/>
      <c r="B1314" s="304"/>
      <c r="D1314" s="304"/>
      <c r="E1314" s="304"/>
      <c r="F1314" s="304"/>
    </row>
    <row r="1315" spans="1:6">
      <c r="A1315" s="347"/>
      <c r="B1315" s="304"/>
      <c r="D1315" s="304"/>
      <c r="E1315" s="304"/>
      <c r="F1315" s="304"/>
    </row>
    <row r="1316" spans="1:6">
      <c r="A1316" s="347"/>
      <c r="B1316" s="304"/>
      <c r="D1316" s="304"/>
      <c r="E1316" s="304"/>
      <c r="F1316" s="304"/>
    </row>
    <row r="1317" spans="1:6">
      <c r="A1317" s="347"/>
      <c r="B1317" s="304"/>
      <c r="D1317" s="304"/>
      <c r="E1317" s="304"/>
      <c r="F1317" s="304"/>
    </row>
    <row r="1318" spans="1:6">
      <c r="A1318" s="347"/>
      <c r="B1318" s="304"/>
      <c r="D1318" s="304"/>
      <c r="E1318" s="304"/>
      <c r="F1318" s="304"/>
    </row>
    <row r="1319" spans="1:6">
      <c r="A1319" s="347"/>
      <c r="B1319" s="304"/>
      <c r="D1319" s="304"/>
      <c r="E1319" s="304"/>
      <c r="F1319" s="304"/>
    </row>
    <row r="1320" spans="1:6">
      <c r="A1320" s="347"/>
      <c r="B1320" s="304"/>
      <c r="D1320" s="304"/>
      <c r="E1320" s="304"/>
      <c r="F1320" s="304"/>
    </row>
    <row r="1321" spans="1:6">
      <c r="A1321" s="347"/>
      <c r="B1321" s="304"/>
      <c r="D1321" s="304"/>
      <c r="E1321" s="304"/>
      <c r="F1321" s="304"/>
    </row>
    <row r="1322" spans="1:6">
      <c r="A1322" s="347"/>
      <c r="B1322" s="304"/>
      <c r="D1322" s="304"/>
      <c r="E1322" s="304"/>
      <c r="F1322" s="304"/>
    </row>
    <row r="1323" spans="1:6">
      <c r="A1323" s="347"/>
      <c r="B1323" s="304"/>
      <c r="D1323" s="304"/>
      <c r="E1323" s="304"/>
      <c r="F1323" s="304"/>
    </row>
    <row r="1324" spans="1:6">
      <c r="A1324" s="347"/>
      <c r="B1324" s="304"/>
      <c r="D1324" s="304"/>
      <c r="E1324" s="304"/>
      <c r="F1324" s="304"/>
    </row>
    <row r="1325" spans="1:6">
      <c r="A1325" s="347"/>
      <c r="B1325" s="304"/>
      <c r="D1325" s="304"/>
      <c r="E1325" s="304"/>
      <c r="F1325" s="304"/>
    </row>
    <row r="1326" spans="1:6">
      <c r="A1326" s="347"/>
      <c r="B1326" s="304"/>
      <c r="D1326" s="304"/>
      <c r="E1326" s="304"/>
      <c r="F1326" s="304"/>
    </row>
    <row r="1327" spans="1:6">
      <c r="A1327" s="347"/>
      <c r="B1327" s="304"/>
      <c r="D1327" s="304"/>
      <c r="E1327" s="304"/>
      <c r="F1327" s="304"/>
    </row>
    <row r="1328" spans="1:6">
      <c r="A1328" s="347"/>
      <c r="B1328" s="304"/>
      <c r="D1328" s="304"/>
      <c r="E1328" s="304"/>
      <c r="F1328" s="304"/>
    </row>
    <row r="1329" spans="1:6">
      <c r="A1329" s="347"/>
      <c r="B1329" s="304"/>
      <c r="D1329" s="304"/>
      <c r="E1329" s="304"/>
      <c r="F1329" s="304"/>
    </row>
    <row r="1330" spans="1:6">
      <c r="A1330" s="347"/>
      <c r="B1330" s="304"/>
      <c r="D1330" s="304"/>
      <c r="E1330" s="304"/>
      <c r="F1330" s="304"/>
    </row>
    <row r="1331" spans="1:6">
      <c r="A1331" s="347"/>
      <c r="B1331" s="304"/>
      <c r="D1331" s="304"/>
      <c r="E1331" s="304"/>
      <c r="F1331" s="304"/>
    </row>
    <row r="1332" spans="1:6">
      <c r="A1332" s="347"/>
      <c r="B1332" s="304"/>
      <c r="D1332" s="304"/>
      <c r="E1332" s="304"/>
      <c r="F1332" s="304"/>
    </row>
    <row r="1333" spans="1:6">
      <c r="A1333" s="347"/>
      <c r="B1333" s="304"/>
      <c r="D1333" s="304"/>
      <c r="E1333" s="304"/>
      <c r="F1333" s="304"/>
    </row>
    <row r="1334" spans="1:6">
      <c r="A1334" s="347"/>
      <c r="B1334" s="304"/>
      <c r="D1334" s="304"/>
      <c r="E1334" s="304"/>
      <c r="F1334" s="304"/>
    </row>
    <row r="1335" spans="1:6">
      <c r="A1335" s="347"/>
      <c r="B1335" s="304"/>
      <c r="D1335" s="304"/>
      <c r="E1335" s="304"/>
      <c r="F1335" s="304"/>
    </row>
    <row r="1336" spans="1:6">
      <c r="A1336" s="347"/>
      <c r="B1336" s="304"/>
      <c r="D1336" s="304"/>
      <c r="E1336" s="304"/>
      <c r="F1336" s="304"/>
    </row>
    <row r="1337" spans="1:6">
      <c r="A1337" s="347"/>
      <c r="B1337" s="304"/>
      <c r="D1337" s="304"/>
      <c r="E1337" s="304"/>
      <c r="F1337" s="304"/>
    </row>
    <row r="1338" spans="1:6">
      <c r="A1338" s="347"/>
      <c r="B1338" s="304"/>
      <c r="D1338" s="304"/>
      <c r="E1338" s="304"/>
      <c r="F1338" s="304"/>
    </row>
    <row r="1339" spans="1:6">
      <c r="A1339" s="347"/>
      <c r="B1339" s="304"/>
      <c r="D1339" s="304"/>
      <c r="E1339" s="304"/>
      <c r="F1339" s="304"/>
    </row>
    <row r="1340" spans="1:6">
      <c r="A1340" s="347"/>
      <c r="B1340" s="304"/>
      <c r="D1340" s="304"/>
      <c r="E1340" s="304"/>
      <c r="F1340" s="304"/>
    </row>
    <row r="1341" spans="1:6">
      <c r="A1341" s="347"/>
      <c r="B1341" s="304"/>
      <c r="D1341" s="304"/>
      <c r="E1341" s="304"/>
      <c r="F1341" s="304"/>
    </row>
    <row r="1342" spans="1:6">
      <c r="A1342" s="347"/>
      <c r="B1342" s="304"/>
      <c r="D1342" s="304"/>
      <c r="E1342" s="304"/>
      <c r="F1342" s="304"/>
    </row>
    <row r="1343" spans="1:6">
      <c r="A1343" s="347"/>
      <c r="B1343" s="304"/>
      <c r="D1343" s="304"/>
      <c r="E1343" s="304"/>
      <c r="F1343" s="304"/>
    </row>
    <row r="1344" spans="1:6">
      <c r="A1344" s="347"/>
      <c r="B1344" s="304"/>
      <c r="D1344" s="304"/>
      <c r="E1344" s="304"/>
      <c r="F1344" s="304"/>
    </row>
    <row r="1345" spans="1:6">
      <c r="A1345" s="347"/>
      <c r="B1345" s="304"/>
      <c r="D1345" s="304"/>
      <c r="E1345" s="304"/>
      <c r="F1345" s="304"/>
    </row>
    <row r="1346" spans="1:6">
      <c r="A1346" s="347"/>
      <c r="B1346" s="304"/>
      <c r="D1346" s="304"/>
      <c r="E1346" s="304"/>
      <c r="F1346" s="304"/>
    </row>
    <row r="1347" spans="1:6">
      <c r="A1347" s="347"/>
      <c r="B1347" s="304"/>
      <c r="D1347" s="304"/>
      <c r="E1347" s="304"/>
      <c r="F1347" s="304"/>
    </row>
    <row r="1348" spans="1:6">
      <c r="A1348" s="347"/>
      <c r="B1348" s="304"/>
      <c r="D1348" s="304"/>
      <c r="E1348" s="304"/>
      <c r="F1348" s="304"/>
    </row>
    <row r="1349" spans="1:6">
      <c r="A1349" s="347"/>
      <c r="B1349" s="304"/>
      <c r="D1349" s="304"/>
      <c r="E1349" s="304"/>
      <c r="F1349" s="304"/>
    </row>
    <row r="1350" spans="1:6">
      <c r="A1350" s="347"/>
      <c r="B1350" s="304"/>
      <c r="D1350" s="304"/>
      <c r="E1350" s="304"/>
      <c r="F1350" s="304"/>
    </row>
    <row r="1351" spans="1:6">
      <c r="A1351" s="347"/>
      <c r="B1351" s="304"/>
      <c r="D1351" s="304"/>
      <c r="E1351" s="304"/>
      <c r="F1351" s="304"/>
    </row>
    <row r="1352" spans="1:6">
      <c r="A1352" s="347"/>
      <c r="B1352" s="304"/>
      <c r="D1352" s="304"/>
      <c r="E1352" s="304"/>
      <c r="F1352" s="304"/>
    </row>
    <row r="1353" spans="1:6">
      <c r="A1353" s="347"/>
      <c r="B1353" s="304"/>
      <c r="D1353" s="304"/>
      <c r="E1353" s="304"/>
      <c r="F1353" s="304"/>
    </row>
    <row r="1354" spans="1:6">
      <c r="A1354" s="347"/>
      <c r="B1354" s="304"/>
      <c r="D1354" s="304"/>
      <c r="E1354" s="304"/>
      <c r="F1354" s="304"/>
    </row>
    <row r="1355" spans="1:6">
      <c r="A1355" s="347"/>
      <c r="B1355" s="304"/>
      <c r="D1355" s="304"/>
      <c r="E1355" s="304"/>
      <c r="F1355" s="304"/>
    </row>
    <row r="1356" spans="1:6">
      <c r="A1356" s="347"/>
      <c r="B1356" s="304"/>
      <c r="D1356" s="304"/>
      <c r="E1356" s="304"/>
      <c r="F1356" s="304"/>
    </row>
    <row r="1357" spans="1:6">
      <c r="A1357" s="347"/>
      <c r="B1357" s="304"/>
      <c r="D1357" s="304"/>
      <c r="E1357" s="304"/>
      <c r="F1357" s="304"/>
    </row>
    <row r="1358" spans="1:6">
      <c r="A1358" s="347"/>
      <c r="B1358" s="304"/>
      <c r="D1358" s="304"/>
      <c r="E1358" s="304"/>
      <c r="F1358" s="304"/>
    </row>
    <row r="1359" spans="1:6">
      <c r="A1359" s="347"/>
      <c r="B1359" s="304"/>
      <c r="D1359" s="304"/>
      <c r="E1359" s="304"/>
      <c r="F1359" s="304"/>
    </row>
    <row r="1360" spans="1:6">
      <c r="A1360" s="347"/>
      <c r="B1360" s="304"/>
      <c r="D1360" s="304"/>
      <c r="E1360" s="304"/>
      <c r="F1360" s="304"/>
    </row>
    <row r="1361" spans="1:6">
      <c r="A1361" s="347"/>
      <c r="B1361" s="304"/>
      <c r="D1361" s="304"/>
      <c r="E1361" s="304"/>
      <c r="F1361" s="304"/>
    </row>
    <row r="1362" spans="1:6">
      <c r="A1362" s="347"/>
      <c r="B1362" s="304"/>
      <c r="D1362" s="304"/>
      <c r="E1362" s="304"/>
      <c r="F1362" s="304"/>
    </row>
    <row r="1363" spans="1:6">
      <c r="A1363" s="347"/>
      <c r="B1363" s="304"/>
      <c r="D1363" s="304"/>
      <c r="E1363" s="304"/>
      <c r="F1363" s="304"/>
    </row>
    <row r="1364" spans="1:6">
      <c r="A1364" s="347"/>
      <c r="B1364" s="304"/>
      <c r="D1364" s="304"/>
      <c r="E1364" s="304"/>
      <c r="F1364" s="304"/>
    </row>
    <row r="1365" spans="1:6">
      <c r="A1365" s="347"/>
      <c r="B1365" s="304"/>
      <c r="D1365" s="304"/>
      <c r="E1365" s="304"/>
      <c r="F1365" s="304"/>
    </row>
    <row r="1366" spans="1:6">
      <c r="A1366" s="347"/>
      <c r="B1366" s="304"/>
      <c r="D1366" s="304"/>
      <c r="E1366" s="304"/>
      <c r="F1366" s="304"/>
    </row>
    <row r="1367" spans="1:6">
      <c r="A1367" s="347"/>
      <c r="B1367" s="304"/>
      <c r="D1367" s="304"/>
      <c r="E1367" s="304"/>
      <c r="F1367" s="304"/>
    </row>
    <row r="1368" spans="1:6">
      <c r="A1368" s="347"/>
      <c r="B1368" s="304"/>
      <c r="D1368" s="304"/>
      <c r="E1368" s="304"/>
      <c r="F1368" s="304"/>
    </row>
    <row r="1369" spans="1:6">
      <c r="A1369" s="347"/>
      <c r="B1369" s="304"/>
      <c r="D1369" s="304"/>
      <c r="E1369" s="304"/>
      <c r="F1369" s="304"/>
    </row>
    <row r="1370" spans="1:6">
      <c r="A1370" s="347"/>
      <c r="B1370" s="304"/>
      <c r="D1370" s="304"/>
      <c r="E1370" s="304"/>
      <c r="F1370" s="304"/>
    </row>
    <row r="1371" spans="1:6">
      <c r="A1371" s="347"/>
      <c r="B1371" s="304"/>
      <c r="D1371" s="304"/>
      <c r="E1371" s="304"/>
      <c r="F1371" s="304"/>
    </row>
    <row r="1372" spans="1:6">
      <c r="A1372" s="347"/>
      <c r="B1372" s="304"/>
      <c r="D1372" s="304"/>
      <c r="E1372" s="304"/>
      <c r="F1372" s="304"/>
    </row>
    <row r="1373" spans="1:6">
      <c r="A1373" s="347"/>
      <c r="B1373" s="304"/>
      <c r="D1373" s="304"/>
      <c r="E1373" s="304"/>
      <c r="F1373" s="304"/>
    </row>
    <row r="1374" spans="1:6">
      <c r="A1374" s="347"/>
      <c r="B1374" s="304"/>
      <c r="D1374" s="304"/>
      <c r="E1374" s="304"/>
      <c r="F1374" s="304"/>
    </row>
    <row r="1375" spans="1:6">
      <c r="A1375" s="347"/>
      <c r="B1375" s="304"/>
      <c r="D1375" s="304"/>
      <c r="E1375" s="304"/>
      <c r="F1375" s="304"/>
    </row>
    <row r="1376" spans="1:6">
      <c r="A1376" s="347"/>
      <c r="B1376" s="304"/>
      <c r="D1376" s="304"/>
      <c r="E1376" s="304"/>
      <c r="F1376" s="304"/>
    </row>
    <row r="1377" spans="1:6">
      <c r="A1377" s="347"/>
      <c r="B1377" s="304"/>
      <c r="D1377" s="304"/>
      <c r="E1377" s="304"/>
      <c r="F1377" s="304"/>
    </row>
    <row r="1378" spans="1:6">
      <c r="A1378" s="347"/>
      <c r="B1378" s="304"/>
      <c r="D1378" s="304"/>
      <c r="E1378" s="304"/>
      <c r="F1378" s="304"/>
    </row>
    <row r="1379" spans="1:6">
      <c r="A1379" s="347"/>
      <c r="B1379" s="304"/>
      <c r="D1379" s="304"/>
      <c r="E1379" s="304"/>
      <c r="F1379" s="304"/>
    </row>
    <row r="1380" spans="1:6">
      <c r="A1380" s="347"/>
      <c r="B1380" s="304"/>
      <c r="D1380" s="304"/>
      <c r="E1380" s="304"/>
      <c r="F1380" s="304"/>
    </row>
    <row r="1381" spans="1:6">
      <c r="A1381" s="347"/>
      <c r="B1381" s="304"/>
      <c r="D1381" s="304"/>
      <c r="E1381" s="304"/>
      <c r="F1381" s="304"/>
    </row>
    <row r="1382" spans="1:6">
      <c r="A1382" s="347"/>
      <c r="B1382" s="304"/>
      <c r="D1382" s="304"/>
      <c r="E1382" s="304"/>
      <c r="F1382" s="304"/>
    </row>
    <row r="1383" spans="1:6">
      <c r="A1383" s="347"/>
      <c r="B1383" s="304"/>
      <c r="D1383" s="304"/>
      <c r="E1383" s="304"/>
      <c r="F1383" s="304"/>
    </row>
    <row r="1384" spans="1:6">
      <c r="A1384" s="347"/>
      <c r="B1384" s="304"/>
      <c r="D1384" s="304"/>
      <c r="E1384" s="304"/>
      <c r="F1384" s="304"/>
    </row>
    <row r="1385" spans="1:6">
      <c r="A1385" s="347"/>
      <c r="B1385" s="304"/>
      <c r="D1385" s="304"/>
      <c r="E1385" s="304"/>
      <c r="F1385" s="304"/>
    </row>
    <row r="1386" spans="1:6">
      <c r="A1386" s="347"/>
      <c r="B1386" s="304"/>
      <c r="D1386" s="304"/>
      <c r="E1386" s="304"/>
      <c r="F1386" s="304"/>
    </row>
    <row r="1387" spans="1:6">
      <c r="A1387" s="347"/>
      <c r="B1387" s="304"/>
      <c r="D1387" s="304"/>
      <c r="E1387" s="304"/>
      <c r="F1387" s="304"/>
    </row>
    <row r="1388" spans="1:6">
      <c r="A1388" s="347"/>
      <c r="B1388" s="304"/>
      <c r="D1388" s="304"/>
      <c r="E1388" s="304"/>
      <c r="F1388" s="304"/>
    </row>
    <row r="1389" spans="1:6">
      <c r="A1389" s="347"/>
      <c r="B1389" s="304"/>
      <c r="D1389" s="304"/>
      <c r="E1389" s="304"/>
      <c r="F1389" s="304"/>
    </row>
    <row r="1390" spans="1:6">
      <c r="A1390" s="347"/>
      <c r="B1390" s="304"/>
      <c r="D1390" s="304"/>
      <c r="E1390" s="304"/>
      <c r="F1390" s="304"/>
    </row>
    <row r="1391" spans="1:6">
      <c r="A1391" s="347"/>
      <c r="B1391" s="304"/>
      <c r="D1391" s="304"/>
      <c r="E1391" s="304"/>
      <c r="F1391" s="304"/>
    </row>
    <row r="1392" spans="1:6">
      <c r="A1392" s="347"/>
      <c r="B1392" s="304"/>
      <c r="D1392" s="304"/>
      <c r="E1392" s="304"/>
      <c r="F1392" s="304"/>
    </row>
    <row r="1393" spans="1:6">
      <c r="A1393" s="347"/>
      <c r="B1393" s="304"/>
      <c r="D1393" s="304"/>
      <c r="E1393" s="304"/>
      <c r="F1393" s="304"/>
    </row>
    <row r="1394" spans="1:6">
      <c r="A1394" s="347"/>
      <c r="B1394" s="304"/>
      <c r="D1394" s="304"/>
      <c r="E1394" s="304"/>
      <c r="F1394" s="304"/>
    </row>
    <row r="1395" spans="1:6">
      <c r="A1395" s="347"/>
      <c r="B1395" s="304"/>
      <c r="D1395" s="304"/>
      <c r="E1395" s="304"/>
      <c r="F1395" s="304"/>
    </row>
    <row r="1396" spans="1:6">
      <c r="A1396" s="347"/>
      <c r="B1396" s="304"/>
      <c r="D1396" s="304"/>
      <c r="E1396" s="304"/>
      <c r="F1396" s="304"/>
    </row>
    <row r="1397" spans="1:6">
      <c r="A1397" s="347"/>
      <c r="B1397" s="304"/>
      <c r="D1397" s="304"/>
      <c r="E1397" s="304"/>
      <c r="F1397" s="304"/>
    </row>
    <row r="1398" spans="1:6">
      <c r="A1398" s="347"/>
      <c r="B1398" s="304"/>
      <c r="D1398" s="304"/>
      <c r="E1398" s="304"/>
      <c r="F1398" s="304"/>
    </row>
    <row r="1399" spans="1:6">
      <c r="A1399" s="347"/>
      <c r="B1399" s="304"/>
      <c r="D1399" s="304"/>
      <c r="E1399" s="304"/>
      <c r="F1399" s="304"/>
    </row>
    <row r="1400" spans="1:6">
      <c r="A1400" s="347"/>
      <c r="B1400" s="304"/>
      <c r="D1400" s="304"/>
      <c r="E1400" s="304"/>
      <c r="F1400" s="304"/>
    </row>
    <row r="1401" spans="1:6">
      <c r="A1401" s="347"/>
      <c r="B1401" s="304"/>
      <c r="D1401" s="304"/>
      <c r="E1401" s="304"/>
      <c r="F1401" s="304"/>
    </row>
    <row r="1402" spans="1:6">
      <c r="A1402" s="347"/>
      <c r="B1402" s="304"/>
      <c r="D1402" s="304"/>
      <c r="E1402" s="304"/>
      <c r="F1402" s="304"/>
    </row>
    <row r="1403" spans="1:6">
      <c r="A1403" s="347"/>
      <c r="B1403" s="304"/>
      <c r="D1403" s="304"/>
      <c r="E1403" s="304"/>
      <c r="F1403" s="304"/>
    </row>
    <row r="1404" spans="1:6">
      <c r="A1404" s="347"/>
      <c r="B1404" s="304"/>
      <c r="D1404" s="304"/>
      <c r="E1404" s="304"/>
      <c r="F1404" s="304"/>
    </row>
    <row r="1405" spans="1:6">
      <c r="A1405" s="347"/>
      <c r="B1405" s="304"/>
      <c r="D1405" s="304"/>
      <c r="E1405" s="304"/>
      <c r="F1405" s="304"/>
    </row>
    <row r="1406" spans="1:6">
      <c r="A1406" s="347"/>
      <c r="B1406" s="304"/>
      <c r="D1406" s="304"/>
      <c r="E1406" s="304"/>
      <c r="F1406" s="304"/>
    </row>
    <row r="1407" spans="1:6">
      <c r="A1407" s="347"/>
      <c r="B1407" s="304"/>
      <c r="D1407" s="304"/>
      <c r="E1407" s="304"/>
      <c r="F1407" s="304"/>
    </row>
    <row r="1408" spans="1:6">
      <c r="A1408" s="347"/>
      <c r="B1408" s="304"/>
      <c r="D1408" s="304"/>
      <c r="E1408" s="304"/>
      <c r="F1408" s="304"/>
    </row>
    <row r="1409" spans="1:6">
      <c r="A1409" s="347"/>
      <c r="B1409" s="304"/>
      <c r="D1409" s="304"/>
      <c r="E1409" s="304"/>
      <c r="F1409" s="304"/>
    </row>
    <row r="1410" spans="1:6">
      <c r="A1410" s="347"/>
      <c r="B1410" s="304"/>
      <c r="D1410" s="304"/>
      <c r="E1410" s="304"/>
      <c r="F1410" s="304"/>
    </row>
    <row r="1411" spans="1:6">
      <c r="A1411" s="347"/>
      <c r="B1411" s="304"/>
      <c r="D1411" s="304"/>
      <c r="E1411" s="304"/>
      <c r="F1411" s="304"/>
    </row>
    <row r="1412" spans="1:6">
      <c r="A1412" s="347"/>
      <c r="B1412" s="304"/>
      <c r="D1412" s="304"/>
      <c r="E1412" s="304"/>
      <c r="F1412" s="304"/>
    </row>
    <row r="1413" spans="1:6">
      <c r="A1413" s="347"/>
      <c r="B1413" s="304"/>
      <c r="D1413" s="304"/>
      <c r="E1413" s="304"/>
      <c r="F1413" s="304"/>
    </row>
    <row r="1414" spans="1:6">
      <c r="A1414" s="347"/>
      <c r="B1414" s="304"/>
      <c r="D1414" s="304"/>
      <c r="E1414" s="304"/>
      <c r="F1414" s="304"/>
    </row>
    <row r="1415" spans="1:6">
      <c r="A1415" s="347"/>
      <c r="B1415" s="304"/>
      <c r="D1415" s="304"/>
      <c r="E1415" s="304"/>
      <c r="F1415" s="304"/>
    </row>
    <row r="1416" spans="1:6">
      <c r="A1416" s="347"/>
      <c r="B1416" s="304"/>
      <c r="D1416" s="304"/>
      <c r="E1416" s="304"/>
      <c r="F1416" s="304"/>
    </row>
    <row r="1417" spans="1:6">
      <c r="A1417" s="347"/>
      <c r="B1417" s="304"/>
      <c r="D1417" s="304"/>
      <c r="E1417" s="304"/>
      <c r="F1417" s="304"/>
    </row>
    <row r="1418" spans="1:6">
      <c r="A1418" s="347"/>
      <c r="B1418" s="304"/>
      <c r="D1418" s="304"/>
      <c r="E1418" s="304"/>
      <c r="F1418" s="304"/>
    </row>
    <row r="1419" spans="1:6">
      <c r="A1419" s="347"/>
      <c r="B1419" s="304"/>
      <c r="D1419" s="304"/>
      <c r="E1419" s="304"/>
      <c r="F1419" s="304"/>
    </row>
    <row r="1420" spans="1:6">
      <c r="A1420" s="347"/>
      <c r="B1420" s="304"/>
      <c r="D1420" s="304"/>
      <c r="E1420" s="304"/>
      <c r="F1420" s="304"/>
    </row>
    <row r="1421" spans="1:6">
      <c r="A1421" s="347"/>
      <c r="B1421" s="304"/>
      <c r="D1421" s="304"/>
      <c r="E1421" s="304"/>
      <c r="F1421" s="304"/>
    </row>
    <row r="1422" spans="1:6">
      <c r="A1422" s="347"/>
      <c r="B1422" s="304"/>
      <c r="D1422" s="304"/>
      <c r="E1422" s="304"/>
      <c r="F1422" s="304"/>
    </row>
    <row r="1423" spans="1:6">
      <c r="A1423" s="347"/>
      <c r="B1423" s="304"/>
      <c r="D1423" s="304"/>
      <c r="E1423" s="304"/>
      <c r="F1423" s="304"/>
    </row>
    <row r="1424" spans="1:6">
      <c r="A1424" s="347"/>
      <c r="B1424" s="304"/>
      <c r="D1424" s="304"/>
      <c r="E1424" s="304"/>
      <c r="F1424" s="304"/>
    </row>
    <row r="1425" spans="1:6">
      <c r="A1425" s="347"/>
      <c r="B1425" s="304"/>
      <c r="D1425" s="304"/>
      <c r="E1425" s="304"/>
      <c r="F1425" s="304"/>
    </row>
    <row r="1426" spans="1:6">
      <c r="A1426" s="347"/>
      <c r="B1426" s="304"/>
      <c r="D1426" s="304"/>
      <c r="E1426" s="304"/>
      <c r="F1426" s="304"/>
    </row>
    <row r="1427" spans="1:6">
      <c r="A1427" s="347"/>
      <c r="B1427" s="304"/>
      <c r="D1427" s="304"/>
      <c r="E1427" s="304"/>
      <c r="F1427" s="304"/>
    </row>
    <row r="1428" spans="1:6">
      <c r="A1428" s="347"/>
      <c r="B1428" s="304"/>
      <c r="D1428" s="304"/>
      <c r="E1428" s="304"/>
      <c r="F1428" s="304"/>
    </row>
    <row r="1429" spans="1:6">
      <c r="A1429" s="347"/>
      <c r="B1429" s="304"/>
      <c r="D1429" s="304"/>
      <c r="E1429" s="304"/>
      <c r="F1429" s="304"/>
    </row>
    <row r="1430" spans="1:6">
      <c r="A1430" s="347"/>
      <c r="B1430" s="304"/>
      <c r="D1430" s="304"/>
      <c r="E1430" s="304"/>
      <c r="F1430" s="304"/>
    </row>
    <row r="1431" spans="1:6">
      <c r="A1431" s="347"/>
      <c r="B1431" s="304"/>
      <c r="D1431" s="304"/>
      <c r="E1431" s="304"/>
      <c r="F1431" s="304"/>
    </row>
    <row r="1432" spans="1:6">
      <c r="A1432" s="347"/>
      <c r="B1432" s="304"/>
      <c r="D1432" s="304"/>
      <c r="E1432" s="304"/>
      <c r="F1432" s="304"/>
    </row>
    <row r="1433" spans="1:6">
      <c r="A1433" s="347"/>
      <c r="B1433" s="304"/>
      <c r="D1433" s="304"/>
      <c r="E1433" s="304"/>
      <c r="F1433" s="304"/>
    </row>
    <row r="1434" spans="1:6">
      <c r="A1434" s="347"/>
      <c r="B1434" s="304"/>
      <c r="D1434" s="304"/>
      <c r="E1434" s="304"/>
      <c r="F1434" s="304"/>
    </row>
    <row r="1435" spans="1:6">
      <c r="A1435" s="347"/>
      <c r="B1435" s="304"/>
      <c r="D1435" s="304"/>
      <c r="E1435" s="304"/>
      <c r="F1435" s="304"/>
    </row>
    <row r="1436" spans="1:6">
      <c r="A1436" s="347"/>
      <c r="B1436" s="304"/>
      <c r="D1436" s="304"/>
      <c r="E1436" s="304"/>
      <c r="F1436" s="304"/>
    </row>
    <row r="1437" spans="1:6">
      <c r="A1437" s="347"/>
      <c r="B1437" s="304"/>
      <c r="D1437" s="304"/>
      <c r="E1437" s="304"/>
      <c r="F1437" s="304"/>
    </row>
    <row r="1438" spans="1:6">
      <c r="A1438" s="347"/>
      <c r="B1438" s="304"/>
      <c r="D1438" s="304"/>
      <c r="E1438" s="304"/>
      <c r="F1438" s="304"/>
    </row>
    <row r="1439" spans="1:6">
      <c r="A1439" s="347"/>
      <c r="B1439" s="304"/>
      <c r="D1439" s="304"/>
      <c r="E1439" s="304"/>
      <c r="F1439" s="304"/>
    </row>
    <row r="1440" spans="1:6">
      <c r="A1440" s="347"/>
      <c r="B1440" s="304"/>
      <c r="D1440" s="304"/>
      <c r="E1440" s="304"/>
      <c r="F1440" s="304"/>
    </row>
    <row r="1441" spans="1:6">
      <c r="A1441" s="347"/>
      <c r="B1441" s="304"/>
      <c r="D1441" s="304"/>
      <c r="E1441" s="304"/>
      <c r="F1441" s="304"/>
    </row>
    <row r="1442" spans="1:6">
      <c r="A1442" s="347"/>
      <c r="B1442" s="304"/>
      <c r="D1442" s="304"/>
      <c r="E1442" s="304"/>
      <c r="F1442" s="304"/>
    </row>
    <row r="1443" spans="1:6">
      <c r="A1443" s="347"/>
      <c r="B1443" s="304"/>
      <c r="D1443" s="304"/>
      <c r="E1443" s="304"/>
      <c r="F1443" s="304"/>
    </row>
    <row r="1444" spans="1:6">
      <c r="A1444" s="347"/>
      <c r="B1444" s="304"/>
      <c r="D1444" s="304"/>
      <c r="E1444" s="304"/>
      <c r="F1444" s="304"/>
    </row>
    <row r="1445" spans="1:6">
      <c r="A1445" s="347"/>
      <c r="B1445" s="304"/>
      <c r="D1445" s="304"/>
      <c r="E1445" s="304"/>
      <c r="F1445" s="304"/>
    </row>
    <row r="1446" spans="1:6">
      <c r="A1446" s="347"/>
      <c r="B1446" s="304"/>
      <c r="D1446" s="304"/>
      <c r="E1446" s="304"/>
      <c r="F1446" s="304"/>
    </row>
    <row r="1447" spans="1:6">
      <c r="A1447" s="347"/>
      <c r="B1447" s="304"/>
      <c r="D1447" s="304"/>
      <c r="E1447" s="304"/>
      <c r="F1447" s="304"/>
    </row>
    <row r="1448" spans="1:6">
      <c r="A1448" s="347"/>
      <c r="B1448" s="304"/>
      <c r="D1448" s="304"/>
      <c r="E1448" s="304"/>
      <c r="F1448" s="304"/>
    </row>
    <row r="1449" spans="1:6">
      <c r="A1449" s="347"/>
      <c r="B1449" s="304"/>
      <c r="D1449" s="304"/>
      <c r="E1449" s="304"/>
      <c r="F1449" s="304"/>
    </row>
    <row r="1450" spans="1:6">
      <c r="A1450" s="347"/>
      <c r="B1450" s="304"/>
      <c r="D1450" s="304"/>
      <c r="E1450" s="304"/>
      <c r="F1450" s="304"/>
    </row>
    <row r="1451" spans="1:6">
      <c r="A1451" s="347"/>
      <c r="B1451" s="304"/>
      <c r="D1451" s="304"/>
      <c r="E1451" s="304"/>
      <c r="F1451" s="304"/>
    </row>
    <row r="1452" spans="1:6">
      <c r="A1452" s="347"/>
      <c r="B1452" s="304"/>
      <c r="D1452" s="304"/>
      <c r="E1452" s="304"/>
      <c r="F1452" s="304"/>
    </row>
    <row r="1453" spans="1:6">
      <c r="A1453" s="347"/>
      <c r="B1453" s="304"/>
      <c r="D1453" s="304"/>
      <c r="E1453" s="304"/>
      <c r="F1453" s="304"/>
    </row>
    <row r="1454" spans="1:6">
      <c r="A1454" s="347"/>
      <c r="B1454" s="304"/>
      <c r="D1454" s="304"/>
      <c r="E1454" s="304"/>
      <c r="F1454" s="304"/>
    </row>
    <row r="1455" spans="1:6">
      <c r="A1455" s="347"/>
      <c r="B1455" s="304"/>
      <c r="D1455" s="304"/>
      <c r="E1455" s="304"/>
      <c r="F1455" s="304"/>
    </row>
    <row r="1456" spans="1:6">
      <c r="A1456" s="347"/>
      <c r="B1456" s="304"/>
      <c r="D1456" s="304"/>
      <c r="E1456" s="304"/>
      <c r="F1456" s="304"/>
    </row>
    <row r="1457" spans="1:6">
      <c r="A1457" s="347"/>
      <c r="B1457" s="304"/>
      <c r="D1457" s="304"/>
      <c r="E1457" s="304"/>
      <c r="F1457" s="304"/>
    </row>
    <row r="1458" spans="1:6">
      <c r="A1458" s="347"/>
      <c r="B1458" s="304"/>
      <c r="D1458" s="304"/>
      <c r="E1458" s="304"/>
      <c r="F1458" s="304"/>
    </row>
    <row r="1459" spans="1:6">
      <c r="A1459" s="347"/>
      <c r="B1459" s="304"/>
      <c r="D1459" s="304"/>
      <c r="E1459" s="304"/>
      <c r="F1459" s="304"/>
    </row>
    <row r="1460" spans="1:6">
      <c r="A1460" s="347"/>
      <c r="B1460" s="304"/>
      <c r="D1460" s="304"/>
      <c r="E1460" s="304"/>
      <c r="F1460" s="304"/>
    </row>
    <row r="1461" spans="1:6">
      <c r="A1461" s="347"/>
      <c r="B1461" s="304"/>
      <c r="D1461" s="304"/>
      <c r="E1461" s="304"/>
      <c r="F1461" s="304"/>
    </row>
    <row r="1462" spans="1:6">
      <c r="A1462" s="347"/>
      <c r="B1462" s="304"/>
      <c r="D1462" s="304"/>
      <c r="E1462" s="304"/>
      <c r="F1462" s="304"/>
    </row>
    <row r="1463" spans="1:6">
      <c r="A1463" s="347"/>
      <c r="B1463" s="304"/>
      <c r="D1463" s="304"/>
      <c r="E1463" s="304"/>
      <c r="F1463" s="304"/>
    </row>
    <row r="1464" spans="1:6">
      <c r="A1464" s="347"/>
      <c r="B1464" s="304"/>
      <c r="D1464" s="304"/>
      <c r="E1464" s="304"/>
      <c r="F1464" s="304"/>
    </row>
    <row r="1465" spans="1:6">
      <c r="A1465" s="347"/>
      <c r="B1465" s="304"/>
      <c r="D1465" s="304"/>
      <c r="E1465" s="304"/>
      <c r="F1465" s="304"/>
    </row>
    <row r="1466" spans="1:6">
      <c r="A1466" s="347"/>
      <c r="B1466" s="304"/>
      <c r="D1466" s="304"/>
      <c r="E1466" s="304"/>
      <c r="F1466" s="304"/>
    </row>
    <row r="1467" spans="1:6">
      <c r="A1467" s="347"/>
      <c r="B1467" s="304"/>
      <c r="D1467" s="304"/>
      <c r="E1467" s="304"/>
      <c r="F1467" s="304"/>
    </row>
    <row r="1468" spans="1:6">
      <c r="A1468" s="347"/>
      <c r="B1468" s="304"/>
      <c r="D1468" s="304"/>
      <c r="E1468" s="304"/>
      <c r="F1468" s="304"/>
    </row>
    <row r="1469" spans="1:6">
      <c r="A1469" s="347"/>
      <c r="B1469" s="304"/>
      <c r="D1469" s="304"/>
      <c r="E1469" s="304"/>
      <c r="F1469" s="304"/>
    </row>
    <row r="1470" spans="1:6">
      <c r="A1470" s="347"/>
      <c r="B1470" s="304"/>
      <c r="D1470" s="304"/>
      <c r="E1470" s="304"/>
      <c r="F1470" s="304"/>
    </row>
    <row r="1471" spans="1:6">
      <c r="A1471" s="347"/>
      <c r="B1471" s="304"/>
      <c r="D1471" s="304"/>
      <c r="E1471" s="304"/>
      <c r="F1471" s="304"/>
    </row>
    <row r="1472" spans="1:6">
      <c r="A1472" s="347"/>
      <c r="B1472" s="304"/>
      <c r="D1472" s="304"/>
      <c r="E1472" s="304"/>
      <c r="F1472" s="304"/>
    </row>
    <row r="1473" spans="1:6">
      <c r="A1473" s="347"/>
      <c r="B1473" s="304"/>
      <c r="D1473" s="304"/>
      <c r="E1473" s="304"/>
      <c r="F1473" s="304"/>
    </row>
    <row r="1474" spans="1:6">
      <c r="A1474" s="347"/>
      <c r="B1474" s="304"/>
      <c r="D1474" s="304"/>
      <c r="E1474" s="304"/>
      <c r="F1474" s="304"/>
    </row>
    <row r="1475" spans="1:6">
      <c r="A1475" s="347"/>
      <c r="B1475" s="304"/>
      <c r="D1475" s="304"/>
      <c r="E1475" s="304"/>
      <c r="F1475" s="304"/>
    </row>
    <row r="1476" spans="1:6">
      <c r="A1476" s="347"/>
      <c r="B1476" s="304"/>
      <c r="D1476" s="304"/>
      <c r="E1476" s="304"/>
      <c r="F1476" s="304"/>
    </row>
    <row r="1477" spans="1:6">
      <c r="A1477" s="347"/>
      <c r="B1477" s="304"/>
      <c r="D1477" s="304"/>
      <c r="E1477" s="304"/>
      <c r="F1477" s="304"/>
    </row>
    <row r="1478" spans="1:6">
      <c r="A1478" s="347"/>
      <c r="B1478" s="304"/>
      <c r="D1478" s="304"/>
      <c r="E1478" s="304"/>
      <c r="F1478" s="304"/>
    </row>
    <row r="1479" spans="1:6">
      <c r="A1479" s="347"/>
      <c r="B1479" s="304"/>
      <c r="D1479" s="304"/>
      <c r="E1479" s="304"/>
      <c r="F1479" s="304"/>
    </row>
    <row r="1480" spans="1:6">
      <c r="A1480" s="347"/>
      <c r="B1480" s="304"/>
      <c r="D1480" s="304"/>
      <c r="E1480" s="304"/>
      <c r="F1480" s="304"/>
    </row>
    <row r="1481" spans="1:6">
      <c r="A1481" s="347"/>
      <c r="B1481" s="304"/>
      <c r="D1481" s="304"/>
      <c r="E1481" s="304"/>
      <c r="F1481" s="304"/>
    </row>
    <row r="1482" spans="1:6">
      <c r="A1482" s="347"/>
      <c r="B1482" s="304"/>
      <c r="D1482" s="304"/>
      <c r="E1482" s="304"/>
      <c r="F1482" s="304"/>
    </row>
    <row r="1483" spans="1:6">
      <c r="A1483" s="347"/>
      <c r="B1483" s="304"/>
      <c r="D1483" s="304"/>
      <c r="E1483" s="304"/>
      <c r="F1483" s="304"/>
    </row>
    <row r="1484" spans="1:6">
      <c r="A1484" s="347"/>
      <c r="B1484" s="304"/>
      <c r="D1484" s="304"/>
      <c r="E1484" s="304"/>
      <c r="F1484" s="304"/>
    </row>
    <row r="1485" spans="1:6">
      <c r="A1485" s="347"/>
      <c r="B1485" s="304"/>
      <c r="D1485" s="304"/>
      <c r="E1485" s="304"/>
      <c r="F1485" s="304"/>
    </row>
    <row r="1486" spans="1:6">
      <c r="A1486" s="347"/>
      <c r="B1486" s="304"/>
      <c r="D1486" s="304"/>
      <c r="E1486" s="304"/>
      <c r="F1486" s="304"/>
    </row>
    <row r="1487" spans="1:6">
      <c r="A1487" s="347"/>
      <c r="B1487" s="304"/>
      <c r="D1487" s="304"/>
      <c r="E1487" s="304"/>
      <c r="F1487" s="304"/>
    </row>
    <row r="1488" spans="1:6">
      <c r="A1488" s="347"/>
      <c r="B1488" s="304"/>
      <c r="D1488" s="304"/>
      <c r="E1488" s="304"/>
      <c r="F1488" s="304"/>
    </row>
    <row r="1489" spans="1:6">
      <c r="A1489" s="347"/>
      <c r="B1489" s="304"/>
      <c r="D1489" s="304"/>
      <c r="E1489" s="304"/>
      <c r="F1489" s="304"/>
    </row>
    <row r="1490" spans="1:6">
      <c r="A1490" s="347"/>
      <c r="B1490" s="304"/>
      <c r="D1490" s="304"/>
      <c r="E1490" s="304"/>
      <c r="F1490" s="304"/>
    </row>
    <row r="1491" spans="1:6">
      <c r="A1491" s="347"/>
      <c r="B1491" s="304"/>
      <c r="D1491" s="304"/>
      <c r="E1491" s="304"/>
      <c r="F1491" s="304"/>
    </row>
    <row r="1492" spans="1:6">
      <c r="A1492" s="347"/>
      <c r="B1492" s="304"/>
      <c r="D1492" s="304"/>
      <c r="E1492" s="304"/>
      <c r="F1492" s="304"/>
    </row>
    <row r="1493" spans="1:6">
      <c r="A1493" s="347"/>
      <c r="B1493" s="304"/>
      <c r="D1493" s="304"/>
      <c r="E1493" s="304"/>
      <c r="F1493" s="304"/>
    </row>
    <row r="1494" spans="1:6">
      <c r="A1494" s="347"/>
      <c r="B1494" s="304"/>
      <c r="D1494" s="304"/>
      <c r="E1494" s="304"/>
      <c r="F1494" s="304"/>
    </row>
    <row r="1495" spans="1:6">
      <c r="A1495" s="347"/>
      <c r="B1495" s="304"/>
      <c r="D1495" s="304"/>
      <c r="E1495" s="304"/>
      <c r="F1495" s="304"/>
    </row>
    <row r="1496" spans="1:6">
      <c r="A1496" s="347"/>
      <c r="B1496" s="304"/>
      <c r="D1496" s="304"/>
      <c r="E1496" s="304"/>
      <c r="F1496" s="304"/>
    </row>
    <row r="1497" spans="1:6">
      <c r="A1497" s="347"/>
      <c r="B1497" s="304"/>
      <c r="D1497" s="304"/>
      <c r="E1497" s="304"/>
      <c r="F1497" s="304"/>
    </row>
    <row r="1498" spans="1:6">
      <c r="A1498" s="347"/>
      <c r="B1498" s="304"/>
      <c r="D1498" s="304"/>
      <c r="E1498" s="304"/>
      <c r="F1498" s="304"/>
    </row>
    <row r="1499" spans="1:6">
      <c r="A1499" s="347"/>
      <c r="B1499" s="304"/>
      <c r="D1499" s="304"/>
      <c r="E1499" s="304"/>
      <c r="F1499" s="304"/>
    </row>
    <row r="1500" spans="1:6">
      <c r="A1500" s="347"/>
      <c r="B1500" s="304"/>
      <c r="D1500" s="304"/>
      <c r="E1500" s="304"/>
      <c r="F1500" s="304"/>
    </row>
    <row r="1501" spans="1:6">
      <c r="A1501" s="347"/>
      <c r="B1501" s="304"/>
      <c r="D1501" s="304"/>
      <c r="E1501" s="304"/>
      <c r="F1501" s="304"/>
    </row>
    <row r="1502" spans="1:6">
      <c r="A1502" s="347"/>
      <c r="B1502" s="304"/>
      <c r="D1502" s="304"/>
      <c r="E1502" s="304"/>
      <c r="F1502" s="304"/>
    </row>
    <row r="1503" spans="1:6">
      <c r="A1503" s="347"/>
      <c r="B1503" s="304"/>
      <c r="D1503" s="304"/>
      <c r="E1503" s="304"/>
      <c r="F1503" s="304"/>
    </row>
    <row r="1504" spans="1:6">
      <c r="A1504" s="347"/>
      <c r="B1504" s="304"/>
      <c r="D1504" s="304"/>
      <c r="E1504" s="304"/>
      <c r="F1504" s="304"/>
    </row>
    <row r="1505" spans="1:6">
      <c r="A1505" s="347"/>
      <c r="B1505" s="304"/>
      <c r="D1505" s="304"/>
      <c r="E1505" s="304"/>
      <c r="F1505" s="304"/>
    </row>
    <row r="1506" spans="1:6">
      <c r="A1506" s="347"/>
      <c r="B1506" s="304"/>
      <c r="D1506" s="304"/>
      <c r="E1506" s="304"/>
      <c r="F1506" s="304"/>
    </row>
    <row r="1507" spans="1:6">
      <c r="A1507" s="347"/>
      <c r="B1507" s="304"/>
      <c r="D1507" s="304"/>
      <c r="E1507" s="304"/>
      <c r="F1507" s="304"/>
    </row>
    <row r="1508" spans="1:6">
      <c r="A1508" s="347"/>
      <c r="B1508" s="304"/>
      <c r="D1508" s="304"/>
      <c r="E1508" s="304"/>
      <c r="F1508" s="304"/>
    </row>
    <row r="1509" spans="1:6">
      <c r="A1509" s="347"/>
      <c r="B1509" s="304"/>
      <c r="D1509" s="304"/>
      <c r="E1509" s="304"/>
      <c r="F1509" s="304"/>
    </row>
    <row r="1510" spans="1:6">
      <c r="A1510" s="347"/>
      <c r="B1510" s="304"/>
      <c r="D1510" s="304"/>
      <c r="E1510" s="304"/>
      <c r="F1510" s="304"/>
    </row>
    <row r="1511" spans="1:6">
      <c r="A1511" s="347"/>
      <c r="B1511" s="304"/>
      <c r="D1511" s="304"/>
      <c r="E1511" s="304"/>
      <c r="F1511" s="304"/>
    </row>
    <row r="1512" spans="1:6">
      <c r="A1512" s="347"/>
      <c r="B1512" s="304"/>
      <c r="D1512" s="304"/>
      <c r="E1512" s="304"/>
      <c r="F1512" s="304"/>
    </row>
    <row r="1513" spans="1:6">
      <c r="A1513" s="347"/>
      <c r="B1513" s="304"/>
      <c r="D1513" s="304"/>
      <c r="E1513" s="304"/>
      <c r="F1513" s="304"/>
    </row>
    <row r="1514" spans="1:6">
      <c r="A1514" s="347"/>
      <c r="B1514" s="304"/>
      <c r="D1514" s="304"/>
      <c r="E1514" s="304"/>
      <c r="F1514" s="304"/>
    </row>
    <row r="1515" spans="1:6">
      <c r="A1515" s="347"/>
      <c r="B1515" s="304"/>
      <c r="D1515" s="304"/>
      <c r="E1515" s="304"/>
      <c r="F1515" s="304"/>
    </row>
    <row r="1516" spans="1:6">
      <c r="A1516" s="347"/>
      <c r="B1516" s="304"/>
      <c r="D1516" s="304"/>
      <c r="E1516" s="304"/>
      <c r="F1516" s="304"/>
    </row>
    <row r="1517" spans="1:6">
      <c r="A1517" s="347"/>
      <c r="B1517" s="304"/>
      <c r="D1517" s="304"/>
      <c r="E1517" s="304"/>
      <c r="F1517" s="304"/>
    </row>
    <row r="1518" spans="1:6">
      <c r="A1518" s="347"/>
      <c r="B1518" s="304"/>
      <c r="D1518" s="304"/>
      <c r="E1518" s="304"/>
      <c r="F1518" s="304"/>
    </row>
    <row r="1519" spans="1:6">
      <c r="A1519" s="347"/>
      <c r="B1519" s="304"/>
      <c r="D1519" s="304"/>
      <c r="E1519" s="304"/>
      <c r="F1519" s="304"/>
    </row>
    <row r="1520" spans="1:6">
      <c r="A1520" s="347"/>
      <c r="B1520" s="304"/>
      <c r="D1520" s="304"/>
      <c r="E1520" s="304"/>
      <c r="F1520" s="304"/>
    </row>
    <row r="1521" spans="1:6">
      <c r="A1521" s="347"/>
      <c r="B1521" s="304"/>
      <c r="D1521" s="304"/>
      <c r="E1521" s="304"/>
      <c r="F1521" s="304"/>
    </row>
    <row r="1522" spans="1:6">
      <c r="A1522" s="347"/>
      <c r="B1522" s="304"/>
      <c r="D1522" s="304"/>
      <c r="E1522" s="304"/>
      <c r="F1522" s="304"/>
    </row>
    <row r="1523" spans="1:6">
      <c r="A1523" s="347"/>
      <c r="B1523" s="304"/>
      <c r="D1523" s="304"/>
      <c r="E1523" s="304"/>
      <c r="F1523" s="304"/>
    </row>
    <row r="1524" spans="1:6">
      <c r="A1524" s="347"/>
      <c r="B1524" s="304"/>
      <c r="D1524" s="304"/>
      <c r="E1524" s="304"/>
      <c r="F1524" s="304"/>
    </row>
    <row r="1525" spans="1:6">
      <c r="A1525" s="347"/>
      <c r="B1525" s="304"/>
      <c r="D1525" s="304"/>
      <c r="E1525" s="304"/>
      <c r="F1525" s="304"/>
    </row>
    <row r="1526" spans="1:6">
      <c r="A1526" s="347"/>
      <c r="B1526" s="304"/>
      <c r="D1526" s="304"/>
      <c r="E1526" s="304"/>
      <c r="F1526" s="304"/>
    </row>
    <row r="1527" spans="1:6">
      <c r="A1527" s="347"/>
      <c r="B1527" s="304"/>
      <c r="D1527" s="304"/>
      <c r="E1527" s="304"/>
      <c r="F1527" s="304"/>
    </row>
    <row r="1528" spans="1:6">
      <c r="A1528" s="347"/>
      <c r="B1528" s="304"/>
      <c r="D1528" s="304"/>
      <c r="E1528" s="304"/>
      <c r="F1528" s="304"/>
    </row>
    <row r="1529" spans="1:6">
      <c r="A1529" s="347"/>
      <c r="B1529" s="304"/>
      <c r="D1529" s="304"/>
      <c r="E1529" s="304"/>
      <c r="F1529" s="304"/>
    </row>
    <row r="1530" spans="1:6">
      <c r="A1530" s="347"/>
      <c r="B1530" s="304"/>
      <c r="D1530" s="304"/>
      <c r="E1530" s="304"/>
      <c r="F1530" s="304"/>
    </row>
    <row r="1531" spans="1:6">
      <c r="A1531" s="347"/>
      <c r="B1531" s="304"/>
      <c r="D1531" s="304"/>
      <c r="E1531" s="304"/>
      <c r="F1531" s="304"/>
    </row>
    <row r="1532" spans="1:6">
      <c r="A1532" s="347"/>
      <c r="B1532" s="304"/>
      <c r="D1532" s="304"/>
      <c r="E1532" s="304"/>
      <c r="F1532" s="304"/>
    </row>
    <row r="1533" spans="1:6">
      <c r="A1533" s="347"/>
      <c r="B1533" s="304"/>
      <c r="D1533" s="304"/>
      <c r="E1533" s="304"/>
      <c r="F1533" s="304"/>
    </row>
    <row r="1534" spans="1:6">
      <c r="A1534" s="347"/>
      <c r="B1534" s="304"/>
      <c r="D1534" s="304"/>
      <c r="E1534" s="304"/>
      <c r="F1534" s="304"/>
    </row>
    <row r="1535" spans="1:6">
      <c r="A1535" s="347"/>
      <c r="B1535" s="304"/>
      <c r="D1535" s="304"/>
      <c r="E1535" s="304"/>
      <c r="F1535" s="304"/>
    </row>
    <row r="1536" spans="1:6">
      <c r="A1536" s="347"/>
      <c r="B1536" s="304"/>
      <c r="D1536" s="304"/>
      <c r="E1536" s="304"/>
      <c r="F1536" s="304"/>
    </row>
    <row r="1537" spans="1:6">
      <c r="A1537" s="347"/>
      <c r="B1537" s="304"/>
      <c r="D1537" s="304"/>
      <c r="E1537" s="304"/>
      <c r="F1537" s="304"/>
    </row>
    <row r="1538" spans="1:6">
      <c r="A1538" s="347"/>
      <c r="B1538" s="304"/>
      <c r="D1538" s="304"/>
      <c r="E1538" s="304"/>
      <c r="F1538" s="304"/>
    </row>
    <row r="1539" spans="1:6">
      <c r="A1539" s="347"/>
      <c r="B1539" s="304"/>
      <c r="D1539" s="304"/>
      <c r="E1539" s="304"/>
      <c r="F1539" s="304"/>
    </row>
    <row r="1540" spans="1:6">
      <c r="A1540" s="347"/>
      <c r="B1540" s="304"/>
      <c r="D1540" s="304"/>
      <c r="E1540" s="304"/>
      <c r="F1540" s="304"/>
    </row>
    <row r="1541" spans="1:6">
      <c r="A1541" s="347"/>
      <c r="B1541" s="304"/>
      <c r="D1541" s="304"/>
      <c r="E1541" s="304"/>
      <c r="F1541" s="304"/>
    </row>
    <row r="1542" spans="1:6">
      <c r="A1542" s="347"/>
      <c r="B1542" s="304"/>
      <c r="D1542" s="304"/>
      <c r="E1542" s="304"/>
      <c r="F1542" s="304"/>
    </row>
    <row r="1543" spans="1:6">
      <c r="A1543" s="347"/>
      <c r="B1543" s="304"/>
      <c r="D1543" s="304"/>
      <c r="E1543" s="304"/>
      <c r="F1543" s="304"/>
    </row>
    <row r="1544" spans="1:6">
      <c r="A1544" s="347"/>
      <c r="B1544" s="304"/>
      <c r="D1544" s="304"/>
      <c r="E1544" s="304"/>
      <c r="F1544" s="304"/>
    </row>
    <row r="1545" spans="1:6">
      <c r="A1545" s="347"/>
      <c r="B1545" s="304"/>
      <c r="D1545" s="304"/>
      <c r="E1545" s="304"/>
      <c r="F1545" s="304"/>
    </row>
    <row r="1546" spans="1:6">
      <c r="A1546" s="347"/>
      <c r="B1546" s="304"/>
      <c r="D1546" s="304"/>
      <c r="E1546" s="304"/>
      <c r="F1546" s="304"/>
    </row>
    <row r="1547" spans="1:6">
      <c r="A1547" s="347"/>
      <c r="B1547" s="304"/>
      <c r="D1547" s="304"/>
      <c r="E1547" s="304"/>
      <c r="F1547" s="304"/>
    </row>
    <row r="1548" spans="1:6">
      <c r="A1548" s="347"/>
      <c r="B1548" s="304"/>
      <c r="D1548" s="304"/>
      <c r="E1548" s="304"/>
      <c r="F1548" s="304"/>
    </row>
    <row r="1549" spans="1:6">
      <c r="A1549" s="347"/>
      <c r="B1549" s="304"/>
      <c r="D1549" s="304"/>
      <c r="E1549" s="304"/>
      <c r="F1549" s="304"/>
    </row>
    <row r="1550" spans="1:6">
      <c r="A1550" s="347"/>
      <c r="B1550" s="304"/>
      <c r="D1550" s="304"/>
      <c r="E1550" s="304"/>
      <c r="F1550" s="304"/>
    </row>
    <row r="1551" spans="1:6">
      <c r="A1551" s="347"/>
      <c r="B1551" s="304"/>
      <c r="D1551" s="304"/>
      <c r="E1551" s="304"/>
      <c r="F1551" s="304"/>
    </row>
    <row r="1552" spans="1:6">
      <c r="A1552" s="347"/>
      <c r="B1552" s="304"/>
      <c r="D1552" s="304"/>
      <c r="E1552" s="304"/>
      <c r="F1552" s="304"/>
    </row>
    <row r="1553" spans="1:6">
      <c r="A1553" s="347"/>
      <c r="B1553" s="304"/>
      <c r="D1553" s="304"/>
      <c r="E1553" s="304"/>
      <c r="F1553" s="304"/>
    </row>
    <row r="1554" spans="1:6">
      <c r="A1554" s="347"/>
      <c r="B1554" s="304"/>
      <c r="D1554" s="304"/>
      <c r="E1554" s="304"/>
      <c r="F1554" s="304"/>
    </row>
    <row r="1555" spans="1:6">
      <c r="A1555" s="347"/>
      <c r="B1555" s="304"/>
      <c r="D1555" s="304"/>
      <c r="E1555" s="304"/>
      <c r="F1555" s="304"/>
    </row>
    <row r="1556" spans="1:6">
      <c r="A1556" s="347"/>
      <c r="B1556" s="304"/>
      <c r="D1556" s="304"/>
      <c r="E1556" s="304"/>
      <c r="F1556" s="304"/>
    </row>
    <row r="1557" spans="1:6">
      <c r="A1557" s="347"/>
      <c r="B1557" s="304"/>
      <c r="D1557" s="304"/>
      <c r="E1557" s="304"/>
      <c r="F1557" s="304"/>
    </row>
    <row r="1558" spans="1:6">
      <c r="A1558" s="347"/>
      <c r="B1558" s="304"/>
      <c r="D1558" s="304"/>
      <c r="E1558" s="304"/>
      <c r="F1558" s="304"/>
    </row>
    <row r="1559" spans="1:6">
      <c r="A1559" s="347"/>
      <c r="B1559" s="304"/>
      <c r="D1559" s="304"/>
      <c r="E1559" s="304"/>
      <c r="F1559" s="304"/>
    </row>
    <row r="1560" spans="1:6">
      <c r="A1560" s="347"/>
      <c r="B1560" s="304"/>
      <c r="D1560" s="304"/>
      <c r="E1560" s="304"/>
      <c r="F1560" s="304"/>
    </row>
    <row r="1561" spans="1:6">
      <c r="A1561" s="347"/>
      <c r="B1561" s="304"/>
      <c r="D1561" s="304"/>
      <c r="E1561" s="304"/>
      <c r="F1561" s="304"/>
    </row>
    <row r="1562" spans="1:6">
      <c r="A1562" s="347"/>
      <c r="B1562" s="304"/>
      <c r="D1562" s="304"/>
      <c r="E1562" s="304"/>
      <c r="F1562" s="304"/>
    </row>
    <row r="1563" spans="1:6">
      <c r="A1563" s="347"/>
      <c r="B1563" s="304"/>
      <c r="D1563" s="304"/>
      <c r="E1563" s="304"/>
      <c r="F1563" s="304"/>
    </row>
    <row r="1564" spans="1:6">
      <c r="A1564" s="347"/>
      <c r="B1564" s="304"/>
      <c r="D1564" s="304"/>
      <c r="E1564" s="304"/>
      <c r="F1564" s="304"/>
    </row>
    <row r="1565" spans="1:6">
      <c r="A1565" s="347"/>
      <c r="B1565" s="304"/>
      <c r="D1565" s="304"/>
      <c r="E1565" s="304"/>
      <c r="F1565" s="304"/>
    </row>
    <row r="1566" spans="1:6">
      <c r="A1566" s="347"/>
      <c r="B1566" s="304"/>
      <c r="D1566" s="304"/>
      <c r="E1566" s="304"/>
      <c r="F1566" s="304"/>
    </row>
    <row r="1567" spans="1:6">
      <c r="A1567" s="347"/>
      <c r="B1567" s="304"/>
      <c r="D1567" s="304"/>
      <c r="E1567" s="304"/>
      <c r="F1567" s="304"/>
    </row>
    <row r="1568" spans="1:6">
      <c r="A1568" s="347"/>
      <c r="B1568" s="304"/>
      <c r="D1568" s="304"/>
      <c r="E1568" s="304"/>
      <c r="F1568" s="304"/>
    </row>
    <row r="1569" spans="1:6">
      <c r="A1569" s="347"/>
      <c r="B1569" s="304"/>
      <c r="D1569" s="304"/>
      <c r="E1569" s="304"/>
      <c r="F1569" s="304"/>
    </row>
    <row r="1570" spans="1:6">
      <c r="A1570" s="347"/>
      <c r="B1570" s="304"/>
      <c r="D1570" s="304"/>
      <c r="E1570" s="304"/>
      <c r="F1570" s="304"/>
    </row>
    <row r="1571" spans="1:6">
      <c r="A1571" s="347"/>
      <c r="B1571" s="304"/>
      <c r="D1571" s="304"/>
      <c r="E1571" s="304"/>
      <c r="F1571" s="304"/>
    </row>
    <row r="1572" spans="1:6">
      <c r="A1572" s="347"/>
      <c r="B1572" s="304"/>
      <c r="D1572" s="304"/>
      <c r="E1572" s="304"/>
      <c r="F1572" s="304"/>
    </row>
    <row r="1573" spans="1:6">
      <c r="A1573" s="347"/>
      <c r="B1573" s="304"/>
      <c r="D1573" s="304"/>
      <c r="E1573" s="304"/>
      <c r="F1573" s="304"/>
    </row>
    <row r="1574" spans="1:6">
      <c r="A1574" s="347"/>
      <c r="B1574" s="304"/>
      <c r="D1574" s="304"/>
      <c r="E1574" s="304"/>
      <c r="F1574" s="304"/>
    </row>
    <row r="1575" spans="1:6">
      <c r="A1575" s="347"/>
      <c r="B1575" s="304"/>
      <c r="D1575" s="304"/>
      <c r="E1575" s="304"/>
      <c r="F1575" s="304"/>
    </row>
    <row r="1576" spans="1:6">
      <c r="A1576" s="347"/>
      <c r="B1576" s="304"/>
      <c r="D1576" s="304"/>
      <c r="E1576" s="304"/>
      <c r="F1576" s="304"/>
    </row>
    <row r="1577" spans="1:6">
      <c r="A1577" s="347"/>
      <c r="B1577" s="304"/>
      <c r="D1577" s="304"/>
      <c r="E1577" s="304"/>
      <c r="F1577" s="304"/>
    </row>
    <row r="1578" spans="1:6">
      <c r="A1578" s="347"/>
      <c r="B1578" s="304"/>
      <c r="D1578" s="304"/>
      <c r="E1578" s="304"/>
      <c r="F1578" s="304"/>
    </row>
    <row r="1579" spans="1:6">
      <c r="A1579" s="347"/>
      <c r="B1579" s="304"/>
      <c r="D1579" s="304"/>
      <c r="E1579" s="304"/>
      <c r="F1579" s="304"/>
    </row>
    <row r="1580" spans="1:6">
      <c r="A1580" s="347"/>
      <c r="B1580" s="304"/>
      <c r="D1580" s="304"/>
      <c r="E1580" s="304"/>
      <c r="F1580" s="304"/>
    </row>
    <row r="1581" spans="1:6">
      <c r="A1581" s="347"/>
      <c r="B1581" s="304"/>
      <c r="D1581" s="304"/>
      <c r="E1581" s="304"/>
      <c r="F1581" s="304"/>
    </row>
    <row r="1582" spans="1:6">
      <c r="A1582" s="347"/>
      <c r="B1582" s="304"/>
      <c r="D1582" s="304"/>
      <c r="E1582" s="304"/>
      <c r="F1582" s="304"/>
    </row>
    <row r="1583" spans="1:6">
      <c r="A1583" s="347"/>
      <c r="B1583" s="304"/>
      <c r="D1583" s="304"/>
      <c r="E1583" s="304"/>
      <c r="F1583" s="304"/>
    </row>
    <row r="1584" spans="1:6">
      <c r="A1584" s="347"/>
      <c r="B1584" s="304"/>
      <c r="D1584" s="304"/>
      <c r="E1584" s="304"/>
      <c r="F1584" s="304"/>
    </row>
    <row r="1585" spans="1:6">
      <c r="A1585" s="347"/>
      <c r="B1585" s="304"/>
      <c r="D1585" s="304"/>
      <c r="E1585" s="304"/>
      <c r="F1585" s="304"/>
    </row>
    <row r="1586" spans="1:6">
      <c r="A1586" s="347"/>
      <c r="B1586" s="304"/>
      <c r="D1586" s="304"/>
      <c r="E1586" s="304"/>
      <c r="F1586" s="304"/>
    </row>
    <row r="1587" spans="1:6">
      <c r="A1587" s="347"/>
      <c r="B1587" s="304"/>
      <c r="D1587" s="304"/>
      <c r="E1587" s="304"/>
      <c r="F1587" s="304"/>
    </row>
    <row r="1588" spans="1:6">
      <c r="A1588" s="347"/>
      <c r="B1588" s="304"/>
      <c r="D1588" s="304"/>
      <c r="E1588" s="304"/>
      <c r="F1588" s="304"/>
    </row>
    <row r="1589" spans="1:6">
      <c r="A1589" s="347"/>
      <c r="B1589" s="304"/>
      <c r="D1589" s="304"/>
      <c r="E1589" s="304"/>
      <c r="F1589" s="304"/>
    </row>
    <row r="1590" spans="1:6">
      <c r="A1590" s="347"/>
      <c r="B1590" s="304"/>
      <c r="D1590" s="304"/>
      <c r="E1590" s="304"/>
      <c r="F1590" s="304"/>
    </row>
    <row r="1591" spans="1:6">
      <c r="A1591" s="347"/>
      <c r="B1591" s="304"/>
      <c r="D1591" s="304"/>
      <c r="E1591" s="304"/>
      <c r="F1591" s="304"/>
    </row>
    <row r="1592" spans="1:6">
      <c r="A1592" s="347"/>
      <c r="B1592" s="304"/>
      <c r="D1592" s="304"/>
      <c r="E1592" s="304"/>
      <c r="F1592" s="304"/>
    </row>
    <row r="1593" spans="1:6">
      <c r="A1593" s="347"/>
      <c r="B1593" s="304"/>
      <c r="D1593" s="304"/>
      <c r="E1593" s="304"/>
      <c r="F1593" s="304"/>
    </row>
    <row r="1594" spans="1:6">
      <c r="A1594" s="347"/>
      <c r="B1594" s="304"/>
      <c r="D1594" s="304"/>
      <c r="E1594" s="304"/>
      <c r="F1594" s="304"/>
    </row>
    <row r="1595" spans="1:6">
      <c r="A1595" s="347"/>
      <c r="B1595" s="304"/>
      <c r="D1595" s="304"/>
      <c r="E1595" s="304"/>
      <c r="F1595" s="304"/>
    </row>
    <row r="1596" spans="1:6">
      <c r="A1596" s="347"/>
      <c r="B1596" s="304"/>
      <c r="D1596" s="304"/>
      <c r="E1596" s="304"/>
      <c r="F1596" s="304"/>
    </row>
    <row r="1597" spans="1:6">
      <c r="A1597" s="347"/>
      <c r="B1597" s="304"/>
      <c r="D1597" s="304"/>
      <c r="E1597" s="304"/>
      <c r="F1597" s="304"/>
    </row>
    <row r="1598" spans="1:6">
      <c r="A1598" s="347"/>
      <c r="B1598" s="304"/>
      <c r="D1598" s="304"/>
      <c r="E1598" s="304"/>
      <c r="F1598" s="304"/>
    </row>
    <row r="1599" spans="1:6">
      <c r="A1599" s="347"/>
      <c r="B1599" s="304"/>
      <c r="D1599" s="304"/>
      <c r="E1599" s="304"/>
      <c r="F1599" s="304"/>
    </row>
    <row r="1600" spans="1:6">
      <c r="A1600" s="347"/>
      <c r="B1600" s="304"/>
      <c r="D1600" s="304"/>
      <c r="E1600" s="304"/>
      <c r="F1600" s="304"/>
    </row>
    <row r="1601" spans="1:6">
      <c r="A1601" s="347"/>
      <c r="B1601" s="304"/>
      <c r="D1601" s="304"/>
      <c r="E1601" s="304"/>
      <c r="F1601" s="304"/>
    </row>
    <row r="1602" spans="1:6">
      <c r="A1602" s="347"/>
      <c r="B1602" s="304"/>
      <c r="D1602" s="304"/>
      <c r="E1602" s="304"/>
      <c r="F1602" s="304"/>
    </row>
    <row r="1603" spans="1:6">
      <c r="A1603" s="347"/>
      <c r="B1603" s="304"/>
      <c r="D1603" s="304"/>
      <c r="E1603" s="304"/>
      <c r="F1603" s="304"/>
    </row>
    <row r="1604" spans="1:6">
      <c r="A1604" s="347"/>
      <c r="B1604" s="304"/>
      <c r="D1604" s="304"/>
      <c r="E1604" s="304"/>
      <c r="F1604" s="304"/>
    </row>
    <row r="1605" spans="1:6">
      <c r="A1605" s="347"/>
      <c r="B1605" s="304"/>
      <c r="D1605" s="304"/>
      <c r="E1605" s="304"/>
      <c r="F1605" s="304"/>
    </row>
    <row r="1606" spans="1:6">
      <c r="A1606" s="347"/>
      <c r="B1606" s="304"/>
      <c r="D1606" s="304"/>
      <c r="E1606" s="304"/>
      <c r="F1606" s="304"/>
    </row>
    <row r="1607" spans="1:6">
      <c r="A1607" s="347"/>
      <c r="B1607" s="304"/>
      <c r="D1607" s="304"/>
      <c r="E1607" s="304"/>
      <c r="F1607" s="304"/>
    </row>
    <row r="1608" spans="1:6">
      <c r="A1608" s="347"/>
      <c r="B1608" s="304"/>
      <c r="D1608" s="304"/>
      <c r="E1608" s="304"/>
      <c r="F1608" s="304"/>
    </row>
    <row r="1609" spans="1:6">
      <c r="A1609" s="347"/>
      <c r="B1609" s="304"/>
      <c r="D1609" s="304"/>
      <c r="E1609" s="304"/>
      <c r="F1609" s="304"/>
    </row>
    <row r="1610" spans="1:6">
      <c r="A1610" s="347"/>
      <c r="B1610" s="304"/>
      <c r="D1610" s="304"/>
      <c r="E1610" s="304"/>
      <c r="F1610" s="304"/>
    </row>
    <row r="1611" spans="1:6">
      <c r="A1611" s="347"/>
      <c r="B1611" s="304"/>
      <c r="D1611" s="304"/>
      <c r="E1611" s="304"/>
      <c r="F1611" s="304"/>
    </row>
    <row r="1612" spans="1:6">
      <c r="A1612" s="347"/>
      <c r="B1612" s="304"/>
      <c r="D1612" s="304"/>
      <c r="E1612" s="304"/>
      <c r="F1612" s="304"/>
    </row>
    <row r="1613" spans="1:6">
      <c r="A1613" s="347"/>
      <c r="B1613" s="304"/>
      <c r="D1613" s="304"/>
      <c r="E1613" s="304"/>
      <c r="F1613" s="304"/>
    </row>
    <row r="1614" spans="1:6">
      <c r="A1614" s="347"/>
      <c r="B1614" s="304"/>
      <c r="D1614" s="304"/>
      <c r="E1614" s="304"/>
      <c r="F1614" s="304"/>
    </row>
    <row r="1615" spans="1:6">
      <c r="A1615" s="347"/>
      <c r="B1615" s="304"/>
      <c r="D1615" s="304"/>
      <c r="E1615" s="304"/>
      <c r="F1615" s="304"/>
    </row>
    <row r="1616" spans="1:6">
      <c r="A1616" s="347"/>
      <c r="B1616" s="304"/>
      <c r="D1616" s="304"/>
      <c r="E1616" s="304"/>
      <c r="F1616" s="304"/>
    </row>
    <row r="1617" spans="1:6">
      <c r="A1617" s="347"/>
      <c r="B1617" s="304"/>
      <c r="D1617" s="304"/>
      <c r="E1617" s="304"/>
      <c r="F1617" s="304"/>
    </row>
    <row r="1618" spans="1:6">
      <c r="A1618" s="347"/>
      <c r="B1618" s="304"/>
      <c r="D1618" s="304"/>
      <c r="E1618" s="304"/>
      <c r="F1618" s="304"/>
    </row>
    <row r="1619" spans="1:6">
      <c r="A1619" s="347"/>
      <c r="B1619" s="304"/>
      <c r="D1619" s="304"/>
      <c r="E1619" s="304"/>
      <c r="F1619" s="304"/>
    </row>
    <row r="1620" spans="1:6">
      <c r="A1620" s="347"/>
      <c r="B1620" s="304"/>
      <c r="D1620" s="304"/>
      <c r="E1620" s="304"/>
      <c r="F1620" s="304"/>
    </row>
    <row r="1621" spans="1:6">
      <c r="A1621" s="347"/>
      <c r="B1621" s="304"/>
      <c r="D1621" s="304"/>
      <c r="E1621" s="304"/>
      <c r="F1621" s="304"/>
    </row>
    <row r="1622" spans="1:6">
      <c r="A1622" s="347"/>
      <c r="B1622" s="304"/>
      <c r="D1622" s="304"/>
      <c r="E1622" s="304"/>
      <c r="F1622" s="304"/>
    </row>
    <row r="1623" spans="1:6">
      <c r="A1623" s="347"/>
      <c r="B1623" s="304"/>
      <c r="D1623" s="304"/>
      <c r="E1623" s="304"/>
      <c r="F1623" s="304"/>
    </row>
    <row r="1624" spans="1:6">
      <c r="A1624" s="347"/>
      <c r="B1624" s="304"/>
      <c r="D1624" s="304"/>
      <c r="E1624" s="304"/>
      <c r="F1624" s="304"/>
    </row>
    <row r="1625" spans="1:6">
      <c r="A1625" s="347"/>
      <c r="B1625" s="304"/>
      <c r="D1625" s="304"/>
      <c r="E1625" s="304"/>
      <c r="F1625" s="304"/>
    </row>
    <row r="1626" spans="1:6">
      <c r="A1626" s="347"/>
      <c r="B1626" s="304"/>
      <c r="D1626" s="304"/>
      <c r="E1626" s="304"/>
      <c r="F1626" s="304"/>
    </row>
    <row r="1627" spans="1:6">
      <c r="A1627" s="347"/>
      <c r="B1627" s="304"/>
      <c r="D1627" s="304"/>
      <c r="E1627" s="304"/>
      <c r="F1627" s="304"/>
    </row>
    <row r="1628" spans="1:6">
      <c r="A1628" s="347"/>
      <c r="B1628" s="304"/>
      <c r="D1628" s="304"/>
      <c r="E1628" s="304"/>
      <c r="F1628" s="304"/>
    </row>
    <row r="1629" spans="1:6">
      <c r="A1629" s="347"/>
      <c r="B1629" s="304"/>
      <c r="D1629" s="304"/>
      <c r="E1629" s="304"/>
      <c r="F1629" s="304"/>
    </row>
    <row r="1630" spans="1:6">
      <c r="B1630" s="304"/>
      <c r="D1630" s="304"/>
      <c r="E1630" s="304"/>
      <c r="F1630" s="304"/>
    </row>
    <row r="1747" spans="1:1">
      <c r="A1747" s="347"/>
    </row>
  </sheetData>
  <sheetProtection algorithmName="SHA-512" hashValue="DhS6gFeTmGyUn70StA/HdWt+BRT2YPaCvDM3hyzBmfsPayi6JcUYQHvbxaoSLU0ovCD7rW5wGHm3SOGTsFrHWg==" saltValue="4VS7gUx5lMBlgpaCAcJ1eQ==" spinCount="100000" sheet="1" objects="1" scenarios="1"/>
  <dataConsolidate>
    <dataRefs count="1">
      <dataRef ref="G5" sheet="Customer Master"/>
    </dataRefs>
  </dataConsolidate>
  <phoneticPr fontId="0" type="noConversion"/>
  <pageMargins left="0.15" right="0.15" top="0.75" bottom="0.25" header="0.25" footer="0.25"/>
  <pageSetup orientation="landscape" horizontalDpi="4294967292" verticalDpi="300" r:id="rId1"/>
  <headerFooter alignWithMargins="0">
    <oddHeader>&amp;C&amp;"Arial,Bold"&amp;A</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31745" r:id="rId4" name="Button 1">
              <controlPr defaultSize="0" print="0" autoFill="0" autoPict="0" macro="[0]!ToQuoteEntryFromCustomerMaster">
                <anchor moveWithCells="1">
                  <from>
                    <xdr:col>2</xdr:col>
                    <xdr:colOff>485775</xdr:colOff>
                    <xdr:row>0</xdr:row>
                    <xdr:rowOff>0</xdr:rowOff>
                  </from>
                  <to>
                    <xdr:col>2</xdr:col>
                    <xdr:colOff>942975</xdr:colOff>
                    <xdr:row>0</xdr:row>
                    <xdr:rowOff>228600</xdr:rowOff>
                  </to>
                </anchor>
              </controlPr>
            </control>
          </mc:Choice>
        </mc:AlternateContent>
        <mc:AlternateContent xmlns:mc="http://schemas.openxmlformats.org/markup-compatibility/2006">
          <mc:Choice Requires="x14">
            <control shapeId="31746" r:id="rId5" name="Button 2">
              <controlPr defaultSize="0" print="0" autoFill="0" autoPict="0" macro="[0]!AddCustomerMaster">
                <anchor moveWithCells="1">
                  <from>
                    <xdr:col>1</xdr:col>
                    <xdr:colOff>638175</xdr:colOff>
                    <xdr:row>0</xdr:row>
                    <xdr:rowOff>0</xdr:rowOff>
                  </from>
                  <to>
                    <xdr:col>1</xdr:col>
                    <xdr:colOff>1095375</xdr:colOff>
                    <xdr:row>0</xdr:row>
                    <xdr:rowOff>228600</xdr:rowOff>
                  </to>
                </anchor>
              </controlPr>
            </control>
          </mc:Choice>
        </mc:AlternateContent>
        <mc:AlternateContent xmlns:mc="http://schemas.openxmlformats.org/markup-compatibility/2006">
          <mc:Choice Requires="x14">
            <control shapeId="31747" r:id="rId6" name="Button 3">
              <controlPr defaultSize="0" print="0" autoFill="0" autoPict="0" macro="[0]!ChangeCustomerMaster">
                <anchor moveWithCells="1">
                  <from>
                    <xdr:col>1</xdr:col>
                    <xdr:colOff>1085850</xdr:colOff>
                    <xdr:row>0</xdr:row>
                    <xdr:rowOff>0</xdr:rowOff>
                  </from>
                  <to>
                    <xdr:col>1</xdr:col>
                    <xdr:colOff>1543050</xdr:colOff>
                    <xdr:row>0</xdr:row>
                    <xdr:rowOff>228600</xdr:rowOff>
                  </to>
                </anchor>
              </controlPr>
            </control>
          </mc:Choice>
        </mc:AlternateContent>
        <mc:AlternateContent xmlns:mc="http://schemas.openxmlformats.org/markup-compatibility/2006">
          <mc:Choice Requires="x14">
            <control shapeId="31748" r:id="rId7" name="Button 4">
              <controlPr defaultSize="0" print="0" autoFill="0" autoPict="0" macro="[0]!DeleteCustomerMaster">
                <anchor moveWithCells="1">
                  <from>
                    <xdr:col>2</xdr:col>
                    <xdr:colOff>933450</xdr:colOff>
                    <xdr:row>0</xdr:row>
                    <xdr:rowOff>0</xdr:rowOff>
                  </from>
                  <to>
                    <xdr:col>2</xdr:col>
                    <xdr:colOff>1390650</xdr:colOff>
                    <xdr:row>0</xdr:row>
                    <xdr:rowOff>228600</xdr:rowOff>
                  </to>
                </anchor>
              </controlPr>
            </control>
          </mc:Choice>
        </mc:AlternateContent>
        <mc:AlternateContent xmlns:mc="http://schemas.openxmlformats.org/markup-compatibility/2006">
          <mc:Choice Requires="x14">
            <control shapeId="31769" r:id="rId8" name="Button 25">
              <controlPr defaultSize="0" print="0" autoFill="0" autoPict="0" macro="[0]!SortFilterCustomerMaster">
                <anchor moveWithCells="1">
                  <from>
                    <xdr:col>1</xdr:col>
                    <xdr:colOff>1543050</xdr:colOff>
                    <xdr:row>0</xdr:row>
                    <xdr:rowOff>0</xdr:rowOff>
                  </from>
                  <to>
                    <xdr:col>2</xdr:col>
                    <xdr:colOff>47625</xdr:colOff>
                    <xdr:row>0</xdr:row>
                    <xdr:rowOff>228600</xdr:rowOff>
                  </to>
                </anchor>
              </controlPr>
            </control>
          </mc:Choice>
        </mc:AlternateContent>
        <mc:AlternateContent xmlns:mc="http://schemas.openxmlformats.org/markup-compatibility/2006">
          <mc:Choice Requires="x14">
            <control shapeId="31780" r:id="rId9" name="Button 36">
              <controlPr defaultSize="0" print="0" autoFill="0" autoPict="0" macro="[0]!UnSortFilterCustomerMaster">
                <anchor moveWithCells="1">
                  <from>
                    <xdr:col>2</xdr:col>
                    <xdr:colOff>47625</xdr:colOff>
                    <xdr:row>0</xdr:row>
                    <xdr:rowOff>0</xdr:rowOff>
                  </from>
                  <to>
                    <xdr:col>2</xdr:col>
                    <xdr:colOff>504825</xdr:colOff>
                    <xdr:row>0</xdr:row>
                    <xdr:rowOff>228600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H195"/>
  <sheetViews>
    <sheetView showGridLines="0" showZeros="0" zoomScale="75" workbookViewId="0">
      <pane ySplit="435" topLeftCell="A46" activePane="bottomLeft"/>
      <selection pane="bottomLeft" activeCell="C67" sqref="C67"/>
    </sheetView>
  </sheetViews>
  <sheetFormatPr defaultRowHeight="12.75"/>
  <cols>
    <col min="1" max="1" width="16.28515625" style="31" customWidth="1"/>
    <col min="2" max="2" width="4.7109375" style="8" bestFit="1" customWidth="1"/>
    <col min="3" max="3" width="16.140625" style="328" customWidth="1"/>
    <col min="4" max="5" width="12.7109375" style="1" customWidth="1"/>
    <col min="6" max="6" width="13.5703125" style="1" customWidth="1"/>
    <col min="7" max="7" width="13.85546875" style="1" customWidth="1"/>
    <col min="8" max="8" width="10.7109375" style="1" customWidth="1"/>
    <col min="9" max="9" width="11.42578125" style="1" bestFit="1" customWidth="1"/>
    <col min="10" max="16384" width="9.140625" style="1"/>
  </cols>
  <sheetData>
    <row r="1" spans="1:3" ht="34.9" customHeight="1"/>
    <row r="2" spans="1:3">
      <c r="A2" s="31" t="s">
        <v>4809</v>
      </c>
      <c r="B2" s="14" t="s">
        <v>6362</v>
      </c>
      <c r="C2" s="800" t="s">
        <v>5768</v>
      </c>
    </row>
    <row r="4" spans="1:3">
      <c r="A4" s="31" t="s">
        <v>1887</v>
      </c>
      <c r="C4" s="328" t="s">
        <v>1888</v>
      </c>
    </row>
    <row r="5" spans="1:3">
      <c r="A5" s="31" t="s">
        <v>1887</v>
      </c>
      <c r="C5" s="328" t="s">
        <v>1889</v>
      </c>
    </row>
    <row r="6" spans="1:3">
      <c r="A6" s="31" t="s">
        <v>1887</v>
      </c>
      <c r="C6" s="328" t="s">
        <v>2600</v>
      </c>
    </row>
    <row r="7" spans="1:3">
      <c r="A7" s="31" t="s">
        <v>1887</v>
      </c>
      <c r="C7" s="328" t="s">
        <v>5904</v>
      </c>
    </row>
    <row r="8" spans="1:3">
      <c r="A8" s="31" t="s">
        <v>1887</v>
      </c>
      <c r="C8" s="328" t="s">
        <v>4759</v>
      </c>
    </row>
    <row r="9" spans="1:3">
      <c r="A9" s="31" t="s">
        <v>1887</v>
      </c>
      <c r="C9" s="328" t="s">
        <v>4760</v>
      </c>
    </row>
    <row r="10" spans="1:3">
      <c r="A10" s="31" t="s">
        <v>1887</v>
      </c>
      <c r="C10" s="328" t="s">
        <v>2806</v>
      </c>
    </row>
    <row r="11" spans="1:3">
      <c r="A11" s="31" t="s">
        <v>1887</v>
      </c>
      <c r="C11" s="328" t="s">
        <v>2652</v>
      </c>
    </row>
    <row r="13" spans="1:3">
      <c r="A13" s="31" t="s">
        <v>4321</v>
      </c>
      <c r="C13" s="328" t="s">
        <v>4286</v>
      </c>
    </row>
    <row r="14" spans="1:3">
      <c r="A14" s="31" t="s">
        <v>4321</v>
      </c>
      <c r="C14" s="328" t="s">
        <v>5424</v>
      </c>
    </row>
    <row r="15" spans="1:3">
      <c r="C15" s="328" t="s">
        <v>206</v>
      </c>
    </row>
    <row r="16" spans="1:3">
      <c r="A16" s="31" t="s">
        <v>4321</v>
      </c>
      <c r="C16" s="328" t="s">
        <v>3263</v>
      </c>
    </row>
    <row r="17" spans="1:3">
      <c r="A17" s="31" t="s">
        <v>4321</v>
      </c>
      <c r="C17" s="328" t="s">
        <v>6332</v>
      </c>
    </row>
    <row r="18" spans="1:3">
      <c r="A18" s="31" t="s">
        <v>4321</v>
      </c>
      <c r="C18" s="328" t="s">
        <v>980</v>
      </c>
    </row>
    <row r="19" spans="1:3">
      <c r="A19" s="31" t="s">
        <v>4321</v>
      </c>
      <c r="C19" s="328" t="s">
        <v>899</v>
      </c>
    </row>
    <row r="20" spans="1:3">
      <c r="A20" s="31" t="s">
        <v>4321</v>
      </c>
      <c r="C20" s="328" t="s">
        <v>4839</v>
      </c>
    </row>
    <row r="21" spans="1:3">
      <c r="A21" s="31" t="s">
        <v>4321</v>
      </c>
      <c r="C21" s="328" t="s">
        <v>3591</v>
      </c>
    </row>
    <row r="22" spans="1:3">
      <c r="C22" s="328" t="s">
        <v>6036</v>
      </c>
    </row>
    <row r="24" spans="1:3">
      <c r="A24" s="31" t="s">
        <v>1645</v>
      </c>
      <c r="C24" s="328" t="s">
        <v>5131</v>
      </c>
    </row>
    <row r="25" spans="1:3">
      <c r="A25" s="31" t="s">
        <v>1645</v>
      </c>
      <c r="C25" s="328" t="s">
        <v>4170</v>
      </c>
    </row>
    <row r="26" spans="1:3">
      <c r="A26" s="31" t="s">
        <v>1645</v>
      </c>
      <c r="C26" s="328" t="s">
        <v>2365</v>
      </c>
    </row>
    <row r="27" spans="1:3">
      <c r="A27" s="31" t="s">
        <v>1645</v>
      </c>
      <c r="C27" s="328" t="s">
        <v>6082</v>
      </c>
    </row>
    <row r="29" spans="1:3">
      <c r="A29" s="31" t="s">
        <v>5297</v>
      </c>
      <c r="C29" s="328" t="s">
        <v>4789</v>
      </c>
    </row>
    <row r="30" spans="1:3">
      <c r="A30" s="31" t="s">
        <v>5297</v>
      </c>
      <c r="C30" s="328" t="s">
        <v>2366</v>
      </c>
    </row>
    <row r="31" spans="1:3">
      <c r="A31" s="31" t="s">
        <v>5297</v>
      </c>
      <c r="C31" s="328" t="s">
        <v>4492</v>
      </c>
    </row>
    <row r="32" spans="1:3">
      <c r="A32" s="31" t="s">
        <v>5297</v>
      </c>
      <c r="C32" s="328" t="s">
        <v>5371</v>
      </c>
    </row>
    <row r="33" spans="1:3">
      <c r="A33" s="31" t="s">
        <v>5297</v>
      </c>
      <c r="C33" s="328" t="s">
        <v>3357</v>
      </c>
    </row>
    <row r="34" spans="1:3">
      <c r="A34" s="31" t="s">
        <v>5297</v>
      </c>
      <c r="C34" s="328" t="s">
        <v>3696</v>
      </c>
    </row>
    <row r="36" spans="1:3">
      <c r="A36" s="31" t="s">
        <v>3697</v>
      </c>
      <c r="C36" s="328" t="s">
        <v>1338</v>
      </c>
    </row>
    <row r="37" spans="1:3">
      <c r="A37" s="31" t="s">
        <v>3697</v>
      </c>
      <c r="C37" s="328" t="s">
        <v>5531</v>
      </c>
    </row>
    <row r="38" spans="1:3">
      <c r="A38" s="31" t="s">
        <v>3697</v>
      </c>
      <c r="C38" s="328" t="s">
        <v>4594</v>
      </c>
    </row>
    <row r="39" spans="1:3">
      <c r="A39" s="31" t="s">
        <v>3697</v>
      </c>
      <c r="C39" s="328" t="s">
        <v>1909</v>
      </c>
    </row>
    <row r="40" spans="1:3">
      <c r="A40" s="31" t="s">
        <v>3697</v>
      </c>
      <c r="C40" s="328" t="s">
        <v>445</v>
      </c>
    </row>
    <row r="42" spans="1:3">
      <c r="A42" s="31" t="s">
        <v>5244</v>
      </c>
      <c r="C42" s="328" t="s">
        <v>2276</v>
      </c>
    </row>
    <row r="43" spans="1:3">
      <c r="A43" s="31" t="s">
        <v>5244</v>
      </c>
      <c r="C43" s="328" t="s">
        <v>561</v>
      </c>
    </row>
    <row r="44" spans="1:3">
      <c r="A44" s="31" t="s">
        <v>5244</v>
      </c>
      <c r="C44" s="328" t="s">
        <v>5233</v>
      </c>
    </row>
    <row r="45" spans="1:3">
      <c r="A45" s="31" t="s">
        <v>5244</v>
      </c>
      <c r="C45" s="328" t="s">
        <v>3335</v>
      </c>
    </row>
    <row r="48" spans="1:3">
      <c r="A48" s="194" t="s">
        <v>3336</v>
      </c>
      <c r="C48" s="328" t="s">
        <v>4287</v>
      </c>
    </row>
    <row r="49" spans="1:3">
      <c r="A49" s="194"/>
      <c r="C49" s="328" t="s">
        <v>3476</v>
      </c>
    </row>
    <row r="50" spans="1:3">
      <c r="C50" s="328" t="s">
        <v>164</v>
      </c>
    </row>
    <row r="51" spans="1:3">
      <c r="C51" s="328" t="s">
        <v>1945</v>
      </c>
    </row>
    <row r="52" spans="1:3">
      <c r="C52" s="328" t="str">
        <f>CONCATENATE("Pricing is based on an estimated part weight of ",ROUND(QEPartWeight1,2)," pounds per thousand pieces.")</f>
        <v>Pricing is based on an estimated part weight of 1 pounds per thousand pieces.</v>
      </c>
    </row>
    <row r="53" spans="1:3">
      <c r="C53" s="328" t="str">
        <f>CONCATENATE("Pricing is based on a customer supplied part weight of (",CSGrams, " Grams Each) ",ROUND(QEPartWeight1,2)," pounds per thousand pieces.")</f>
        <v>Pricing is based on a customer supplied part weight of ( Grams Each) 1 pounds per thousand pieces.</v>
      </c>
    </row>
    <row r="54" spans="1:3">
      <c r="C54" s="328" t="str">
        <f>CONCATENATE("Pricing is based on using ", FIXED(QERegrind1,2) * 100," % maximum regrind.")</f>
        <v>Pricing is based on using 25 % maximum regrind.</v>
      </c>
    </row>
    <row r="55" spans="1:3">
      <c r="C55" s="328" t="str">
        <f>CONCATENATE("No fixtures/gages have been quoted, they will be quoted after ", (QECustName), " and Thermotech Quality Engineer's have ")</f>
        <v xml:space="preserve">No fixtures/gages have been quoted, they will be quoted after Hitachi Automotive Products and Thermotech Quality Engineer's have </v>
      </c>
    </row>
    <row r="56" spans="1:3">
      <c r="C56" s="328" t="s">
        <v>2692</v>
      </c>
    </row>
    <row r="57" spans="1:3">
      <c r="C57" s="328" t="str">
        <f>CONCATENATE("Scenario one tooling lead times shown are for initial shots.  Please add ", (CSLTOne), " weeks for project development and qualification.")</f>
        <v>Scenario one tooling lead times shown are for initial shots.  Please add 0 weeks for project development and qualification.</v>
      </c>
    </row>
    <row r="58" spans="1:3">
      <c r="C58" s="328" t="str">
        <f>CONCATENATE("Scenario two tooling lead times shown are for initial shots.  Please add ", (CSLTTwo), " weeks for project development and qualification.")</f>
        <v>Scenario two tooling lead times shown are for initial shots.  Please add 0 weeks for project development and qualification.</v>
      </c>
    </row>
    <row r="59" spans="1:3">
      <c r="C59" s="328" t="str">
        <f>CONCATENATE("Tooling lead times shown are for initial shots.  Please add ", (CSLTOne), " weeks for project development and qualification.")</f>
        <v>Tooling lead times shown are for initial shots.  Please add 0 weeks for project development and qualification.</v>
      </c>
    </row>
    <row r="60" spans="1:3">
      <c r="C60" s="328" t="str">
        <f>CONCATENATE("Please add ", (CSEPLLTNote1), " weeks for PPAP at our manufacturing facility in El Paso.")</f>
        <v>Please add 0 weeks for PPAP at our manufacturing facility in El Paso.</v>
      </c>
    </row>
    <row r="61" spans="1:3">
      <c r="C61" s="328" t="str">
        <f>CONCATENATE("Please add ", (CSQroLTNote1), " weeks for PPAP at our manufacturing facility in Mexico.")</f>
        <v>Please add 0 weeks for PPAP at our manufacturing facility in Mexico.</v>
      </c>
    </row>
    <row r="62" spans="1:3">
      <c r="C62" s="328" t="str">
        <f>CONCATENATE("Pricing based on ", (QECustName), " providing a tooling usable CAD database.")</f>
        <v>Pricing based on Hitachi Automotive Products providing a tooling usable CAD database.</v>
      </c>
    </row>
    <row r="63" spans="1:3">
      <c r="C63" s="329" t="str">
        <f>CONCATENATE("Annual tooling capacity for a ", CavityScr1," cavity mold is approximately ", ROUNDDOWN(FSAvePcs1,0)*85 * 50," pieces.")</f>
        <v>Annual tooling capacity for a 8 cavity mold is approximately 9996000 pieces.</v>
      </c>
    </row>
    <row r="64" spans="1:3">
      <c r="C64" s="329" t="str">
        <f>CONCATENATE("Annual tooling capacity for a ", CavityScr2," cavity mold is approximately ", ROUNDDOWN(FSAvePcs2,0)*85 * 50," pieces.")</f>
        <v>Annual tooling capacity for a  cavity mold is approximately 0 pieces.</v>
      </c>
    </row>
    <row r="65" spans="1:3">
      <c r="C65" s="329" t="str">
        <f>CONCATENATE("Weekly production for ", CavityScr1," cavity mold is approximately ", ROUNDDOWN(FSAvePcs1,0)*85," pieces.")</f>
        <v>Weekly production for 8 cavity mold is approximately 199920 pieces.</v>
      </c>
    </row>
    <row r="66" spans="1:3">
      <c r="C66" s="329" t="str">
        <f>CONCATENATE("Weekly production for ", CavityScr2," cavity mold is approximately ", ROUNDDOWN(FSAvePcs2,0)*85," pieces.")</f>
        <v>Weekly production for  cavity mold is approximately 0 pieces.</v>
      </c>
    </row>
    <row r="67" spans="1:3">
      <c r="C67" s="328" t="s">
        <v>2276</v>
      </c>
    </row>
    <row r="68" spans="1:3">
      <c r="C68" s="328" t="s">
        <v>561</v>
      </c>
    </row>
    <row r="71" spans="1:3">
      <c r="A71" s="194" t="s">
        <v>3355</v>
      </c>
      <c r="C71" s="328" t="s">
        <v>4287</v>
      </c>
    </row>
    <row r="72" spans="1:3">
      <c r="A72" s="194"/>
      <c r="C72" s="328" t="s">
        <v>3476</v>
      </c>
    </row>
    <row r="73" spans="1:3">
      <c r="C73" s="328" t="s">
        <v>164</v>
      </c>
    </row>
    <row r="74" spans="1:3">
      <c r="C74" s="328" t="s">
        <v>1945</v>
      </c>
    </row>
    <row r="75" spans="1:3">
      <c r="C75" s="328" t="str">
        <f>CONCATENATE("Pricing is based on an estimated part weight of ",ROUND(QEPartWeight1,2)," pounds per thousand pieces.")</f>
        <v>Pricing is based on an estimated part weight of 1 pounds per thousand pieces.</v>
      </c>
    </row>
    <row r="76" spans="1:3">
      <c r="C76" s="328" t="str">
        <f>CONCATENATE("Pricing is based on a customer supplied part weight of (",CSGrams, " Grams Each) ",ROUND(QEPartWeight1,2)," pounds per thousand pieces.")</f>
        <v>Pricing is based on a customer supplied part weight of ( Grams Each) 1 pounds per thousand pieces.</v>
      </c>
    </row>
    <row r="77" spans="1:3">
      <c r="C77" s="328" t="str">
        <f>CONCATENATE("Pricing is based on using ", FIXED(QERegrind1,2) * 100," % maximum regrind.")</f>
        <v>Pricing is based on using 25 % maximum regrind.</v>
      </c>
    </row>
    <row r="78" spans="1:3">
      <c r="C78" s="328" t="str">
        <f>CONCATENATE("No fixtures/gages have been quoted, they will be quoted after ", (QECustName), " and Thermotech Quality Engineer's have ")</f>
        <v xml:space="preserve">No fixtures/gages have been quoted, they will be quoted after Hitachi Automotive Products and Thermotech Quality Engineer's have </v>
      </c>
    </row>
    <row r="79" spans="1:3">
      <c r="C79" s="328" t="s">
        <v>2692</v>
      </c>
    </row>
    <row r="80" spans="1:3">
      <c r="C80" s="328" t="str">
        <f>CONCATENATE("Scenario one tooling lead times shown are for initial shots.  Please add ", (CSLTOne), " weeks for project development and qualification.")</f>
        <v>Scenario one tooling lead times shown are for initial shots.  Please add 0 weeks for project development and qualification.</v>
      </c>
    </row>
    <row r="81" spans="1:3">
      <c r="C81" s="328" t="str">
        <f>CONCATENATE("Scenario two tooling lead times shown are for initial shots.  Please add ", (CSLTTwo), " weeks for project development and qualification.")</f>
        <v>Scenario two tooling lead times shown are for initial shots.  Please add 0 weeks for project development and qualification.</v>
      </c>
    </row>
    <row r="82" spans="1:3">
      <c r="C82" s="328" t="str">
        <f>CONCATENATE("Please add ", (CSEPLLTNote1), " weeks for PPAP at our manufacturing facility in El Paso.")</f>
        <v>Please add 0 weeks for PPAP at our manufacturing facility in El Paso.</v>
      </c>
    </row>
    <row r="83" spans="1:3">
      <c r="C83" s="328" t="str">
        <f>CONCATENATE("Please add ", (CSQroLTNote1), " weeks for PPAP at our manufacturing facility in Mexico.")</f>
        <v>Please add 0 weeks for PPAP at our manufacturing facility in Mexico.</v>
      </c>
    </row>
    <row r="84" spans="1:3">
      <c r="C84" s="328" t="str">
        <f>CONCATENATE("Pricing based on ", (QECustName), " providing a tooling usable CAD database.")</f>
        <v>Pricing based on Hitachi Automotive Products providing a tooling usable CAD database.</v>
      </c>
    </row>
    <row r="85" spans="1:3">
      <c r="C85" s="328" t="s">
        <v>6082</v>
      </c>
    </row>
    <row r="86" spans="1:3">
      <c r="C86" s="329" t="str">
        <f>CONCATENATE("Annual tooling capacity for a ", CavityScr1," cavity mold is approximately ", ROUNDDOWN(FSAvePcs1,0)*85 * 50," pieces.")</f>
        <v>Annual tooling capacity for a 8 cavity mold is approximately 9996000 pieces.</v>
      </c>
    </row>
    <row r="87" spans="1:3">
      <c r="C87" s="329" t="str">
        <f>CONCATENATE("Annual tooling capacity for a ", CavityScr2," cavity mold is approximately ", ROUNDDOWN(FSAvePcs2,0)*85 * 50," pieces.")</f>
        <v>Annual tooling capacity for a  cavity mold is approximately 0 pieces.</v>
      </c>
    </row>
    <row r="88" spans="1:3">
      <c r="C88" s="329" t="str">
        <f>CONCATENATE("Weekly production for ", CavityScr1," cavity mold is approximately ", ROUNDDOWN(FSAvePcs1,0)*85," pieces.")</f>
        <v>Weekly production for 8 cavity mold is approximately 199920 pieces.</v>
      </c>
    </row>
    <row r="89" spans="1:3">
      <c r="C89" s="329" t="str">
        <f>CONCATENATE("Weekly production for ", CavityScr2," cavity mold is approximately ", ROUNDDOWN(FSAvePcs2,0)*85," pieces.")</f>
        <v>Weekly production for  cavity mold is approximately 0 pieces.</v>
      </c>
    </row>
    <row r="90" spans="1:3">
      <c r="C90" s="328" t="s">
        <v>1335</v>
      </c>
    </row>
    <row r="91" spans="1:3">
      <c r="C91" s="328" t="s">
        <v>1702</v>
      </c>
    </row>
    <row r="92" spans="1:3">
      <c r="C92" s="328" t="s">
        <v>1334</v>
      </c>
    </row>
    <row r="93" spans="1:3">
      <c r="C93" s="328" t="s">
        <v>2276</v>
      </c>
    </row>
    <row r="94" spans="1:3">
      <c r="C94" s="328" t="s">
        <v>561</v>
      </c>
    </row>
    <row r="96" spans="1:3">
      <c r="A96" s="194" t="s">
        <v>5663</v>
      </c>
      <c r="C96" s="328" t="s">
        <v>4287</v>
      </c>
    </row>
    <row r="97" spans="1:3">
      <c r="A97" s="194"/>
      <c r="C97" s="328" t="s">
        <v>3476</v>
      </c>
    </row>
    <row r="98" spans="1:3">
      <c r="A98" s="194"/>
      <c r="C98" s="328" t="s">
        <v>164</v>
      </c>
    </row>
    <row r="99" spans="1:3">
      <c r="C99" s="328" t="s">
        <v>1945</v>
      </c>
    </row>
    <row r="100" spans="1:3">
      <c r="C100" s="328" t="str">
        <f>CONCATENATE("Pricing is based on a customer supplied part weight of (",CSGrams, " Grams Each) ",ROUND(QEPartWeight1,2)," pounds per thousand pieces.")</f>
        <v>Pricing is based on a customer supplied part weight of ( Grams Each) 1 pounds per thousand pieces.</v>
      </c>
    </row>
    <row r="101" spans="1:3">
      <c r="C101" s="328" t="s">
        <v>3263</v>
      </c>
    </row>
    <row r="102" spans="1:3">
      <c r="C102" s="328" t="str">
        <f>CONCATENATE("Pricing is based on using ", FIXED(QERegrind1,2) * 100," % maximum regrind.")</f>
        <v>Pricing is based on using 25 % maximum regrind.</v>
      </c>
    </row>
    <row r="103" spans="1:3">
      <c r="C103" s="328" t="s">
        <v>1032</v>
      </c>
    </row>
    <row r="104" spans="1:3">
      <c r="C104" s="328" t="s">
        <v>4754</v>
      </c>
    </row>
    <row r="105" spans="1:3">
      <c r="C105" s="328" t="str">
        <f>CONCATENATE("Runner weight quoted at ",ROUND(QERunnerWeight1,2)," pounds per thousand shots.")</f>
        <v>Runner weight quoted at 17.45 pounds per thousand shots.</v>
      </c>
    </row>
    <row r="106" spans="1:3">
      <c r="C106" s="328" t="s">
        <v>899</v>
      </c>
    </row>
    <row r="107" spans="1:3">
      <c r="C107" s="328" t="s">
        <v>3280</v>
      </c>
    </row>
    <row r="108" spans="1:3">
      <c r="C108" s="328" t="s">
        <v>2276</v>
      </c>
    </row>
    <row r="109" spans="1:3">
      <c r="C109" s="328" t="s">
        <v>561</v>
      </c>
    </row>
    <row r="111" spans="1:3" ht="25.5">
      <c r="A111" s="194" t="s">
        <v>5807</v>
      </c>
      <c r="C111" s="328" t="s">
        <v>2157</v>
      </c>
    </row>
    <row r="112" spans="1:3">
      <c r="C112" s="328" t="s">
        <v>2714</v>
      </c>
    </row>
    <row r="113" spans="1:7">
      <c r="C113" s="328" t="s">
        <v>4459</v>
      </c>
    </row>
    <row r="114" spans="1:7">
      <c r="C114" s="328" t="s">
        <v>4520</v>
      </c>
    </row>
    <row r="115" spans="1:7">
      <c r="C115" s="328" t="s">
        <v>5693</v>
      </c>
    </row>
    <row r="116" spans="1:7">
      <c r="C116" s="328" t="s">
        <v>2149</v>
      </c>
    </row>
    <row r="117" spans="1:7">
      <c r="C117" s="328" t="s">
        <v>5130</v>
      </c>
    </row>
    <row r="118" spans="1:7">
      <c r="C118" s="328" t="s">
        <v>2157</v>
      </c>
    </row>
    <row r="119" spans="1:7">
      <c r="A119" s="31" t="s">
        <v>797</v>
      </c>
      <c r="C119" s="328" t="s">
        <v>2799</v>
      </c>
    </row>
    <row r="120" spans="1:7">
      <c r="A120" s="31" t="s">
        <v>6229</v>
      </c>
      <c r="C120" s="330" t="str">
        <f>CONCATENATE("GFL is using the following number of shots in the formula:  ", GFLFactor1,".")</f>
        <v>GFL is using the following number of shots in the formula:  500000.</v>
      </c>
      <c r="G120" s="253"/>
    </row>
    <row r="122" spans="1:7">
      <c r="A122" s="31" t="s">
        <v>3892</v>
      </c>
      <c r="B122" s="223"/>
      <c r="C122" s="336" t="s">
        <v>5019</v>
      </c>
      <c r="D122" s="224"/>
      <c r="E122" s="225" t="s">
        <v>3893</v>
      </c>
      <c r="F122" s="225" t="s">
        <v>3894</v>
      </c>
      <c r="G122" s="225" t="s">
        <v>5743</v>
      </c>
    </row>
    <row r="123" spans="1:7">
      <c r="B123" s="223"/>
      <c r="C123" s="331" t="s">
        <v>771</v>
      </c>
      <c r="D123" s="224"/>
      <c r="E123" s="225">
        <v>1</v>
      </c>
      <c r="F123" s="226">
        <v>1200</v>
      </c>
      <c r="G123" s="226">
        <f>E123*F123</f>
        <v>1200</v>
      </c>
    </row>
    <row r="124" spans="1:7">
      <c r="B124" s="223"/>
      <c r="C124" s="331" t="s">
        <v>1923</v>
      </c>
      <c r="D124" s="224"/>
      <c r="E124" s="225">
        <v>2</v>
      </c>
      <c r="F124" s="226">
        <v>1200</v>
      </c>
      <c r="G124" s="226">
        <f t="shared" ref="G124:G131" si="0">E124*F124</f>
        <v>2400</v>
      </c>
    </row>
    <row r="125" spans="1:7">
      <c r="B125" s="223"/>
      <c r="C125" s="331" t="s">
        <v>1924</v>
      </c>
      <c r="D125" s="224"/>
      <c r="E125" s="225">
        <v>3</v>
      </c>
      <c r="F125" s="226">
        <v>1200</v>
      </c>
      <c r="G125" s="226">
        <f t="shared" si="0"/>
        <v>3600</v>
      </c>
    </row>
    <row r="126" spans="1:7">
      <c r="B126" s="223"/>
      <c r="C126" s="331" t="s">
        <v>1925</v>
      </c>
      <c r="D126" s="224"/>
      <c r="E126" s="225">
        <v>4</v>
      </c>
      <c r="F126" s="226">
        <v>1200</v>
      </c>
      <c r="G126" s="226">
        <f t="shared" si="0"/>
        <v>4800</v>
      </c>
    </row>
    <row r="127" spans="1:7">
      <c r="B127" s="223"/>
      <c r="C127" s="331" t="s">
        <v>1926</v>
      </c>
      <c r="D127" s="224"/>
      <c r="E127" s="225">
        <v>5</v>
      </c>
      <c r="F127" s="226">
        <v>1200</v>
      </c>
      <c r="G127" s="226">
        <f t="shared" si="0"/>
        <v>6000</v>
      </c>
    </row>
    <row r="128" spans="1:7">
      <c r="B128" s="223"/>
      <c r="C128" s="331" t="s">
        <v>1927</v>
      </c>
      <c r="D128" s="224"/>
      <c r="E128" s="225">
        <v>1</v>
      </c>
      <c r="F128" s="226">
        <v>1200</v>
      </c>
      <c r="G128" s="226">
        <f t="shared" si="0"/>
        <v>1200</v>
      </c>
    </row>
    <row r="129" spans="1:7">
      <c r="B129" s="223"/>
      <c r="C129" s="331" t="s">
        <v>1928</v>
      </c>
      <c r="D129" s="224"/>
      <c r="E129" s="225">
        <v>2</v>
      </c>
      <c r="F129" s="226">
        <v>1200</v>
      </c>
      <c r="G129" s="226">
        <f t="shared" si="0"/>
        <v>2400</v>
      </c>
    </row>
    <row r="130" spans="1:7">
      <c r="B130" s="223"/>
      <c r="C130" s="331" t="s">
        <v>1929</v>
      </c>
      <c r="D130" s="224"/>
      <c r="E130" s="225">
        <v>3</v>
      </c>
      <c r="F130" s="226">
        <v>1200</v>
      </c>
      <c r="G130" s="226">
        <f t="shared" si="0"/>
        <v>3600</v>
      </c>
    </row>
    <row r="131" spans="1:7">
      <c r="B131" s="223"/>
      <c r="C131" s="331" t="s">
        <v>5018</v>
      </c>
      <c r="D131" s="224"/>
      <c r="E131" s="225">
        <v>4</v>
      </c>
      <c r="F131" s="226">
        <v>1200</v>
      </c>
      <c r="G131" s="226">
        <f t="shared" si="0"/>
        <v>4800</v>
      </c>
    </row>
    <row r="132" spans="1:7">
      <c r="B132" s="223"/>
      <c r="C132" s="332"/>
      <c r="D132" s="224"/>
      <c r="E132" s="224"/>
      <c r="F132" s="338" t="s">
        <v>5298</v>
      </c>
      <c r="G132" s="222">
        <f>SUM(G123:G131)</f>
        <v>30000</v>
      </c>
    </row>
    <row r="134" spans="1:7">
      <c r="A134" s="31" t="s">
        <v>87</v>
      </c>
      <c r="C134" s="328" t="s">
        <v>3590</v>
      </c>
    </row>
    <row r="136" spans="1:7">
      <c r="A136" s="31" t="s">
        <v>2169</v>
      </c>
      <c r="C136" s="333" t="s">
        <v>6156</v>
      </c>
    </row>
    <row r="137" spans="1:7">
      <c r="C137" s="333" t="s">
        <v>5237</v>
      </c>
    </row>
    <row r="138" spans="1:7">
      <c r="C138" s="333" t="s">
        <v>2364</v>
      </c>
    </row>
    <row r="139" spans="1:7">
      <c r="C139" s="333" t="s">
        <v>648</v>
      </c>
    </row>
    <row r="140" spans="1:7">
      <c r="C140" s="333" t="s">
        <v>97</v>
      </c>
    </row>
    <row r="141" spans="1:7">
      <c r="C141" s="328" t="str">
        <f>CONCATENATE("Pricing based on ", (QECustName), " providing a tooling usable CAD database.")</f>
        <v>Pricing based on Hitachi Automotive Products providing a tooling usable CAD database.</v>
      </c>
    </row>
    <row r="143" spans="1:7">
      <c r="A143" s="31" t="s">
        <v>6230</v>
      </c>
      <c r="C143" s="333" t="s">
        <v>1055</v>
      </c>
    </row>
    <row r="145" spans="1:3">
      <c r="A145" s="31" t="s">
        <v>2761</v>
      </c>
      <c r="C145" s="333" t="s">
        <v>2762</v>
      </c>
    </row>
    <row r="146" spans="1:3">
      <c r="C146" s="328" t="s">
        <v>3997</v>
      </c>
    </row>
    <row r="148" spans="1:3">
      <c r="A148" s="31" t="s">
        <v>1962</v>
      </c>
      <c r="C148" s="328" t="s">
        <v>3710</v>
      </c>
    </row>
    <row r="150" spans="1:3">
      <c r="A150" s="31" t="s">
        <v>1976</v>
      </c>
      <c r="C150" s="328" t="s">
        <v>3928</v>
      </c>
    </row>
    <row r="151" spans="1:3">
      <c r="A151" s="31" t="s">
        <v>4320</v>
      </c>
      <c r="C151" s="328" t="str">
        <f>CONCATENATE("This quotation reflects using Precision Foam Technology and represents a ",VALUE(FSMuCellRed1)," % reduction in part weight.  Please see the attached document for additional information.")</f>
        <v>This quotation reflects using Precision Foam Technology and represents a 0.15 % reduction in part weight.  Please see the attached document for additional information.</v>
      </c>
    </row>
    <row r="153" spans="1:3">
      <c r="A153" s="31" t="s">
        <v>1116</v>
      </c>
      <c r="C153" s="328" t="s">
        <v>198</v>
      </c>
    </row>
    <row r="155" spans="1:3">
      <c r="A155" s="31" t="s">
        <v>199</v>
      </c>
      <c r="C155" s="328" t="s">
        <v>200</v>
      </c>
    </row>
    <row r="157" spans="1:3">
      <c r="A157" s="31" t="s">
        <v>201</v>
      </c>
      <c r="C157" s="328" t="s">
        <v>202</v>
      </c>
    </row>
    <row r="159" spans="1:3">
      <c r="A159" s="31" t="s">
        <v>2400</v>
      </c>
      <c r="C159" s="474" t="s">
        <v>2402</v>
      </c>
    </row>
    <row r="160" spans="1:3">
      <c r="C160" s="474" t="s">
        <v>2401</v>
      </c>
    </row>
    <row r="161" spans="3:3">
      <c r="C161" s="474" t="s">
        <v>2403</v>
      </c>
    </row>
    <row r="162" spans="3:3">
      <c r="C162" s="474" t="s">
        <v>164</v>
      </c>
    </row>
    <row r="163" spans="3:3">
      <c r="C163" s="474" t="s">
        <v>1945</v>
      </c>
    </row>
    <row r="164" spans="3:3">
      <c r="C164" s="330" t="str">
        <f>CONCATENATE("Pricing is based on a customer supplied part weight of (",CSGrams, " Grams Each) ",ROUND(QEPartWeight1,2)," pounds per thousand pieces.")</f>
        <v>Pricing is based on a customer supplied part weight of ( Grams Each) 1 pounds per thousand pieces.</v>
      </c>
    </row>
    <row r="165" spans="3:3">
      <c r="C165" s="474" t="str">
        <f>CONCATENATE("Pricing is based on using ", FIXED(QERegrind1,2) * 100," % maximum regrind.")</f>
        <v>Pricing is based on using 25 % maximum regrind.</v>
      </c>
    </row>
    <row r="166" spans="3:3">
      <c r="C166" s="328" t="str">
        <f>CONCATENATE("Tooling lead times shown are for initial shots.  Please add ", (CSLTOne), " weeks for project development and qualification.")</f>
        <v>Tooling lead times shown are for initial shots.  Please add 0 weeks for project development and qualification.</v>
      </c>
    </row>
    <row r="167" spans="3:3">
      <c r="C167" s="328" t="str">
        <f>CONCATENATE("Scenario one tooling lead times shown are for initial shots.  Please add ", (CSLTOne), " weeks for project development and qualification.")</f>
        <v>Scenario one tooling lead times shown are for initial shots.  Please add 0 weeks for project development and qualification.</v>
      </c>
    </row>
    <row r="168" spans="3:3">
      <c r="C168" s="328" t="str">
        <f>CONCATENATE("Scenario two tooling lead times shown are for initial shots.  Please add ", (CSLTTwo), " weeks for project development and qualification.")</f>
        <v>Scenario two tooling lead times shown are for initial shots.  Please add 0 weeks for project development and qualification.</v>
      </c>
    </row>
    <row r="169" spans="3:3">
      <c r="C169" s="328" t="str">
        <f>CONCATENATE("Please add ", (CSEPLLTNote1), " weeks for PPAP at our manufacturing facility in El Paso.")</f>
        <v>Please add 0 weeks for PPAP at our manufacturing facility in El Paso.</v>
      </c>
    </row>
    <row r="170" spans="3:3">
      <c r="C170" s="328" t="str">
        <f>CONCATENATE("Please add ", (CSQroLTNote1), " weeks for PPAP at our manufacturing facility in Mexico.")</f>
        <v>Please add 0 weeks for PPAP at our manufacturing facility in Mexico.</v>
      </c>
    </row>
    <row r="171" spans="3:3">
      <c r="C171" s="329" t="str">
        <f>CONCATENATE("Annual tooling capacity for a ", CavityScr1," cavity mold is approximately ", ROUNDDOWN(FSAvePcs1,0)*85 * 50," pieces.")</f>
        <v>Annual tooling capacity for a 8 cavity mold is approximately 9996000 pieces.</v>
      </c>
    </row>
    <row r="172" spans="3:3">
      <c r="C172" s="329" t="str">
        <f>CONCATENATE("Annual tooling capacity for a ", CavityScr2," cavity mold is approximately ", ROUNDDOWN(FSAvePcs2,0)*85 * 50," pieces.")</f>
        <v>Annual tooling capacity for a  cavity mold is approximately 0 pieces.</v>
      </c>
    </row>
    <row r="173" spans="3:3">
      <c r="C173" s="329" t="str">
        <f>CONCATENATE("Weekly production for ", CavityScr1," cavity mold is approximately ", ROUNDDOWN(FSAvePcs1,0)*85," pieces.")</f>
        <v>Weekly production for 8 cavity mold is approximately 199920 pieces.</v>
      </c>
    </row>
    <row r="174" spans="3:3">
      <c r="C174" s="329" t="str">
        <f>CONCATENATE("Weekly production for ", CavityScr2," cavity mold is approximately ", ROUNDDOWN(FSAvePcs2,0)*85," pieces.")</f>
        <v>Weekly production for  cavity mold is approximately 0 pieces.</v>
      </c>
    </row>
    <row r="175" spans="3:3">
      <c r="C175" s="328" t="str">
        <f>CONCATENATE("No fixtures/gages have been quoted, they will be quoted after ", (QECustName), " and Thermotech Quality Engineer's have ")</f>
        <v xml:space="preserve">No fixtures/gages have been quoted, they will be quoted after Hitachi Automotive Products and Thermotech Quality Engineer's have </v>
      </c>
    </row>
    <row r="176" spans="3:3">
      <c r="C176" s="474" t="s">
        <v>2692</v>
      </c>
    </row>
    <row r="177" spans="3:3">
      <c r="C177" s="474" t="str">
        <f>CONCATENATE("Pricing based on ", (QECustName), " providing a tooling usable CAD database.")</f>
        <v>Pricing based on Hitachi Automotive Products providing a tooling usable CAD database.</v>
      </c>
    </row>
    <row r="178" spans="3:3">
      <c r="C178" s="328" t="s">
        <v>2276</v>
      </c>
    </row>
    <row r="179" spans="3:3">
      <c r="C179" s="328" t="s">
        <v>561</v>
      </c>
    </row>
    <row r="189" spans="3:3">
      <c r="C189" s="474"/>
    </row>
    <row r="194" spans="8:8">
      <c r="H194" s="328"/>
    </row>
    <row r="195" spans="8:8">
      <c r="H195" s="328"/>
    </row>
  </sheetData>
  <sheetProtection algorithmName="SHA-512" hashValue="8UKKMqIBMSVMmXQNpCWSJHkLw0Raj5qBTnrsCr8n+mVsa5WQlU8BG3IyHzEjbt1gAuUdglpxLf/bgFPp0ify5Q==" saltValue="7qRhJewwDxuv99cAgJWEyA==" spinCount="100000" sheet="1" objects="1" scenarios="1"/>
  <phoneticPr fontId="0" type="noConversion"/>
  <dataValidations count="2">
    <dataValidation allowBlank="1" showInputMessage="1" showErrorMessage="1" promptTitle="Part Weight" prompt="Rounds to two places the part weight entered above._x000a_" sqref="C52 C75"/>
    <dataValidation allowBlank="1" showInputMessage="1" showErrorMessage="1" promptTitle="Weekly Production" prompt="Used .85% of a 100 hour week X the calculated pieces per hour." sqref="C86:C89 C63:C66 C171:C174"/>
  </dataValidations>
  <pageMargins left="0.1" right="0.1" top="0.5" bottom="0.5" header="0" footer="0.25"/>
  <pageSetup scale="87" fitToHeight="4" orientation="landscape" horizontalDpi="4294967292"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2769" r:id="rId4" name="Button 1">
              <controlPr defaultSize="0" print="0" autoFill="0" autoPict="0" macro="[0]!toquoteentry1">
                <anchor moveWithCells="1" sizeWithCells="1">
                  <from>
                    <xdr:col>0</xdr:col>
                    <xdr:colOff>9525</xdr:colOff>
                    <xdr:row>0</xdr:row>
                    <xdr:rowOff>0</xdr:rowOff>
                  </from>
                  <to>
                    <xdr:col>0</xdr:col>
                    <xdr:colOff>923925</xdr:colOff>
                    <xdr:row>0</xdr:row>
                    <xdr:rowOff>228600</xdr:rowOff>
                  </to>
                </anchor>
              </controlPr>
            </control>
          </mc:Choice>
        </mc:AlternateContent>
        <mc:AlternateContent xmlns:mc="http://schemas.openxmlformats.org/markup-compatibility/2006">
          <mc:Choice Requires="x14">
            <control shapeId="32772" r:id="rId5" name="Button 4">
              <controlPr defaultSize="0" print="0" autoFill="0" autoPict="0" macro="[0]!AddChangeNotes">
                <anchor moveWithCells="1" sizeWithCells="1">
                  <from>
                    <xdr:col>0</xdr:col>
                    <xdr:colOff>923925</xdr:colOff>
                    <xdr:row>0</xdr:row>
                    <xdr:rowOff>0</xdr:rowOff>
                  </from>
                  <to>
                    <xdr:col>2</xdr:col>
                    <xdr:colOff>438150</xdr:colOff>
                    <xdr:row>0</xdr:row>
                    <xdr:rowOff>228600</xdr:rowOff>
                  </to>
                </anchor>
              </controlPr>
            </control>
          </mc:Choice>
        </mc:AlternateContent>
        <mc:AlternateContent xmlns:mc="http://schemas.openxmlformats.org/markup-compatibility/2006">
          <mc:Choice Requires="x14">
            <control shapeId="32775" r:id="rId6" name="Button 7">
              <controlPr defaultSize="0" print="0" autoFill="0" autoPict="0" macro="[0]!AddChangeNotesComplete">
                <anchor moveWithCells="1" sizeWithCells="1">
                  <from>
                    <xdr:col>2</xdr:col>
                    <xdr:colOff>447675</xdr:colOff>
                    <xdr:row>0</xdr:row>
                    <xdr:rowOff>0</xdr:rowOff>
                  </from>
                  <to>
                    <xdr:col>3</xdr:col>
                    <xdr:colOff>285750</xdr:colOff>
                    <xdr:row>0</xdr:row>
                    <xdr:rowOff>228600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pageSetUpPr fitToPage="1"/>
  </sheetPr>
  <dimension ref="A1:E40"/>
  <sheetViews>
    <sheetView showGridLines="0" showZeros="0" zoomScale="75" workbookViewId="0">
      <selection activeCell="C35" sqref="C35"/>
    </sheetView>
  </sheetViews>
  <sheetFormatPr defaultColWidth="8.85546875" defaultRowHeight="12.75"/>
  <cols>
    <col min="1" max="1" width="12.7109375" style="193" customWidth="1"/>
    <col min="2" max="2" width="32.85546875" style="1" bestFit="1" customWidth="1"/>
    <col min="3" max="3" width="20" style="193" bestFit="1" customWidth="1"/>
    <col min="4" max="4" width="29" style="1162" customWidth="1"/>
    <col min="5" max="5" width="15.7109375" style="1164" hidden="1" customWidth="1"/>
    <col min="6" max="6" width="19.7109375" style="1" bestFit="1" customWidth="1"/>
    <col min="7" max="7" width="11.28515625" style="1" customWidth="1"/>
    <col min="8" max="8" width="13.5703125" style="1" bestFit="1" customWidth="1"/>
    <col min="9" max="9" width="7" style="1" bestFit="1" customWidth="1"/>
    <col min="10" max="10" width="30.42578125" style="1" bestFit="1" customWidth="1"/>
    <col min="11" max="16384" width="8.85546875" style="1"/>
  </cols>
  <sheetData>
    <row r="1" spans="1:5" s="14" customFormat="1" ht="36.75" customHeight="1">
      <c r="A1" s="31" t="s">
        <v>1085</v>
      </c>
      <c r="B1" s="14" t="s">
        <v>1008</v>
      </c>
      <c r="C1" s="31" t="s">
        <v>2018</v>
      </c>
      <c r="D1" s="1160" t="s">
        <v>6203</v>
      </c>
      <c r="E1" s="1163" t="s">
        <v>2739</v>
      </c>
    </row>
    <row r="2" spans="1:5">
      <c r="A2" s="215">
        <v>1001</v>
      </c>
      <c r="B2" s="216" t="s">
        <v>6204</v>
      </c>
      <c r="C2" s="215" t="s">
        <v>6205</v>
      </c>
      <c r="D2" s="1161" t="s">
        <v>6206</v>
      </c>
    </row>
    <row r="3" spans="1:5">
      <c r="A3" s="215">
        <v>1007</v>
      </c>
      <c r="B3" s="216" t="s">
        <v>6207</v>
      </c>
      <c r="C3" s="215" t="s">
        <v>6208</v>
      </c>
      <c r="D3" s="1161" t="s">
        <v>811</v>
      </c>
    </row>
    <row r="4" spans="1:5">
      <c r="A4" s="215">
        <v>1012</v>
      </c>
      <c r="B4" s="216" t="s">
        <v>1446</v>
      </c>
      <c r="C4" s="215" t="s">
        <v>812</v>
      </c>
      <c r="D4" s="1161" t="s">
        <v>813</v>
      </c>
    </row>
    <row r="5" spans="1:5">
      <c r="A5" s="215">
        <v>1013</v>
      </c>
      <c r="B5" s="216" t="s">
        <v>5122</v>
      </c>
      <c r="C5" s="215" t="s">
        <v>814</v>
      </c>
      <c r="D5" s="1161" t="s">
        <v>84</v>
      </c>
    </row>
    <row r="6" spans="1:5">
      <c r="A6" s="215">
        <v>1014</v>
      </c>
      <c r="B6" s="216" t="s">
        <v>815</v>
      </c>
      <c r="C6" s="215" t="s">
        <v>3958</v>
      </c>
      <c r="D6" s="1161" t="s">
        <v>33</v>
      </c>
    </row>
    <row r="7" spans="1:5">
      <c r="A7" s="215">
        <v>1015</v>
      </c>
      <c r="B7" s="216" t="s">
        <v>34</v>
      </c>
      <c r="C7" s="215" t="s">
        <v>35</v>
      </c>
      <c r="D7" s="1161" t="s">
        <v>2385</v>
      </c>
    </row>
    <row r="8" spans="1:5">
      <c r="A8" s="215">
        <v>1019</v>
      </c>
      <c r="B8" s="217" t="s">
        <v>1677</v>
      </c>
      <c r="C8" s="215" t="s">
        <v>1679</v>
      </c>
      <c r="D8" s="1161" t="s">
        <v>1678</v>
      </c>
    </row>
    <row r="9" spans="1:5">
      <c r="A9" s="215">
        <v>1025</v>
      </c>
      <c r="B9" s="216" t="s">
        <v>1836</v>
      </c>
      <c r="C9" s="215" t="s">
        <v>2389</v>
      </c>
      <c r="D9" s="1161" t="s">
        <v>1837</v>
      </c>
    </row>
    <row r="10" spans="1:5">
      <c r="A10" s="215">
        <v>3002</v>
      </c>
      <c r="B10" s="216" t="s">
        <v>989</v>
      </c>
      <c r="C10" s="215" t="s">
        <v>2566</v>
      </c>
      <c r="D10" s="1161" t="s">
        <v>990</v>
      </c>
    </row>
    <row r="11" spans="1:5">
      <c r="A11" s="215">
        <v>4002</v>
      </c>
      <c r="B11" s="216" t="s">
        <v>5260</v>
      </c>
      <c r="C11" s="215"/>
      <c r="D11" s="1161" t="s">
        <v>5261</v>
      </c>
    </row>
    <row r="12" spans="1:5">
      <c r="A12" s="215">
        <v>11455</v>
      </c>
      <c r="B12" s="216" t="s">
        <v>1179</v>
      </c>
      <c r="C12" s="215" t="s">
        <v>3844</v>
      </c>
      <c r="D12" s="1161" t="s">
        <v>3884</v>
      </c>
    </row>
    <row r="13" spans="1:5">
      <c r="A13" s="215">
        <v>11468</v>
      </c>
      <c r="B13" s="216" t="s">
        <v>3885</v>
      </c>
      <c r="C13" s="215" t="s">
        <v>3886</v>
      </c>
      <c r="D13" s="1161" t="s">
        <v>3887</v>
      </c>
    </row>
    <row r="14" spans="1:5">
      <c r="A14" s="215">
        <v>15512</v>
      </c>
      <c r="B14" s="216" t="s">
        <v>5879</v>
      </c>
      <c r="C14" s="215" t="s">
        <v>5654</v>
      </c>
      <c r="D14" s="1161" t="s">
        <v>4710</v>
      </c>
    </row>
    <row r="15" spans="1:5">
      <c r="A15" s="215">
        <v>11506</v>
      </c>
      <c r="B15" s="216" t="s">
        <v>3384</v>
      </c>
      <c r="C15" s="215" t="s">
        <v>4611</v>
      </c>
      <c r="D15" s="1161" t="s">
        <v>3129</v>
      </c>
    </row>
    <row r="16" spans="1:5">
      <c r="A16" s="215">
        <v>11524</v>
      </c>
      <c r="B16" s="216" t="s">
        <v>3130</v>
      </c>
      <c r="C16" s="215" t="s">
        <v>1964</v>
      </c>
      <c r="D16" s="1161" t="s">
        <v>1965</v>
      </c>
    </row>
    <row r="17" spans="1:5">
      <c r="A17" s="215">
        <v>11581</v>
      </c>
      <c r="B17" s="217" t="s">
        <v>4513</v>
      </c>
      <c r="C17" s="215" t="s">
        <v>5288</v>
      </c>
      <c r="D17" s="1161" t="s">
        <v>255</v>
      </c>
      <c r="E17" s="1164">
        <v>0.05</v>
      </c>
    </row>
    <row r="18" spans="1:5">
      <c r="A18" s="215">
        <v>11602</v>
      </c>
      <c r="B18" s="216" t="s">
        <v>6288</v>
      </c>
      <c r="C18" s="215" t="s">
        <v>6289</v>
      </c>
      <c r="D18" s="1161" t="s">
        <v>6290</v>
      </c>
    </row>
    <row r="19" spans="1:5">
      <c r="A19" s="215">
        <v>11946</v>
      </c>
      <c r="B19" s="216" t="s">
        <v>3506</v>
      </c>
      <c r="C19" s="215" t="s">
        <v>3375</v>
      </c>
      <c r="D19" s="1161" t="s">
        <v>3507</v>
      </c>
    </row>
    <row r="20" spans="1:5">
      <c r="A20" s="215">
        <v>13831</v>
      </c>
      <c r="B20" s="216" t="s">
        <v>5653</v>
      </c>
      <c r="C20" s="215" t="s">
        <v>5654</v>
      </c>
      <c r="D20" s="1161" t="s">
        <v>5655</v>
      </c>
    </row>
    <row r="21" spans="1:5">
      <c r="A21" s="215">
        <v>14059</v>
      </c>
      <c r="B21" s="216" t="s">
        <v>6371</v>
      </c>
      <c r="C21" s="215" t="s">
        <v>3917</v>
      </c>
      <c r="D21" s="1161" t="s">
        <v>3735</v>
      </c>
    </row>
    <row r="22" spans="1:5" s="8" customFormat="1">
      <c r="A22" s="215">
        <v>14298</v>
      </c>
      <c r="B22" s="216" t="s">
        <v>4785</v>
      </c>
      <c r="C22" s="215" t="s">
        <v>2566</v>
      </c>
      <c r="D22" s="1161" t="s">
        <v>5656</v>
      </c>
      <c r="E22" s="1164"/>
    </row>
    <row r="23" spans="1:5" s="8" customFormat="1">
      <c r="A23" s="215">
        <v>14973</v>
      </c>
      <c r="B23" s="216" t="s">
        <v>1484</v>
      </c>
      <c r="C23" s="215" t="s">
        <v>2573</v>
      </c>
      <c r="D23" s="1161" t="s">
        <v>2356</v>
      </c>
      <c r="E23" s="1164">
        <v>0.04</v>
      </c>
    </row>
    <row r="24" spans="1:5">
      <c r="A24" s="215">
        <v>209797</v>
      </c>
      <c r="B24" s="217" t="s">
        <v>2354</v>
      </c>
      <c r="C24" s="215" t="s">
        <v>2508</v>
      </c>
      <c r="D24" s="1161"/>
      <c r="E24" s="1164">
        <v>0.05</v>
      </c>
    </row>
    <row r="25" spans="1:5">
      <c r="A25" s="215">
        <v>209803</v>
      </c>
      <c r="B25" s="217" t="s">
        <v>2622</v>
      </c>
      <c r="C25" s="215"/>
      <c r="D25" s="1161" t="s">
        <v>2623</v>
      </c>
      <c r="E25" s="1164">
        <v>0.05</v>
      </c>
    </row>
    <row r="26" spans="1:5">
      <c r="A26" s="215">
        <v>210296</v>
      </c>
      <c r="B26" s="217" t="s">
        <v>2509</v>
      </c>
      <c r="C26" s="215" t="s">
        <v>2510</v>
      </c>
      <c r="D26" s="1161"/>
      <c r="E26" s="1164">
        <v>0.05</v>
      </c>
    </row>
    <row r="27" spans="1:5">
      <c r="A27" s="215">
        <v>210365</v>
      </c>
      <c r="B27" s="217" t="s">
        <v>2511</v>
      </c>
      <c r="C27" s="215" t="s">
        <v>4880</v>
      </c>
      <c r="D27" s="1161"/>
      <c r="E27" s="1164">
        <v>0.05</v>
      </c>
    </row>
    <row r="28" spans="1:5">
      <c r="A28" s="215">
        <v>210366</v>
      </c>
      <c r="B28" s="217" t="s">
        <v>4922</v>
      </c>
      <c r="C28" s="215" t="s">
        <v>2201</v>
      </c>
      <c r="D28" s="1161"/>
      <c r="E28" s="1164">
        <v>0.05</v>
      </c>
    </row>
    <row r="29" spans="1:5">
      <c r="A29" s="215">
        <v>210522</v>
      </c>
      <c r="B29" s="217" t="s">
        <v>5500</v>
      </c>
      <c r="C29" s="215" t="s">
        <v>5501</v>
      </c>
      <c r="D29" s="1161"/>
      <c r="E29" s="1164">
        <v>0.05</v>
      </c>
    </row>
    <row r="30" spans="1:5">
      <c r="A30" s="215">
        <v>213057</v>
      </c>
      <c r="B30" s="217" t="s">
        <v>5853</v>
      </c>
      <c r="C30" s="215"/>
      <c r="D30" s="1161"/>
      <c r="E30" s="1164">
        <v>0.05</v>
      </c>
    </row>
    <row r="31" spans="1:5">
      <c r="A31" s="193">
        <v>213058</v>
      </c>
      <c r="B31" s="217" t="s">
        <v>5866</v>
      </c>
      <c r="E31" s="1164">
        <v>0.05</v>
      </c>
    </row>
    <row r="32" spans="1:5" s="8" customFormat="1">
      <c r="A32" s="193" t="s">
        <v>4622</v>
      </c>
      <c r="B32" s="193" t="s">
        <v>5666</v>
      </c>
      <c r="C32" s="193" t="s">
        <v>5667</v>
      </c>
      <c r="D32" s="1161" t="s">
        <v>419</v>
      </c>
      <c r="E32" s="1164"/>
    </row>
    <row r="33" spans="1:5" s="8" customFormat="1">
      <c r="A33" s="193" t="s">
        <v>420</v>
      </c>
      <c r="B33" s="193" t="s">
        <v>2829</v>
      </c>
      <c r="C33" s="193" t="s">
        <v>2830</v>
      </c>
      <c r="D33" s="1161" t="s">
        <v>2831</v>
      </c>
      <c r="E33" s="1164"/>
    </row>
    <row r="34" spans="1:5" s="8" customFormat="1">
      <c r="A34" s="193" t="s">
        <v>2032</v>
      </c>
      <c r="B34" s="216" t="s">
        <v>5879</v>
      </c>
      <c r="C34" s="215" t="s">
        <v>5654</v>
      </c>
      <c r="D34" s="1161" t="s">
        <v>4710</v>
      </c>
      <c r="E34" s="1164"/>
    </row>
    <row r="35" spans="1:5" s="8" customFormat="1">
      <c r="A35" s="215" t="s">
        <v>2832</v>
      </c>
      <c r="B35" s="216" t="s">
        <v>2833</v>
      </c>
      <c r="C35" s="215" t="s">
        <v>2834</v>
      </c>
      <c r="D35" s="1161" t="s">
        <v>1325</v>
      </c>
      <c r="E35" s="1164"/>
    </row>
    <row r="36" spans="1:5" s="8" customFormat="1">
      <c r="A36" s="215" t="s">
        <v>1086</v>
      </c>
      <c r="B36" s="216" t="s">
        <v>1182</v>
      </c>
      <c r="C36" s="215" t="s">
        <v>1105</v>
      </c>
      <c r="D36" s="1161" t="s">
        <v>4963</v>
      </c>
      <c r="E36" s="1164"/>
    </row>
    <row r="37" spans="1:5" s="8" customFormat="1">
      <c r="A37" s="215" t="s">
        <v>1106</v>
      </c>
      <c r="B37" s="217" t="s">
        <v>2823</v>
      </c>
      <c r="C37" s="215" t="s">
        <v>2824</v>
      </c>
      <c r="D37" s="1161" t="s">
        <v>2825</v>
      </c>
      <c r="E37" s="1164"/>
    </row>
    <row r="38" spans="1:5" s="8" customFormat="1">
      <c r="A38" s="215" t="s">
        <v>3259</v>
      </c>
      <c r="B38" s="216" t="s">
        <v>3384</v>
      </c>
      <c r="C38" s="215" t="s">
        <v>4611</v>
      </c>
      <c r="D38" s="1161" t="s">
        <v>3129</v>
      </c>
      <c r="E38" s="1164"/>
    </row>
    <row r="39" spans="1:5" s="8" customFormat="1">
      <c r="A39" s="215" t="s">
        <v>3508</v>
      </c>
      <c r="B39" s="216" t="s">
        <v>3506</v>
      </c>
      <c r="C39" s="215" t="s">
        <v>3375</v>
      </c>
      <c r="D39" s="1161" t="s">
        <v>3507</v>
      </c>
      <c r="E39" s="1164"/>
    </row>
    <row r="40" spans="1:5">
      <c r="A40" s="31" t="s">
        <v>379</v>
      </c>
    </row>
  </sheetData>
  <sheetProtection algorithmName="SHA-512" hashValue="VuPyXXB7IlNUn79p4hEegfIIfHiKHdEDzxAf+b7skwRFF0B2hozsbo3FopE7PuXKkW4t5yIWmolOD30K39toig==" saltValue="6Ppntwp6JkxCQ9W2YckRAw==" spinCount="100000" sheet="1" objects="1" scenarios="1"/>
  <phoneticPr fontId="0" type="noConversion"/>
  <hyperlinks>
    <hyperlink ref="D36" r:id="rId1" display="50juksco@Menasha.com"/>
    <hyperlink ref="D3:D4" r:id="rId2" display="50juksco@Menasha.com"/>
    <hyperlink ref="D32" r:id="rId3" display="50corjef@Menasha.com"/>
    <hyperlink ref="D33" r:id="rId4"/>
    <hyperlink ref="D5" r:id="rId5"/>
    <hyperlink ref="D17" r:id="rId6"/>
    <hyperlink ref="D8" r:id="rId7"/>
    <hyperlink ref="D11" r:id="rId8"/>
    <hyperlink ref="D19" r:id="rId9"/>
    <hyperlink ref="D39" r:id="rId10"/>
  </hyperlinks>
  <pageMargins left="0.75" right="0.75" top="1" bottom="1" header="0.5" footer="0.5"/>
  <pageSetup scale="79" orientation="portrait" horizontalDpi="4294967292" r:id="rId11"/>
  <headerFooter alignWithMargins="0"/>
  <drawing r:id="rId12"/>
  <legacyDrawing r:id="rId13"/>
  <mc:AlternateContent xmlns:mc="http://schemas.openxmlformats.org/markup-compatibility/2006">
    <mc:Choice Requires="x14">
      <controls>
        <mc:AlternateContent xmlns:mc="http://schemas.openxmlformats.org/markup-compatibility/2006">
          <mc:Choice Requires="x14">
            <control shapeId="34817" r:id="rId14" name="Button 1">
              <controlPr defaultSize="0" print="0" autoFill="0" autoPict="0" macro="[0]!ToQuoteEntryFromSalesContacts">
                <anchor moveWithCells="1">
                  <from>
                    <xdr:col>1</xdr:col>
                    <xdr:colOff>85725</xdr:colOff>
                    <xdr:row>0</xdr:row>
                    <xdr:rowOff>0</xdr:rowOff>
                  </from>
                  <to>
                    <xdr:col>1</xdr:col>
                    <xdr:colOff>542925</xdr:colOff>
                    <xdr:row>0</xdr:row>
                    <xdr:rowOff>228600</xdr:rowOff>
                  </to>
                </anchor>
              </controlPr>
            </control>
          </mc:Choice>
        </mc:AlternateContent>
        <mc:AlternateContent xmlns:mc="http://schemas.openxmlformats.org/markup-compatibility/2006">
          <mc:Choice Requires="x14">
            <control shapeId="34818" r:id="rId15" name="Button 2">
              <controlPr defaultSize="0" print="0" autoFill="0" autoPict="0" macro="[0]!AddSalesContactMaster">
                <anchor moveWithCells="1">
                  <from>
                    <xdr:col>0</xdr:col>
                    <xdr:colOff>9525</xdr:colOff>
                    <xdr:row>0</xdr:row>
                    <xdr:rowOff>0</xdr:rowOff>
                  </from>
                  <to>
                    <xdr:col>0</xdr:col>
                    <xdr:colOff>466725</xdr:colOff>
                    <xdr:row>0</xdr:row>
                    <xdr:rowOff>228600</xdr:rowOff>
                  </to>
                </anchor>
              </controlPr>
            </control>
          </mc:Choice>
        </mc:AlternateContent>
        <mc:AlternateContent xmlns:mc="http://schemas.openxmlformats.org/markup-compatibility/2006">
          <mc:Choice Requires="x14">
            <control shapeId="34819" r:id="rId16" name="Button 3">
              <controlPr defaultSize="0" print="0" autoFill="0" autoPict="0" macro="[0]!ChangeSalesContactMaster">
                <anchor moveWithCells="1">
                  <from>
                    <xdr:col>0</xdr:col>
                    <xdr:colOff>466725</xdr:colOff>
                    <xdr:row>0</xdr:row>
                    <xdr:rowOff>0</xdr:rowOff>
                  </from>
                  <to>
                    <xdr:col>1</xdr:col>
                    <xdr:colOff>76200</xdr:colOff>
                    <xdr:row>0</xdr:row>
                    <xdr:rowOff>228600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pageSetUpPr fitToPage="1"/>
  </sheetPr>
  <dimension ref="A1:I29"/>
  <sheetViews>
    <sheetView showGridLines="0" zoomScale="75" workbookViewId="0">
      <selection activeCell="D7" sqref="D7"/>
    </sheetView>
  </sheetViews>
  <sheetFormatPr defaultColWidth="8.85546875" defaultRowHeight="19.899999999999999" customHeight="1"/>
  <cols>
    <col min="1" max="1" width="4.7109375" style="311" customWidth="1"/>
    <col min="2" max="2" width="63.28515625" style="313" customWidth="1"/>
    <col min="3" max="3" width="14.7109375" style="313" bestFit="1" customWidth="1"/>
    <col min="4" max="4" width="17.7109375" style="313" bestFit="1" customWidth="1"/>
    <col min="5" max="5" width="20.7109375" style="313" customWidth="1"/>
    <col min="6" max="6" width="17.7109375" style="313" bestFit="1" customWidth="1"/>
    <col min="7" max="7" width="20" style="313" bestFit="1" customWidth="1"/>
    <col min="8" max="8" width="20.7109375" style="216" customWidth="1"/>
    <col min="9" max="9" width="26.7109375" style="216" bestFit="1" customWidth="1"/>
    <col min="10" max="12" width="20.7109375" style="216" customWidth="1"/>
    <col min="13" max="16384" width="8.85546875" style="216"/>
  </cols>
  <sheetData>
    <row r="1" spans="1:9" ht="19.899999999999999" customHeight="1">
      <c r="A1" s="314"/>
      <c r="B1" s="315" t="s">
        <v>1434</v>
      </c>
      <c r="C1" s="312"/>
      <c r="D1" s="312"/>
      <c r="E1" s="312"/>
      <c r="F1" s="312"/>
      <c r="G1" s="312"/>
      <c r="H1" s="312"/>
      <c r="I1" s="312"/>
    </row>
    <row r="2" spans="1:9" ht="19.899999999999999" customHeight="1">
      <c r="A2" s="316"/>
      <c r="B2" s="317"/>
      <c r="H2" s="313"/>
      <c r="I2" s="313"/>
    </row>
    <row r="3" spans="1:9" ht="19.899999999999999" customHeight="1">
      <c r="A3" s="316">
        <v>1</v>
      </c>
      <c r="B3" s="318" t="s">
        <v>3207</v>
      </c>
      <c r="H3" s="313"/>
      <c r="I3" s="313"/>
    </row>
    <row r="4" spans="1:9" ht="19.899999999999999" customHeight="1">
      <c r="A4" s="316">
        <f t="shared" ref="A4:A17" si="0">A3+1</f>
        <v>2</v>
      </c>
      <c r="B4" s="318" t="s">
        <v>4813</v>
      </c>
      <c r="H4" s="313"/>
    </row>
    <row r="5" spans="1:9" ht="19.899999999999999" customHeight="1">
      <c r="A5" s="316">
        <f t="shared" si="0"/>
        <v>3</v>
      </c>
      <c r="B5" s="318" t="s">
        <v>3208</v>
      </c>
    </row>
    <row r="6" spans="1:9" ht="19.899999999999999" customHeight="1">
      <c r="A6" s="316">
        <f t="shared" si="0"/>
        <v>4</v>
      </c>
      <c r="B6" s="318" t="s">
        <v>6012</v>
      </c>
    </row>
    <row r="7" spans="1:9" ht="19.899999999999999" customHeight="1">
      <c r="A7" s="316">
        <f t="shared" si="0"/>
        <v>5</v>
      </c>
      <c r="B7" s="318" t="s">
        <v>2004</v>
      </c>
    </row>
    <row r="8" spans="1:9" ht="19.899999999999999" customHeight="1">
      <c r="A8" s="316">
        <f t="shared" si="0"/>
        <v>6</v>
      </c>
      <c r="B8" s="318" t="s">
        <v>3209</v>
      </c>
      <c r="E8" s="312"/>
    </row>
    <row r="9" spans="1:9" ht="19.899999999999999" customHeight="1">
      <c r="A9" s="316">
        <f t="shared" si="0"/>
        <v>7</v>
      </c>
      <c r="B9" s="318" t="s">
        <v>436</v>
      </c>
    </row>
    <row r="10" spans="1:9" ht="19.899999999999999" customHeight="1">
      <c r="A10" s="316">
        <f t="shared" si="0"/>
        <v>8</v>
      </c>
      <c r="B10" s="318" t="s">
        <v>63</v>
      </c>
    </row>
    <row r="11" spans="1:9" ht="19.899999999999999" customHeight="1">
      <c r="A11" s="316">
        <f t="shared" si="0"/>
        <v>9</v>
      </c>
      <c r="B11" s="318" t="s">
        <v>4668</v>
      </c>
    </row>
    <row r="12" spans="1:9" ht="19.899999999999999" customHeight="1">
      <c r="A12" s="316">
        <f t="shared" si="0"/>
        <v>10</v>
      </c>
      <c r="B12" s="318" t="s">
        <v>6011</v>
      </c>
    </row>
    <row r="13" spans="1:9" ht="19.899999999999999" customHeight="1">
      <c r="A13" s="316">
        <f t="shared" si="0"/>
        <v>11</v>
      </c>
      <c r="B13" s="318" t="s">
        <v>1871</v>
      </c>
    </row>
    <row r="14" spans="1:9" ht="19.899999999999999" customHeight="1">
      <c r="A14" s="316">
        <f t="shared" si="0"/>
        <v>12</v>
      </c>
      <c r="B14" s="318" t="s">
        <v>4034</v>
      </c>
    </row>
    <row r="15" spans="1:9" ht="19.899999999999999" customHeight="1">
      <c r="A15" s="316">
        <f t="shared" si="0"/>
        <v>13</v>
      </c>
      <c r="B15" s="318" t="s">
        <v>2435</v>
      </c>
    </row>
    <row r="16" spans="1:9" ht="19.899999999999999" customHeight="1">
      <c r="A16" s="316">
        <f t="shared" si="0"/>
        <v>14</v>
      </c>
      <c r="B16" s="318" t="s">
        <v>2436</v>
      </c>
    </row>
    <row r="17" spans="1:5" ht="19.899999999999999" customHeight="1" thickBot="1">
      <c r="A17" s="319">
        <f t="shared" si="0"/>
        <v>15</v>
      </c>
      <c r="B17" s="320" t="s">
        <v>2921</v>
      </c>
    </row>
    <row r="28" spans="1:5" ht="19.899999999999999" customHeight="1">
      <c r="D28" s="216"/>
      <c r="E28" s="216"/>
    </row>
    <row r="29" spans="1:5" ht="19.899999999999999" customHeight="1">
      <c r="D29" s="216"/>
      <c r="E29" s="216"/>
    </row>
  </sheetData>
  <sheetProtection algorithmName="SHA-512" hashValue="P5PrI7Obu9g5qnPYqCGwqgzN0eS+5hW6sEm6qrr3HLew2wpl4N4hcBVuxiaUg65ZcNmWaqulfJPQpuqg1rNG5A==" saltValue="kIvv5gLPUOC7CctwvI3bcQ==" spinCount="100000" sheet="1" objects="1" scenarios="1"/>
  <phoneticPr fontId="0" type="noConversion"/>
  <pageMargins left="0.75" right="0.75" top="1" bottom="1" header="0.5" footer="0.5"/>
  <pageSetup orientation="portrait" horizontalDpi="4294967292"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21" r:id="rId4" name="Button 1">
              <controlPr defaultSize="0" print="0" autoFill="0" autoPict="0" macro="[0]!toquoteentry">
                <anchor moveWithCells="1">
                  <from>
                    <xdr:col>3</xdr:col>
                    <xdr:colOff>9525</xdr:colOff>
                    <xdr:row>0</xdr:row>
                    <xdr:rowOff>28575</xdr:rowOff>
                  </from>
                  <to>
                    <xdr:col>3</xdr:col>
                    <xdr:colOff>466725</xdr:colOff>
                    <xdr:row>1</xdr:row>
                    <xdr:rowOff>9525</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W70"/>
  <sheetViews>
    <sheetView zoomScale="75" workbookViewId="0"/>
  </sheetViews>
  <sheetFormatPr defaultRowHeight="12.75"/>
  <cols>
    <col min="1" max="1" width="5.42578125" style="307" customWidth="1"/>
    <col min="2" max="2" width="6.140625" style="307" customWidth="1"/>
    <col min="3" max="3" width="8.5703125" style="307" customWidth="1"/>
    <col min="4" max="4" width="12.42578125" style="307" bestFit="1" customWidth="1"/>
    <col min="5" max="5" width="6" style="307" bestFit="1" customWidth="1"/>
    <col min="6" max="6" width="5.42578125" style="307" bestFit="1" customWidth="1"/>
    <col min="7" max="7" width="7.42578125" style="307" bestFit="1" customWidth="1"/>
    <col min="8" max="8" width="5.5703125" style="307" customWidth="1"/>
    <col min="9" max="9" width="7.5703125" style="307" customWidth="1"/>
    <col min="10" max="10" width="6.7109375" style="307" customWidth="1"/>
    <col min="11" max="11" width="6" style="307" bestFit="1" customWidth="1"/>
    <col min="12" max="12" width="8.42578125" style="307" customWidth="1"/>
    <col min="13" max="13" width="5.85546875" style="307" bestFit="1" customWidth="1"/>
    <col min="14" max="14" width="6.28515625" style="307" bestFit="1" customWidth="1"/>
    <col min="15" max="15" width="7.140625" style="307" bestFit="1" customWidth="1"/>
    <col min="16" max="16" width="8.5703125" style="307" bestFit="1" customWidth="1"/>
    <col min="17" max="17" width="11.7109375" style="307" bestFit="1" customWidth="1"/>
    <col min="18" max="18" width="6.85546875" style="307" bestFit="1" customWidth="1"/>
    <col min="19" max="19" width="8.28515625" style="307" bestFit="1" customWidth="1"/>
    <col min="20" max="20" width="13.140625" style="307" bestFit="1" customWidth="1"/>
    <col min="21" max="21" width="21.140625" style="307" bestFit="1" customWidth="1"/>
    <col min="22" max="22" width="9.28515625" style="307" customWidth="1"/>
    <col min="23" max="23" width="10.85546875" style="307" bestFit="1" customWidth="1"/>
    <col min="24" max="16384" width="9.140625" style="307"/>
  </cols>
  <sheetData>
    <row r="1" spans="1:23" ht="18">
      <c r="A1" s="305" t="s">
        <v>1865</v>
      </c>
      <c r="B1" s="306"/>
      <c r="C1" s="306"/>
      <c r="D1" s="306"/>
      <c r="E1" s="306"/>
      <c r="F1" s="306"/>
      <c r="G1" s="306"/>
      <c r="H1" s="306"/>
      <c r="I1" s="306"/>
      <c r="J1" s="306"/>
      <c r="K1" s="306"/>
      <c r="L1" s="306"/>
      <c r="M1" s="306"/>
      <c r="N1" s="306"/>
      <c r="O1" s="306"/>
      <c r="P1" s="306"/>
      <c r="Q1" s="306"/>
      <c r="R1" s="306"/>
      <c r="S1" s="306"/>
      <c r="T1" s="306"/>
      <c r="U1" s="306"/>
      <c r="V1" s="306"/>
      <c r="W1" s="306"/>
    </row>
    <row r="2" spans="1:23" ht="13.5" thickBot="1"/>
    <row r="3" spans="1:23" s="809" customFormat="1" ht="12.75" customHeight="1">
      <c r="B3" s="810"/>
      <c r="C3" s="811" t="s">
        <v>1866</v>
      </c>
      <c r="D3" s="811"/>
      <c r="E3" s="812"/>
      <c r="F3" s="813"/>
      <c r="G3" s="811" t="s">
        <v>1867</v>
      </c>
      <c r="H3" s="811" t="s">
        <v>1868</v>
      </c>
      <c r="I3" s="811" t="s">
        <v>1869</v>
      </c>
      <c r="J3" s="814" t="s">
        <v>1512</v>
      </c>
      <c r="K3" s="815"/>
      <c r="L3" s="811" t="s">
        <v>1513</v>
      </c>
      <c r="M3" s="814" t="s">
        <v>3996</v>
      </c>
      <c r="N3" s="815"/>
      <c r="O3" s="811"/>
      <c r="P3" s="811"/>
      <c r="Q3" s="811"/>
      <c r="R3" s="811" t="s">
        <v>1514</v>
      </c>
      <c r="S3" s="811"/>
      <c r="T3" s="811"/>
      <c r="U3" s="811" t="s">
        <v>1515</v>
      </c>
      <c r="V3" s="811"/>
      <c r="W3" s="816"/>
    </row>
    <row r="4" spans="1:23" s="809" customFormat="1">
      <c r="B4" s="817" t="s">
        <v>1516</v>
      </c>
      <c r="C4" s="818" t="s">
        <v>3528</v>
      </c>
      <c r="D4" s="818" t="s">
        <v>3529</v>
      </c>
      <c r="E4" s="819" t="s">
        <v>3530</v>
      </c>
      <c r="F4" s="820"/>
      <c r="G4" s="818" t="s">
        <v>1428</v>
      </c>
      <c r="H4" s="818" t="s">
        <v>3531</v>
      </c>
      <c r="I4" s="818" t="s">
        <v>3532</v>
      </c>
      <c r="J4" s="821" t="s">
        <v>3533</v>
      </c>
      <c r="K4" s="822" t="s">
        <v>1226</v>
      </c>
      <c r="L4" s="818" t="s">
        <v>1227</v>
      </c>
      <c r="M4" s="821" t="s">
        <v>1228</v>
      </c>
      <c r="N4" s="822" t="s">
        <v>2193</v>
      </c>
      <c r="O4" s="818" t="s">
        <v>2194</v>
      </c>
      <c r="P4" s="818" t="s">
        <v>2195</v>
      </c>
      <c r="Q4" s="823" t="s">
        <v>2196</v>
      </c>
      <c r="R4" s="818" t="s">
        <v>3531</v>
      </c>
      <c r="S4" s="818" t="s">
        <v>2197</v>
      </c>
      <c r="T4" s="818" t="s">
        <v>2198</v>
      </c>
      <c r="U4" s="818" t="s">
        <v>4509</v>
      </c>
      <c r="V4" s="818" t="s">
        <v>4510</v>
      </c>
      <c r="W4" s="824" t="s">
        <v>6027</v>
      </c>
    </row>
    <row r="5" spans="1:23" s="825" customFormat="1" ht="11.25" customHeight="1" thickBot="1">
      <c r="B5" s="826" t="s">
        <v>6028</v>
      </c>
      <c r="C5" s="827" t="s">
        <v>991</v>
      </c>
      <c r="D5" s="827" t="s">
        <v>4381</v>
      </c>
      <c r="E5" s="828" t="s">
        <v>761</v>
      </c>
      <c r="F5" s="829" t="s">
        <v>762</v>
      </c>
      <c r="G5" s="827" t="s">
        <v>763</v>
      </c>
      <c r="H5" s="827" t="s">
        <v>6183</v>
      </c>
      <c r="I5" s="827" t="s">
        <v>6184</v>
      </c>
      <c r="J5" s="828" t="s">
        <v>6185</v>
      </c>
      <c r="K5" s="829" t="s">
        <v>6185</v>
      </c>
      <c r="L5" s="827" t="s">
        <v>6185</v>
      </c>
      <c r="M5" s="828" t="s">
        <v>6185</v>
      </c>
      <c r="N5" s="829" t="s">
        <v>6185</v>
      </c>
      <c r="O5" s="827" t="s">
        <v>2900</v>
      </c>
      <c r="P5" s="827" t="s">
        <v>1115</v>
      </c>
      <c r="Q5" s="827" t="s">
        <v>1115</v>
      </c>
      <c r="R5" s="827" t="s">
        <v>2901</v>
      </c>
      <c r="S5" s="827" t="s">
        <v>1115</v>
      </c>
      <c r="T5" s="827" t="s">
        <v>3530</v>
      </c>
      <c r="U5" s="827" t="s">
        <v>3968</v>
      </c>
      <c r="V5" s="827" t="s">
        <v>3530</v>
      </c>
      <c r="W5" s="830" t="s">
        <v>3525</v>
      </c>
    </row>
    <row r="6" spans="1:23" s="160" customFormat="1">
      <c r="A6" s="1239" t="s">
        <v>4219</v>
      </c>
      <c r="B6" s="831">
        <v>16</v>
      </c>
      <c r="C6" s="832">
        <v>207</v>
      </c>
      <c r="D6" s="832" t="s">
        <v>3969</v>
      </c>
      <c r="E6" s="832">
        <v>1996</v>
      </c>
      <c r="F6" s="832">
        <v>60</v>
      </c>
      <c r="G6" s="832">
        <v>30</v>
      </c>
      <c r="H6" s="833">
        <v>3.2</v>
      </c>
      <c r="I6" s="834">
        <v>30000</v>
      </c>
      <c r="J6" s="833">
        <v>25.59</v>
      </c>
      <c r="K6" s="833">
        <v>16.93</v>
      </c>
      <c r="L6" s="832" t="s">
        <v>2322</v>
      </c>
      <c r="M6" s="833">
        <v>7.48</v>
      </c>
      <c r="N6" s="833">
        <v>20.47</v>
      </c>
      <c r="O6" s="832" t="s">
        <v>6316</v>
      </c>
      <c r="P6" s="832" t="s">
        <v>2323</v>
      </c>
      <c r="Q6" s="832" t="s">
        <v>2324</v>
      </c>
      <c r="R6" s="832">
        <v>100</v>
      </c>
      <c r="S6" s="832" t="s">
        <v>2325</v>
      </c>
      <c r="T6" s="832" t="s">
        <v>2326</v>
      </c>
      <c r="U6" s="832" t="s">
        <v>2327</v>
      </c>
      <c r="V6" s="832" t="s">
        <v>6327</v>
      </c>
      <c r="W6" s="835">
        <v>98767</v>
      </c>
    </row>
    <row r="7" spans="1:23" s="160" customFormat="1">
      <c r="A7" s="1240"/>
      <c r="B7" s="836">
        <v>17</v>
      </c>
      <c r="C7" s="837">
        <v>210</v>
      </c>
      <c r="D7" s="837" t="s">
        <v>3969</v>
      </c>
      <c r="E7" s="837">
        <v>1996</v>
      </c>
      <c r="F7" s="837">
        <v>85</v>
      </c>
      <c r="G7" s="837" t="s">
        <v>4564</v>
      </c>
      <c r="H7" s="838">
        <v>6.5</v>
      </c>
      <c r="I7" s="839">
        <v>24143</v>
      </c>
      <c r="J7" s="838">
        <v>24.44</v>
      </c>
      <c r="K7" s="838">
        <v>21.73</v>
      </c>
      <c r="L7" s="837" t="s">
        <v>2148</v>
      </c>
      <c r="M7" s="838">
        <v>5.91</v>
      </c>
      <c r="N7" s="838">
        <v>29.13</v>
      </c>
      <c r="O7" s="837" t="s">
        <v>6316</v>
      </c>
      <c r="P7" s="837" t="s">
        <v>5616</v>
      </c>
      <c r="Q7" s="837" t="s">
        <v>2324</v>
      </c>
      <c r="R7" s="837">
        <v>100</v>
      </c>
      <c r="S7" s="837" t="s">
        <v>2325</v>
      </c>
      <c r="T7" s="837" t="s">
        <v>5617</v>
      </c>
      <c r="U7" s="837" t="s">
        <v>2327</v>
      </c>
      <c r="V7" s="837" t="s">
        <v>4938</v>
      </c>
      <c r="W7" s="840">
        <v>106531</v>
      </c>
    </row>
    <row r="8" spans="1:23" s="160" customFormat="1">
      <c r="A8" s="1240"/>
      <c r="B8" s="836">
        <v>19</v>
      </c>
      <c r="C8" s="837">
        <v>210</v>
      </c>
      <c r="D8" s="837" t="s">
        <v>4939</v>
      </c>
      <c r="E8" s="837">
        <v>1990</v>
      </c>
      <c r="F8" s="837">
        <v>85</v>
      </c>
      <c r="G8" s="837">
        <v>35</v>
      </c>
      <c r="H8" s="838">
        <v>5</v>
      </c>
      <c r="I8" s="839">
        <v>20200</v>
      </c>
      <c r="J8" s="838">
        <v>20.399999999999999</v>
      </c>
      <c r="K8" s="838">
        <v>22.8</v>
      </c>
      <c r="L8" s="837" t="s">
        <v>4940</v>
      </c>
      <c r="M8" s="838">
        <v>7</v>
      </c>
      <c r="N8" s="838">
        <v>25</v>
      </c>
      <c r="O8" s="837" t="s">
        <v>6316</v>
      </c>
      <c r="P8" s="837" t="s">
        <v>5616</v>
      </c>
      <c r="Q8" s="837" t="s">
        <v>4941</v>
      </c>
      <c r="R8" s="837">
        <v>60</v>
      </c>
      <c r="S8" s="837" t="s">
        <v>4942</v>
      </c>
      <c r="T8" s="837"/>
      <c r="U8" s="837"/>
      <c r="V8" s="837"/>
      <c r="W8" s="840">
        <v>31000</v>
      </c>
    </row>
    <row r="9" spans="1:23" s="160" customFormat="1">
      <c r="A9" s="1240"/>
      <c r="B9" s="836">
        <v>101</v>
      </c>
      <c r="C9" s="837">
        <v>215</v>
      </c>
      <c r="D9" s="837" t="s">
        <v>4943</v>
      </c>
      <c r="E9" s="837">
        <v>2000</v>
      </c>
      <c r="F9" s="837">
        <v>110</v>
      </c>
      <c r="G9" s="837">
        <v>36</v>
      </c>
      <c r="H9" s="838">
        <v>4.87</v>
      </c>
      <c r="I9" s="839">
        <v>24174</v>
      </c>
      <c r="J9" s="838">
        <v>24</v>
      </c>
      <c r="K9" s="838">
        <v>24</v>
      </c>
      <c r="L9" s="837" t="s">
        <v>5224</v>
      </c>
      <c r="M9" s="838">
        <v>5.9</v>
      </c>
      <c r="N9" s="838">
        <v>17.7</v>
      </c>
      <c r="O9" s="837" t="s">
        <v>5225</v>
      </c>
      <c r="P9" s="837" t="s">
        <v>5616</v>
      </c>
      <c r="Q9" s="837" t="s">
        <v>5226</v>
      </c>
      <c r="R9" s="837"/>
      <c r="S9" s="837"/>
      <c r="T9" s="840"/>
      <c r="U9" s="837"/>
      <c r="V9" s="837"/>
      <c r="W9" s="840">
        <v>103555</v>
      </c>
    </row>
    <row r="10" spans="1:23" s="160" customFormat="1">
      <c r="A10" s="1240"/>
      <c r="B10" s="836">
        <v>104</v>
      </c>
      <c r="C10" s="837">
        <v>215</v>
      </c>
      <c r="D10" s="837" t="s">
        <v>3969</v>
      </c>
      <c r="E10" s="837">
        <v>1996</v>
      </c>
      <c r="F10" s="837">
        <v>100</v>
      </c>
      <c r="G10" s="837">
        <v>35</v>
      </c>
      <c r="H10" s="838">
        <v>5</v>
      </c>
      <c r="I10" s="839">
        <v>30000</v>
      </c>
      <c r="J10" s="838">
        <v>27.95</v>
      </c>
      <c r="K10" s="838">
        <v>22.05</v>
      </c>
      <c r="L10" s="837" t="s">
        <v>2322</v>
      </c>
      <c r="M10" s="838">
        <v>9.84</v>
      </c>
      <c r="N10" s="838">
        <v>27.56</v>
      </c>
      <c r="O10" s="837" t="s">
        <v>6316</v>
      </c>
      <c r="P10" s="837" t="s">
        <v>2323</v>
      </c>
      <c r="Q10" s="837" t="s">
        <v>2324</v>
      </c>
      <c r="R10" s="837">
        <v>100</v>
      </c>
      <c r="S10" s="837" t="s">
        <v>2325</v>
      </c>
      <c r="T10" s="837" t="s">
        <v>2326</v>
      </c>
      <c r="U10" s="837" t="s">
        <v>5228</v>
      </c>
      <c r="V10" s="837" t="s">
        <v>5227</v>
      </c>
      <c r="W10" s="840">
        <v>124321</v>
      </c>
    </row>
    <row r="11" spans="1:23" s="160" customFormat="1">
      <c r="A11" s="1240"/>
      <c r="B11" s="836">
        <v>105</v>
      </c>
      <c r="C11" s="837">
        <v>215</v>
      </c>
      <c r="D11" s="837" t="s">
        <v>3969</v>
      </c>
      <c r="E11" s="837">
        <v>1996</v>
      </c>
      <c r="F11" s="837">
        <v>150</v>
      </c>
      <c r="G11" s="837">
        <v>45</v>
      </c>
      <c r="H11" s="838">
        <v>10.3</v>
      </c>
      <c r="I11" s="839">
        <v>27173</v>
      </c>
      <c r="J11" s="838">
        <v>28.35</v>
      </c>
      <c r="K11" s="838">
        <v>25.2</v>
      </c>
      <c r="L11" s="837" t="s">
        <v>940</v>
      </c>
      <c r="M11" s="838">
        <v>5.91</v>
      </c>
      <c r="N11" s="838">
        <v>37.01</v>
      </c>
      <c r="O11" s="837" t="s">
        <v>6316</v>
      </c>
      <c r="P11" s="837" t="s">
        <v>5616</v>
      </c>
      <c r="Q11" s="837" t="s">
        <v>2324</v>
      </c>
      <c r="R11" s="837" t="s">
        <v>2537</v>
      </c>
      <c r="S11" s="837" t="s">
        <v>2325</v>
      </c>
      <c r="T11" s="837" t="s">
        <v>3450</v>
      </c>
      <c r="U11" s="837"/>
      <c r="V11" s="837"/>
      <c r="W11" s="840">
        <v>129031</v>
      </c>
    </row>
    <row r="12" spans="1:23" s="160" customFormat="1">
      <c r="A12" s="1240"/>
      <c r="B12" s="1181">
        <v>106</v>
      </c>
      <c r="C12" s="1182">
        <v>215</v>
      </c>
      <c r="D12" s="1182" t="s">
        <v>3969</v>
      </c>
      <c r="E12" s="1182">
        <v>1996</v>
      </c>
      <c r="F12" s="1182">
        <v>150</v>
      </c>
      <c r="G12" s="1182">
        <v>45</v>
      </c>
      <c r="H12" s="1183">
        <v>10.3</v>
      </c>
      <c r="I12" s="1180">
        <v>27173</v>
      </c>
      <c r="J12" s="1183">
        <v>28.35</v>
      </c>
      <c r="K12" s="1183">
        <v>25.2</v>
      </c>
      <c r="L12" s="1182" t="s">
        <v>940</v>
      </c>
      <c r="M12" s="1183">
        <v>5.91</v>
      </c>
      <c r="N12" s="1183">
        <v>37.01</v>
      </c>
      <c r="O12" s="1182" t="s">
        <v>6316</v>
      </c>
      <c r="P12" s="1182" t="s">
        <v>5616</v>
      </c>
      <c r="Q12" s="1182" t="s">
        <v>2324</v>
      </c>
      <c r="R12" s="1182" t="s">
        <v>3451</v>
      </c>
      <c r="S12" s="1182" t="s">
        <v>4942</v>
      </c>
      <c r="T12" s="1182" t="s">
        <v>3450</v>
      </c>
      <c r="U12" s="1182" t="s">
        <v>2327</v>
      </c>
      <c r="V12" s="1182" t="s">
        <v>3452</v>
      </c>
      <c r="W12" s="1184">
        <v>129133</v>
      </c>
    </row>
    <row r="13" spans="1:23" s="160" customFormat="1">
      <c r="A13" s="1240"/>
      <c r="B13" s="836">
        <v>107</v>
      </c>
      <c r="C13" s="837">
        <v>215</v>
      </c>
      <c r="D13" s="837" t="s">
        <v>3969</v>
      </c>
      <c r="E13" s="837">
        <v>1999</v>
      </c>
      <c r="F13" s="837">
        <v>100</v>
      </c>
      <c r="G13" s="837">
        <v>30</v>
      </c>
      <c r="H13" s="838">
        <v>3.7</v>
      </c>
      <c r="I13" s="839">
        <v>30000</v>
      </c>
      <c r="J13" s="838">
        <v>27.95</v>
      </c>
      <c r="K13" s="838">
        <v>22.05</v>
      </c>
      <c r="L13" s="837" t="s">
        <v>2322</v>
      </c>
      <c r="M13" s="838">
        <v>9.84</v>
      </c>
      <c r="N13" s="838">
        <v>27.56</v>
      </c>
      <c r="O13" s="838" t="s">
        <v>6316</v>
      </c>
      <c r="P13" s="837" t="s">
        <v>2323</v>
      </c>
      <c r="Q13" s="837" t="s">
        <v>1266</v>
      </c>
      <c r="R13" s="837">
        <v>60</v>
      </c>
      <c r="S13" s="837" t="s">
        <v>4942</v>
      </c>
      <c r="T13" s="837" t="s">
        <v>2326</v>
      </c>
      <c r="U13" s="837" t="s">
        <v>5228</v>
      </c>
      <c r="V13" s="837" t="s">
        <v>5227</v>
      </c>
      <c r="W13" s="840">
        <v>201819</v>
      </c>
    </row>
    <row r="14" spans="1:23" s="160" customFormat="1">
      <c r="A14" s="1240"/>
      <c r="B14" s="836">
        <v>108</v>
      </c>
      <c r="C14" s="837">
        <v>215</v>
      </c>
      <c r="D14" s="837" t="s">
        <v>3969</v>
      </c>
      <c r="E14" s="837">
        <v>1999</v>
      </c>
      <c r="F14" s="837">
        <v>100</v>
      </c>
      <c r="G14" s="837">
        <v>30</v>
      </c>
      <c r="H14" s="838">
        <v>3.7</v>
      </c>
      <c r="I14" s="839">
        <v>30000</v>
      </c>
      <c r="J14" s="838">
        <v>27.95</v>
      </c>
      <c r="K14" s="838">
        <v>22.05</v>
      </c>
      <c r="L14" s="837" t="s">
        <v>1267</v>
      </c>
      <c r="M14" s="838">
        <v>9.84</v>
      </c>
      <c r="N14" s="838">
        <v>27.56</v>
      </c>
      <c r="O14" s="837" t="s">
        <v>6316</v>
      </c>
      <c r="P14" s="837" t="s">
        <v>2323</v>
      </c>
      <c r="Q14" s="837" t="s">
        <v>1266</v>
      </c>
      <c r="R14" s="837">
        <v>60</v>
      </c>
      <c r="S14" s="837" t="s">
        <v>4942</v>
      </c>
      <c r="T14" s="837" t="s">
        <v>2326</v>
      </c>
      <c r="U14" s="837" t="s">
        <v>5228</v>
      </c>
      <c r="V14" s="837" t="s">
        <v>5227</v>
      </c>
      <c r="W14" s="840">
        <v>201819</v>
      </c>
    </row>
    <row r="15" spans="1:23" s="160" customFormat="1">
      <c r="A15" s="1240"/>
      <c r="B15" s="836">
        <v>109</v>
      </c>
      <c r="C15" s="837">
        <v>215</v>
      </c>
      <c r="D15" s="837" t="s">
        <v>4939</v>
      </c>
      <c r="E15" s="837">
        <v>1990</v>
      </c>
      <c r="F15" s="837">
        <v>120</v>
      </c>
      <c r="G15" s="837">
        <v>38</v>
      </c>
      <c r="H15" s="838">
        <v>6</v>
      </c>
      <c r="I15" s="839">
        <v>19900</v>
      </c>
      <c r="J15" s="838">
        <v>25</v>
      </c>
      <c r="K15" s="838">
        <v>25</v>
      </c>
      <c r="L15" s="837" t="s">
        <v>1268</v>
      </c>
      <c r="M15" s="838">
        <v>8</v>
      </c>
      <c r="N15" s="838">
        <v>30</v>
      </c>
      <c r="O15" s="837" t="s">
        <v>6316</v>
      </c>
      <c r="P15" s="837" t="s">
        <v>5616</v>
      </c>
      <c r="Q15" s="837" t="s">
        <v>4941</v>
      </c>
      <c r="R15" s="837">
        <v>60</v>
      </c>
      <c r="S15" s="837" t="s">
        <v>4942</v>
      </c>
      <c r="T15" s="837"/>
      <c r="U15" s="841" t="s">
        <v>5268</v>
      </c>
      <c r="V15" s="837"/>
      <c r="W15" s="840">
        <v>52500</v>
      </c>
    </row>
    <row r="16" spans="1:23" s="160" customFormat="1">
      <c r="A16" s="1240"/>
      <c r="B16" s="836">
        <v>113</v>
      </c>
      <c r="C16" s="837">
        <v>215</v>
      </c>
      <c r="D16" s="837" t="s">
        <v>3969</v>
      </c>
      <c r="E16" s="837">
        <v>1985</v>
      </c>
      <c r="F16" s="837">
        <v>199</v>
      </c>
      <c r="G16" s="837">
        <v>50</v>
      </c>
      <c r="H16" s="838">
        <v>13.2</v>
      </c>
      <c r="I16" s="839">
        <v>28880</v>
      </c>
      <c r="J16" s="838">
        <v>31.5</v>
      </c>
      <c r="K16" s="838">
        <v>28.37</v>
      </c>
      <c r="L16" s="837" t="s">
        <v>4960</v>
      </c>
      <c r="M16" s="838">
        <v>7.87</v>
      </c>
      <c r="N16" s="838">
        <v>21.65</v>
      </c>
      <c r="O16" s="837" t="s">
        <v>6316</v>
      </c>
      <c r="P16" s="837" t="s">
        <v>5616</v>
      </c>
      <c r="Q16" s="837" t="s">
        <v>4961</v>
      </c>
      <c r="R16" s="837"/>
      <c r="S16" s="837" t="s">
        <v>4942</v>
      </c>
      <c r="T16" s="837"/>
      <c r="U16" s="837"/>
      <c r="V16" s="837"/>
      <c r="W16" s="840"/>
    </row>
    <row r="17" spans="1:23" s="160" customFormat="1">
      <c r="A17" s="1240"/>
      <c r="B17" s="836">
        <v>114</v>
      </c>
      <c r="C17" s="837">
        <v>215</v>
      </c>
      <c r="D17" s="837" t="s">
        <v>4939</v>
      </c>
      <c r="E17" s="837">
        <v>1985</v>
      </c>
      <c r="F17" s="837">
        <v>150</v>
      </c>
      <c r="G17" s="837">
        <v>35</v>
      </c>
      <c r="H17" s="838">
        <v>5</v>
      </c>
      <c r="I17" s="839">
        <v>19950</v>
      </c>
      <c r="J17" s="838">
        <v>22.5</v>
      </c>
      <c r="K17" s="838">
        <v>26</v>
      </c>
      <c r="L17" s="837" t="s">
        <v>2673</v>
      </c>
      <c r="M17" s="838">
        <v>6</v>
      </c>
      <c r="N17" s="838">
        <v>16</v>
      </c>
      <c r="O17" s="837" t="s">
        <v>6316</v>
      </c>
      <c r="P17" s="837" t="s">
        <v>5616</v>
      </c>
      <c r="Q17" s="837" t="s">
        <v>1700</v>
      </c>
      <c r="R17" s="837">
        <v>150</v>
      </c>
      <c r="S17" s="837" t="s">
        <v>4942</v>
      </c>
      <c r="T17" s="837"/>
      <c r="U17" s="837" t="s">
        <v>5272</v>
      </c>
      <c r="V17" s="837"/>
      <c r="W17" s="840"/>
    </row>
    <row r="18" spans="1:23" s="160" customFormat="1">
      <c r="A18" s="1240"/>
      <c r="B18" s="836">
        <v>119</v>
      </c>
      <c r="C18" s="837">
        <v>215</v>
      </c>
      <c r="D18" s="837" t="s">
        <v>4943</v>
      </c>
      <c r="E18" s="837">
        <v>1994</v>
      </c>
      <c r="F18" s="837">
        <v>160</v>
      </c>
      <c r="G18" s="837">
        <v>45</v>
      </c>
      <c r="H18" s="838">
        <v>11.6</v>
      </c>
      <c r="I18" s="839">
        <v>18070</v>
      </c>
      <c r="J18" s="838">
        <v>26.8</v>
      </c>
      <c r="K18" s="838">
        <v>25.6</v>
      </c>
      <c r="L18" s="837" t="s">
        <v>3725</v>
      </c>
      <c r="M18" s="838">
        <v>5.9</v>
      </c>
      <c r="N18" s="838">
        <v>15</v>
      </c>
      <c r="O18" s="837" t="s">
        <v>6316</v>
      </c>
      <c r="P18" s="837" t="s">
        <v>5616</v>
      </c>
      <c r="Q18" s="837" t="s">
        <v>5269</v>
      </c>
      <c r="R18" s="837">
        <v>300</v>
      </c>
      <c r="S18" s="837" t="s">
        <v>4942</v>
      </c>
      <c r="T18" s="837"/>
      <c r="U18" s="843" t="s">
        <v>5270</v>
      </c>
      <c r="V18" s="837"/>
      <c r="W18" s="840"/>
    </row>
    <row r="19" spans="1:23" s="160" customFormat="1">
      <c r="A19" s="1240"/>
      <c r="B19" s="1181">
        <v>200</v>
      </c>
      <c r="C19" s="837">
        <v>220</v>
      </c>
      <c r="D19" s="837" t="s">
        <v>4943</v>
      </c>
      <c r="E19" s="837">
        <v>1994</v>
      </c>
      <c r="F19" s="837">
        <v>220</v>
      </c>
      <c r="G19" s="837">
        <v>55</v>
      </c>
      <c r="H19" s="838">
        <v>14.8</v>
      </c>
      <c r="I19" s="839">
        <v>22300</v>
      </c>
      <c r="J19" s="838">
        <v>30.9</v>
      </c>
      <c r="K19" s="838">
        <v>30.1</v>
      </c>
      <c r="L19" s="837" t="s">
        <v>5271</v>
      </c>
      <c r="M19" s="838">
        <v>6</v>
      </c>
      <c r="N19" s="838">
        <v>19</v>
      </c>
      <c r="O19" s="837" t="s">
        <v>6316</v>
      </c>
      <c r="P19" s="837" t="s">
        <v>5616</v>
      </c>
      <c r="Q19" s="837" t="s">
        <v>5269</v>
      </c>
      <c r="R19" s="837">
        <v>200</v>
      </c>
      <c r="S19" s="837" t="s">
        <v>4942</v>
      </c>
      <c r="T19" s="837"/>
      <c r="U19" s="1182" t="s">
        <v>5272</v>
      </c>
      <c r="V19" s="837"/>
      <c r="W19" s="840"/>
    </row>
    <row r="20" spans="1:23" s="160" customFormat="1">
      <c r="A20" s="1240"/>
      <c r="B20" s="836">
        <v>206</v>
      </c>
      <c r="C20" s="837">
        <v>220</v>
      </c>
      <c r="D20" s="837" t="s">
        <v>3969</v>
      </c>
      <c r="E20" s="837">
        <v>1996</v>
      </c>
      <c r="F20" s="837">
        <v>250</v>
      </c>
      <c r="G20" s="837">
        <v>50</v>
      </c>
      <c r="H20" s="838">
        <v>12.7</v>
      </c>
      <c r="I20" s="839">
        <v>24708</v>
      </c>
      <c r="J20" s="838">
        <v>22.44</v>
      </c>
      <c r="K20" s="838">
        <v>22.44</v>
      </c>
      <c r="L20" s="837" t="s">
        <v>1269</v>
      </c>
      <c r="M20" s="838">
        <v>7.87</v>
      </c>
      <c r="N20" s="838">
        <v>41.73</v>
      </c>
      <c r="O20" s="837" t="s">
        <v>6316</v>
      </c>
      <c r="P20" s="837" t="s">
        <v>5616</v>
      </c>
      <c r="Q20" s="837" t="s">
        <v>2324</v>
      </c>
      <c r="R20" s="837" t="s">
        <v>2537</v>
      </c>
      <c r="S20" s="837" t="s">
        <v>2325</v>
      </c>
      <c r="T20" s="837"/>
      <c r="U20" s="841" t="s">
        <v>1270</v>
      </c>
      <c r="V20" s="837" t="s">
        <v>3373</v>
      </c>
      <c r="W20" s="840">
        <v>145238</v>
      </c>
    </row>
    <row r="21" spans="1:23" s="160" customFormat="1">
      <c r="A21" s="1240"/>
      <c r="B21" s="836">
        <v>207</v>
      </c>
      <c r="C21" s="837">
        <v>220</v>
      </c>
      <c r="D21" s="837" t="s">
        <v>3969</v>
      </c>
      <c r="E21" s="837">
        <v>1996</v>
      </c>
      <c r="F21" s="837">
        <v>200</v>
      </c>
      <c r="G21" s="837">
        <v>50</v>
      </c>
      <c r="H21" s="838">
        <v>12.7</v>
      </c>
      <c r="I21" s="839">
        <v>24708</v>
      </c>
      <c r="J21" s="838">
        <v>27.56</v>
      </c>
      <c r="K21" s="838">
        <v>27.36</v>
      </c>
      <c r="L21" s="837" t="s">
        <v>5388</v>
      </c>
      <c r="M21" s="838">
        <v>5.91</v>
      </c>
      <c r="N21" s="838">
        <v>40.159999999999997</v>
      </c>
      <c r="O21" s="837" t="s">
        <v>6316</v>
      </c>
      <c r="P21" s="837" t="s">
        <v>5616</v>
      </c>
      <c r="Q21" s="837" t="s">
        <v>2324</v>
      </c>
      <c r="R21" s="837" t="s">
        <v>2537</v>
      </c>
      <c r="S21" s="837" t="s">
        <v>5389</v>
      </c>
      <c r="T21" s="837" t="s">
        <v>5390</v>
      </c>
      <c r="U21" s="837" t="s">
        <v>4767</v>
      </c>
      <c r="V21" s="837" t="s">
        <v>3452</v>
      </c>
      <c r="W21" s="840">
        <v>145183</v>
      </c>
    </row>
    <row r="22" spans="1:23" s="160" customFormat="1" ht="12.75" customHeight="1">
      <c r="A22" s="1240"/>
      <c r="B22" s="836">
        <v>301</v>
      </c>
      <c r="C22" s="837">
        <v>220</v>
      </c>
      <c r="D22" s="837" t="s">
        <v>4939</v>
      </c>
      <c r="E22" s="837">
        <v>1973</v>
      </c>
      <c r="F22" s="837">
        <v>300</v>
      </c>
      <c r="G22" s="837">
        <v>50</v>
      </c>
      <c r="H22" s="838">
        <v>12.7</v>
      </c>
      <c r="I22" s="839">
        <v>20000</v>
      </c>
      <c r="J22" s="838">
        <v>39</v>
      </c>
      <c r="K22" s="838">
        <v>36.5</v>
      </c>
      <c r="L22" s="837" t="s">
        <v>4768</v>
      </c>
      <c r="M22" s="838">
        <v>8.3000000000000007</v>
      </c>
      <c r="N22" s="838">
        <v>46</v>
      </c>
      <c r="O22" s="837" t="s">
        <v>6316</v>
      </c>
      <c r="P22" s="837" t="s">
        <v>5616</v>
      </c>
      <c r="Q22" s="837" t="s">
        <v>4769</v>
      </c>
      <c r="R22" s="837" t="s">
        <v>2537</v>
      </c>
      <c r="S22" s="837" t="s">
        <v>4942</v>
      </c>
      <c r="T22" s="837"/>
      <c r="U22" s="837"/>
      <c r="V22" s="837"/>
      <c r="W22" s="840"/>
    </row>
    <row r="23" spans="1:23" s="160" customFormat="1">
      <c r="A23" s="1240"/>
      <c r="B23" s="842">
        <v>302</v>
      </c>
      <c r="C23" s="843">
        <v>220</v>
      </c>
      <c r="D23" s="844" t="s">
        <v>5329</v>
      </c>
      <c r="E23" s="843">
        <v>1999</v>
      </c>
      <c r="F23" s="837">
        <v>386</v>
      </c>
      <c r="G23" s="837">
        <v>70</v>
      </c>
      <c r="H23" s="838">
        <v>33.6</v>
      </c>
      <c r="I23" s="839">
        <v>25781</v>
      </c>
      <c r="J23" s="838">
        <v>43.34</v>
      </c>
      <c r="K23" s="838">
        <v>44.13</v>
      </c>
      <c r="L23" s="837" t="s">
        <v>4770</v>
      </c>
      <c r="M23" s="838">
        <v>14.97</v>
      </c>
      <c r="N23" s="838">
        <v>51.2</v>
      </c>
      <c r="O23" s="837" t="s">
        <v>6316</v>
      </c>
      <c r="P23" s="837" t="s">
        <v>4771</v>
      </c>
      <c r="Q23" s="837" t="s">
        <v>2270</v>
      </c>
      <c r="R23" s="837">
        <v>200</v>
      </c>
      <c r="S23" s="837" t="s">
        <v>4942</v>
      </c>
      <c r="T23" s="837" t="s">
        <v>6051</v>
      </c>
      <c r="U23" s="837" t="s">
        <v>6051</v>
      </c>
      <c r="V23" s="845" t="s">
        <v>71</v>
      </c>
      <c r="W23" s="846"/>
    </row>
    <row r="24" spans="1:23" s="852" customFormat="1" ht="11.25" customHeight="1" thickBot="1">
      <c r="A24" s="1241"/>
      <c r="B24" s="847">
        <v>401</v>
      </c>
      <c r="C24" s="848">
        <v>225</v>
      </c>
      <c r="D24" s="848" t="s">
        <v>3969</v>
      </c>
      <c r="E24" s="848">
        <v>1997</v>
      </c>
      <c r="F24" s="848">
        <v>400</v>
      </c>
      <c r="G24" s="848">
        <v>55</v>
      </c>
      <c r="H24" s="849">
        <v>28.4</v>
      </c>
      <c r="I24" s="850">
        <v>30000</v>
      </c>
      <c r="J24" s="849">
        <v>43.78</v>
      </c>
      <c r="K24" s="849">
        <v>43.39</v>
      </c>
      <c r="L24" s="848" t="s">
        <v>2271</v>
      </c>
      <c r="M24" s="849">
        <v>14.51</v>
      </c>
      <c r="N24" s="849">
        <v>61.5</v>
      </c>
      <c r="O24" s="848" t="s">
        <v>6316</v>
      </c>
      <c r="P24" s="848" t="s">
        <v>5616</v>
      </c>
      <c r="Q24" s="848" t="s">
        <v>2324</v>
      </c>
      <c r="R24" s="848" t="s">
        <v>2537</v>
      </c>
      <c r="S24" s="848" t="s">
        <v>2325</v>
      </c>
      <c r="T24" s="848" t="s">
        <v>5273</v>
      </c>
      <c r="U24" s="848"/>
      <c r="V24" s="848" t="s">
        <v>2272</v>
      </c>
      <c r="W24" s="851">
        <v>262181</v>
      </c>
    </row>
    <row r="25" spans="1:23">
      <c r="A25" s="1242" t="s">
        <v>5274</v>
      </c>
      <c r="B25" s="853">
        <v>20</v>
      </c>
      <c r="C25" s="854">
        <v>210</v>
      </c>
      <c r="D25" s="854" t="s">
        <v>1576</v>
      </c>
      <c r="E25" s="854">
        <v>2001</v>
      </c>
      <c r="F25" s="832">
        <v>80</v>
      </c>
      <c r="G25" s="832">
        <v>28</v>
      </c>
      <c r="H25" s="833">
        <v>3.76</v>
      </c>
      <c r="I25" s="834">
        <v>18156</v>
      </c>
      <c r="J25" s="833">
        <v>12</v>
      </c>
      <c r="K25" s="833">
        <v>18</v>
      </c>
      <c r="L25" s="832" t="s">
        <v>5070</v>
      </c>
      <c r="M25" s="833">
        <v>7.5</v>
      </c>
      <c r="N25" s="833">
        <v>22</v>
      </c>
      <c r="O25" s="832" t="s">
        <v>5225</v>
      </c>
      <c r="P25" s="832" t="s">
        <v>2323</v>
      </c>
      <c r="Q25" s="832" t="s">
        <v>6291</v>
      </c>
      <c r="R25" s="832">
        <v>100</v>
      </c>
      <c r="S25" s="832" t="s">
        <v>4942</v>
      </c>
      <c r="T25" s="832" t="s">
        <v>6051</v>
      </c>
      <c r="U25" s="832" t="s">
        <v>6051</v>
      </c>
      <c r="V25" s="832" t="s">
        <v>2676</v>
      </c>
      <c r="W25" s="835"/>
    </row>
    <row r="26" spans="1:23">
      <c r="A26" s="1243"/>
      <c r="B26" s="842">
        <v>22</v>
      </c>
      <c r="C26" s="843">
        <v>210</v>
      </c>
      <c r="D26" s="837" t="s">
        <v>3969</v>
      </c>
      <c r="E26" s="843">
        <v>2002</v>
      </c>
      <c r="F26" s="843">
        <v>85</v>
      </c>
      <c r="G26" s="843">
        <v>30</v>
      </c>
      <c r="H26" s="843">
        <v>3.2</v>
      </c>
      <c r="I26" s="855">
        <v>30000</v>
      </c>
      <c r="J26" s="843">
        <v>21.65</v>
      </c>
      <c r="K26" s="843">
        <v>13.23</v>
      </c>
      <c r="L26" s="843" t="s">
        <v>5070</v>
      </c>
      <c r="M26" s="843">
        <v>11.02</v>
      </c>
      <c r="N26" s="843">
        <v>22.83</v>
      </c>
      <c r="O26" s="843" t="s">
        <v>5225</v>
      </c>
      <c r="P26" s="843" t="s">
        <v>2323</v>
      </c>
      <c r="Q26" s="843" t="s">
        <v>5275</v>
      </c>
      <c r="R26" s="843">
        <v>100</v>
      </c>
      <c r="S26" s="843" t="s">
        <v>2325</v>
      </c>
      <c r="T26" s="843"/>
      <c r="U26" s="843"/>
      <c r="V26" s="843"/>
      <c r="W26" s="856"/>
    </row>
    <row r="27" spans="1:23" s="852" customFormat="1">
      <c r="A27" s="1243"/>
      <c r="B27" s="836">
        <v>110</v>
      </c>
      <c r="C27" s="857">
        <v>215</v>
      </c>
      <c r="D27" s="837" t="s">
        <v>3969</v>
      </c>
      <c r="E27" s="837">
        <v>2000</v>
      </c>
      <c r="F27" s="837">
        <v>150</v>
      </c>
      <c r="G27" s="837">
        <v>60</v>
      </c>
      <c r="H27" s="838">
        <v>18.399999999999999</v>
      </c>
      <c r="I27" s="839">
        <v>20509</v>
      </c>
      <c r="J27" s="838">
        <v>31.89</v>
      </c>
      <c r="K27" s="838">
        <v>17.72</v>
      </c>
      <c r="L27" s="837" t="s">
        <v>5070</v>
      </c>
      <c r="M27" s="838">
        <v>10.75</v>
      </c>
      <c r="N27" s="838">
        <v>26.5</v>
      </c>
      <c r="O27" s="837" t="s">
        <v>5225</v>
      </c>
      <c r="P27" s="837" t="s">
        <v>2323</v>
      </c>
      <c r="Q27" s="837" t="s">
        <v>3371</v>
      </c>
      <c r="R27" s="837" t="s">
        <v>3372</v>
      </c>
      <c r="S27" s="837" t="s">
        <v>4942</v>
      </c>
      <c r="T27" s="837"/>
      <c r="U27" s="837"/>
      <c r="V27" s="837" t="s">
        <v>3373</v>
      </c>
      <c r="W27" s="840">
        <v>209820</v>
      </c>
    </row>
    <row r="28" spans="1:23" s="160" customFormat="1">
      <c r="A28" s="1243"/>
      <c r="B28" s="836">
        <v>111</v>
      </c>
      <c r="C28" s="837">
        <v>215</v>
      </c>
      <c r="D28" s="837" t="s">
        <v>3969</v>
      </c>
      <c r="E28" s="837">
        <v>2000</v>
      </c>
      <c r="F28" s="837">
        <v>150</v>
      </c>
      <c r="G28" s="837">
        <v>60</v>
      </c>
      <c r="H28" s="838">
        <v>18.399999999999999</v>
      </c>
      <c r="I28" s="839">
        <v>20509</v>
      </c>
      <c r="J28" s="838">
        <v>31.89</v>
      </c>
      <c r="K28" s="838">
        <v>17.72</v>
      </c>
      <c r="L28" s="837" t="s">
        <v>5070</v>
      </c>
      <c r="M28" s="838">
        <v>10.75</v>
      </c>
      <c r="N28" s="838">
        <v>26.5</v>
      </c>
      <c r="O28" s="837" t="s">
        <v>5225</v>
      </c>
      <c r="P28" s="837" t="s">
        <v>2323</v>
      </c>
      <c r="Q28" s="837" t="s">
        <v>3371</v>
      </c>
      <c r="R28" s="837" t="s">
        <v>3372</v>
      </c>
      <c r="S28" s="837" t="s">
        <v>4942</v>
      </c>
      <c r="T28" s="837"/>
      <c r="U28" s="837"/>
      <c r="V28" s="837" t="s">
        <v>3373</v>
      </c>
      <c r="W28" s="840">
        <v>209820</v>
      </c>
    </row>
    <row r="29" spans="1:23" s="160" customFormat="1">
      <c r="A29" s="1243"/>
      <c r="B29" s="836">
        <v>112</v>
      </c>
      <c r="C29" s="837">
        <v>215</v>
      </c>
      <c r="D29" s="837" t="s">
        <v>3969</v>
      </c>
      <c r="E29" s="837">
        <v>2000</v>
      </c>
      <c r="F29" s="837">
        <v>150</v>
      </c>
      <c r="G29" s="837">
        <v>40</v>
      </c>
      <c r="H29" s="838">
        <v>8.1999999999999993</v>
      </c>
      <c r="I29" s="839">
        <v>30000</v>
      </c>
      <c r="J29" s="838">
        <v>31.89</v>
      </c>
      <c r="K29" s="838">
        <v>17.72</v>
      </c>
      <c r="L29" s="837" t="s">
        <v>5070</v>
      </c>
      <c r="M29" s="838">
        <v>10.75</v>
      </c>
      <c r="N29" s="838">
        <v>26.5</v>
      </c>
      <c r="O29" s="837" t="s">
        <v>5225</v>
      </c>
      <c r="P29" s="837" t="s">
        <v>2323</v>
      </c>
      <c r="Q29" s="837" t="s">
        <v>3371</v>
      </c>
      <c r="R29" s="837" t="s">
        <v>4958</v>
      </c>
      <c r="S29" s="837" t="s">
        <v>4959</v>
      </c>
      <c r="T29" s="837"/>
      <c r="U29" s="837"/>
      <c r="V29" s="837"/>
      <c r="W29" s="840">
        <v>201924</v>
      </c>
    </row>
    <row r="30" spans="1:23" s="160" customFormat="1" ht="12.75" customHeight="1">
      <c r="A30" s="1243"/>
      <c r="B30" s="836">
        <v>115</v>
      </c>
      <c r="C30" s="837">
        <v>215</v>
      </c>
      <c r="D30" s="837" t="s">
        <v>1576</v>
      </c>
      <c r="E30" s="837">
        <v>1995</v>
      </c>
      <c r="F30" s="837">
        <v>150</v>
      </c>
      <c r="G30" s="837">
        <v>45</v>
      </c>
      <c r="H30" s="838">
        <v>9.93</v>
      </c>
      <c r="I30" s="839">
        <v>25306</v>
      </c>
      <c r="J30" s="838">
        <v>16</v>
      </c>
      <c r="K30" s="838">
        <v>20</v>
      </c>
      <c r="L30" s="837" t="s">
        <v>6293</v>
      </c>
      <c r="M30" s="838">
        <v>9</v>
      </c>
      <c r="N30" s="838">
        <v>14.5</v>
      </c>
      <c r="O30" s="837" t="s">
        <v>2715</v>
      </c>
      <c r="P30" s="837" t="s">
        <v>2323</v>
      </c>
      <c r="Q30" s="837" t="s">
        <v>5276</v>
      </c>
      <c r="R30" s="837"/>
      <c r="S30" s="837"/>
      <c r="T30" s="837"/>
      <c r="U30" s="837"/>
      <c r="V30" s="837"/>
      <c r="W30" s="840"/>
    </row>
    <row r="31" spans="1:23" s="160" customFormat="1">
      <c r="A31" s="1243"/>
      <c r="B31" s="858">
        <v>121</v>
      </c>
      <c r="C31" s="859">
        <v>215</v>
      </c>
      <c r="D31" s="859" t="s">
        <v>3897</v>
      </c>
      <c r="E31" s="859">
        <v>1981</v>
      </c>
      <c r="F31" s="859">
        <v>150</v>
      </c>
      <c r="G31" s="859">
        <v>1.75</v>
      </c>
      <c r="H31" s="860">
        <v>9.1</v>
      </c>
      <c r="I31" s="861">
        <v>21000</v>
      </c>
      <c r="J31" s="860">
        <v>24</v>
      </c>
      <c r="K31" s="860">
        <v>24</v>
      </c>
      <c r="L31" s="859" t="s">
        <v>6293</v>
      </c>
      <c r="M31" s="860">
        <v>8</v>
      </c>
      <c r="N31" s="860">
        <v>17</v>
      </c>
      <c r="O31" s="859" t="s">
        <v>5225</v>
      </c>
      <c r="P31" s="859" t="s">
        <v>5616</v>
      </c>
      <c r="Q31" s="859" t="s">
        <v>5277</v>
      </c>
      <c r="R31" s="859" t="s">
        <v>3451</v>
      </c>
      <c r="S31" s="859" t="s">
        <v>2325</v>
      </c>
      <c r="T31" s="859"/>
      <c r="U31" s="859"/>
      <c r="V31" s="859"/>
      <c r="W31" s="846"/>
    </row>
    <row r="32" spans="1:23" s="160" customFormat="1" ht="11.25" customHeight="1" thickBot="1">
      <c r="A32" s="1244"/>
      <c r="B32" s="847">
        <v>122</v>
      </c>
      <c r="C32" s="848">
        <v>215</v>
      </c>
      <c r="D32" s="848" t="s">
        <v>3969</v>
      </c>
      <c r="E32" s="848">
        <v>2001</v>
      </c>
      <c r="F32" s="848">
        <v>125</v>
      </c>
      <c r="G32" s="848">
        <v>45</v>
      </c>
      <c r="H32" s="849">
        <v>8.3000000000000007</v>
      </c>
      <c r="I32" s="850">
        <v>21765</v>
      </c>
      <c r="J32" s="849"/>
      <c r="K32" s="849"/>
      <c r="L32" s="848" t="s">
        <v>5070</v>
      </c>
      <c r="M32" s="849"/>
      <c r="N32" s="849"/>
      <c r="O32" s="848"/>
      <c r="P32" s="848" t="s">
        <v>2323</v>
      </c>
      <c r="Q32" s="848" t="s">
        <v>5275</v>
      </c>
      <c r="R32" s="848">
        <v>60</v>
      </c>
      <c r="S32" s="848" t="s">
        <v>2325</v>
      </c>
      <c r="T32" s="848"/>
      <c r="U32" s="848"/>
      <c r="V32" s="848"/>
      <c r="W32" s="851"/>
    </row>
    <row r="33" spans="1:23" s="160" customFormat="1">
      <c r="A33" s="1239" t="s">
        <v>5278</v>
      </c>
      <c r="B33" s="831">
        <v>15</v>
      </c>
      <c r="C33" s="832">
        <v>110</v>
      </c>
      <c r="D33" s="832" t="s">
        <v>3969</v>
      </c>
      <c r="E33" s="832">
        <v>1996</v>
      </c>
      <c r="F33" s="832">
        <v>85</v>
      </c>
      <c r="G33" s="832">
        <v>30</v>
      </c>
      <c r="H33" s="832">
        <v>5</v>
      </c>
      <c r="I33" s="834">
        <v>30000</v>
      </c>
      <c r="J33" s="832">
        <v>22.44</v>
      </c>
      <c r="K33" s="832">
        <v>21.7</v>
      </c>
      <c r="L33" s="832" t="s">
        <v>2880</v>
      </c>
      <c r="M33" s="832">
        <v>5.91</v>
      </c>
      <c r="N33" s="832">
        <v>29.13</v>
      </c>
      <c r="O33" s="832" t="s">
        <v>6316</v>
      </c>
      <c r="P33" s="832" t="s">
        <v>5616</v>
      </c>
      <c r="Q33" s="832" t="s">
        <v>1021</v>
      </c>
      <c r="R33" s="832" t="s">
        <v>1494</v>
      </c>
      <c r="S33" s="832"/>
      <c r="T33" s="832"/>
      <c r="U33" s="832"/>
      <c r="V33" s="832"/>
      <c r="W33" s="835">
        <v>97463</v>
      </c>
    </row>
    <row r="34" spans="1:23">
      <c r="A34" s="1240"/>
      <c r="B34" s="836">
        <v>102</v>
      </c>
      <c r="C34" s="837">
        <v>115</v>
      </c>
      <c r="D34" s="837" t="s">
        <v>3969</v>
      </c>
      <c r="E34" s="837">
        <v>1996</v>
      </c>
      <c r="F34" s="837">
        <v>150</v>
      </c>
      <c r="G34" s="837">
        <v>45</v>
      </c>
      <c r="H34" s="837">
        <v>8.3000000000000007</v>
      </c>
      <c r="I34" s="839">
        <v>27173</v>
      </c>
      <c r="J34" s="837">
        <v>28.35</v>
      </c>
      <c r="K34" s="837">
        <v>25.2</v>
      </c>
      <c r="L34" s="837" t="s">
        <v>4910</v>
      </c>
      <c r="M34" s="837">
        <v>5.91</v>
      </c>
      <c r="N34" s="837">
        <v>37.01</v>
      </c>
      <c r="O34" s="837" t="s">
        <v>6316</v>
      </c>
      <c r="P34" s="837" t="s">
        <v>5616</v>
      </c>
      <c r="Q34" s="837" t="s">
        <v>1021</v>
      </c>
      <c r="R34" s="837" t="s">
        <v>1494</v>
      </c>
      <c r="S34" s="837"/>
      <c r="T34" s="837"/>
      <c r="U34" s="837"/>
      <c r="V34" s="837"/>
      <c r="W34" s="840">
        <v>115278</v>
      </c>
    </row>
    <row r="35" spans="1:23" s="160" customFormat="1">
      <c r="A35" s="1240"/>
      <c r="B35" s="836">
        <v>103</v>
      </c>
      <c r="C35" s="837">
        <v>115</v>
      </c>
      <c r="D35" s="837" t="s">
        <v>3969</v>
      </c>
      <c r="E35" s="837">
        <v>1996</v>
      </c>
      <c r="F35" s="837">
        <v>100</v>
      </c>
      <c r="G35" s="837">
        <v>35</v>
      </c>
      <c r="H35" s="837">
        <v>5</v>
      </c>
      <c r="I35" s="839">
        <v>27173</v>
      </c>
      <c r="J35" s="837">
        <v>23.25</v>
      </c>
      <c r="K35" s="837">
        <v>23</v>
      </c>
      <c r="L35" s="837" t="s">
        <v>4911</v>
      </c>
      <c r="M35" s="837">
        <v>5.91</v>
      </c>
      <c r="N35" s="837">
        <v>33.07</v>
      </c>
      <c r="O35" s="837" t="s">
        <v>6316</v>
      </c>
      <c r="P35" s="837" t="s">
        <v>5616</v>
      </c>
      <c r="Q35" s="837" t="s">
        <v>1021</v>
      </c>
      <c r="R35" s="837" t="s">
        <v>1494</v>
      </c>
      <c r="S35" s="837"/>
      <c r="T35" s="837"/>
      <c r="U35" s="837"/>
      <c r="V35" s="837"/>
      <c r="W35" s="840">
        <v>104047</v>
      </c>
    </row>
    <row r="36" spans="1:23" s="160" customFormat="1">
      <c r="A36" s="1240"/>
      <c r="B36" s="836">
        <v>116</v>
      </c>
      <c r="C36" s="837">
        <v>115</v>
      </c>
      <c r="D36" s="837" t="s">
        <v>3969</v>
      </c>
      <c r="E36" s="837">
        <v>1996</v>
      </c>
      <c r="F36" s="837">
        <v>100</v>
      </c>
      <c r="G36" s="837">
        <v>45</v>
      </c>
      <c r="H36" s="837">
        <v>8.3000000000000007</v>
      </c>
      <c r="I36" s="839">
        <v>21765</v>
      </c>
      <c r="J36" s="837">
        <v>22.68</v>
      </c>
      <c r="K36" s="837">
        <v>22.68</v>
      </c>
      <c r="L36" s="837" t="s">
        <v>5279</v>
      </c>
      <c r="M36" s="837">
        <v>5.91</v>
      </c>
      <c r="N36" s="837">
        <v>20.87</v>
      </c>
      <c r="O36" s="837" t="s">
        <v>6316</v>
      </c>
      <c r="P36" s="837" t="s">
        <v>5616</v>
      </c>
      <c r="Q36" s="837" t="s">
        <v>5280</v>
      </c>
      <c r="R36" s="837"/>
      <c r="S36" s="837"/>
      <c r="T36" s="837"/>
      <c r="U36" s="837"/>
      <c r="V36" s="837"/>
      <c r="W36" s="840"/>
    </row>
    <row r="37" spans="1:23" s="160" customFormat="1">
      <c r="A37" s="1240"/>
      <c r="B37" s="836">
        <v>117</v>
      </c>
      <c r="C37" s="837">
        <v>115</v>
      </c>
      <c r="D37" s="837" t="s">
        <v>3969</v>
      </c>
      <c r="E37" s="837">
        <v>1996</v>
      </c>
      <c r="F37" s="837">
        <v>100</v>
      </c>
      <c r="G37" s="837">
        <v>45</v>
      </c>
      <c r="H37" s="837">
        <v>8.3000000000000007</v>
      </c>
      <c r="I37" s="839">
        <v>21765</v>
      </c>
      <c r="J37" s="837">
        <v>22.68</v>
      </c>
      <c r="K37" s="837">
        <v>22.68</v>
      </c>
      <c r="L37" s="837" t="s">
        <v>5279</v>
      </c>
      <c r="M37" s="837">
        <v>5.91</v>
      </c>
      <c r="N37" s="837">
        <v>20.87</v>
      </c>
      <c r="O37" s="837" t="s">
        <v>6316</v>
      </c>
      <c r="P37" s="837" t="s">
        <v>5616</v>
      </c>
      <c r="Q37" s="837" t="s">
        <v>5280</v>
      </c>
      <c r="R37" s="837"/>
      <c r="S37" s="837"/>
      <c r="T37" s="837"/>
      <c r="U37" s="837"/>
      <c r="V37" s="837"/>
      <c r="W37" s="840"/>
    </row>
    <row r="38" spans="1:23" s="160" customFormat="1">
      <c r="A38" s="1240"/>
      <c r="B38" s="836">
        <v>205</v>
      </c>
      <c r="C38" s="837">
        <v>120</v>
      </c>
      <c r="D38" s="837" t="s">
        <v>3969</v>
      </c>
      <c r="E38" s="837">
        <v>1996</v>
      </c>
      <c r="F38" s="837">
        <v>250</v>
      </c>
      <c r="G38" s="837">
        <v>50</v>
      </c>
      <c r="H38" s="837">
        <v>12.7</v>
      </c>
      <c r="I38" s="839">
        <v>24708</v>
      </c>
      <c r="J38" s="837">
        <v>32.68</v>
      </c>
      <c r="K38" s="837">
        <v>32.68</v>
      </c>
      <c r="L38" s="837" t="s">
        <v>2870</v>
      </c>
      <c r="M38" s="837">
        <v>7.87</v>
      </c>
      <c r="N38" s="837">
        <v>41.73</v>
      </c>
      <c r="O38" s="837" t="s">
        <v>6316</v>
      </c>
      <c r="P38" s="837" t="s">
        <v>5616</v>
      </c>
      <c r="Q38" s="837" t="s">
        <v>1021</v>
      </c>
      <c r="R38" s="837" t="s">
        <v>1494</v>
      </c>
      <c r="S38" s="837"/>
      <c r="T38" s="837" t="s">
        <v>2871</v>
      </c>
      <c r="U38" s="837"/>
      <c r="V38" s="837"/>
      <c r="W38" s="840">
        <v>142917</v>
      </c>
    </row>
    <row r="39" spans="1:23" ht="13.5" thickBot="1">
      <c r="A39" s="1241"/>
      <c r="B39" s="847">
        <v>305</v>
      </c>
      <c r="C39" s="848">
        <v>120</v>
      </c>
      <c r="D39" s="848" t="s">
        <v>3969</v>
      </c>
      <c r="E39" s="848">
        <v>1997</v>
      </c>
      <c r="F39" s="848">
        <v>300</v>
      </c>
      <c r="G39" s="848">
        <v>60</v>
      </c>
      <c r="H39" s="848">
        <v>24.8</v>
      </c>
      <c r="I39" s="850">
        <v>28780</v>
      </c>
      <c r="J39" s="848">
        <v>35.67</v>
      </c>
      <c r="K39" s="848">
        <v>35.869999999999997</v>
      </c>
      <c r="L39" s="848" t="s">
        <v>5281</v>
      </c>
      <c r="M39" s="848">
        <v>7.87</v>
      </c>
      <c r="N39" s="848">
        <v>25.98</v>
      </c>
      <c r="O39" s="848" t="s">
        <v>6316</v>
      </c>
      <c r="P39" s="848" t="s">
        <v>5616</v>
      </c>
      <c r="Q39" s="848" t="s">
        <v>5280</v>
      </c>
      <c r="R39" s="848"/>
      <c r="S39" s="848"/>
      <c r="T39" s="848"/>
      <c r="U39" s="848"/>
      <c r="V39" s="848"/>
      <c r="W39" s="851"/>
    </row>
    <row r="40" spans="1:23" s="160" customFormat="1" ht="12.75" customHeight="1">
      <c r="A40" s="1239" t="s">
        <v>5282</v>
      </c>
      <c r="B40" s="836">
        <v>212</v>
      </c>
      <c r="C40" s="837"/>
      <c r="D40" s="837" t="s">
        <v>6295</v>
      </c>
      <c r="E40" s="837">
        <v>1988</v>
      </c>
      <c r="F40" s="837">
        <v>220</v>
      </c>
      <c r="G40" s="837" t="s">
        <v>6296</v>
      </c>
      <c r="H40" s="837">
        <v>8</v>
      </c>
      <c r="I40" s="839">
        <v>20000</v>
      </c>
      <c r="J40" s="837">
        <v>32.5</v>
      </c>
      <c r="K40" s="837">
        <v>32.700000000000003</v>
      </c>
      <c r="L40" s="837" t="s">
        <v>5283</v>
      </c>
      <c r="M40" s="837">
        <v>12.5</v>
      </c>
      <c r="N40" s="837">
        <v>29</v>
      </c>
      <c r="O40" s="837" t="s">
        <v>5225</v>
      </c>
      <c r="P40" s="837" t="s">
        <v>2323</v>
      </c>
      <c r="Q40" s="837" t="s">
        <v>5284</v>
      </c>
      <c r="R40" s="837"/>
      <c r="S40" s="837" t="s">
        <v>5285</v>
      </c>
      <c r="T40" s="837"/>
      <c r="U40" s="837"/>
      <c r="V40" s="837"/>
      <c r="W40" s="840"/>
    </row>
    <row r="41" spans="1:23" s="160" customFormat="1">
      <c r="A41" s="1240"/>
      <c r="B41" s="836">
        <v>211</v>
      </c>
      <c r="C41" s="837"/>
      <c r="D41" s="862" t="s">
        <v>5329</v>
      </c>
      <c r="E41" s="837">
        <v>1997</v>
      </c>
      <c r="F41" s="837">
        <v>275</v>
      </c>
      <c r="G41" s="837">
        <v>75</v>
      </c>
      <c r="H41" s="837">
        <v>61</v>
      </c>
      <c r="I41" s="839" t="s">
        <v>219</v>
      </c>
      <c r="J41" s="837">
        <v>35.43</v>
      </c>
      <c r="K41" s="837">
        <v>25.77</v>
      </c>
      <c r="L41" s="837" t="s">
        <v>220</v>
      </c>
      <c r="M41" s="837">
        <v>11.81</v>
      </c>
      <c r="N41" s="837">
        <v>26.56</v>
      </c>
      <c r="O41" s="837" t="s">
        <v>6316</v>
      </c>
      <c r="P41" s="837" t="s">
        <v>2323</v>
      </c>
      <c r="Q41" s="837" t="s">
        <v>2270</v>
      </c>
      <c r="R41" s="837"/>
      <c r="S41" s="837" t="s">
        <v>5285</v>
      </c>
      <c r="T41" s="837"/>
      <c r="U41" s="837"/>
      <c r="V41" s="837"/>
      <c r="W41" s="840"/>
    </row>
    <row r="42" spans="1:23" s="160" customFormat="1" ht="12" customHeight="1" thickBot="1">
      <c r="A42" s="1241"/>
      <c r="B42" s="858">
        <v>304</v>
      </c>
      <c r="C42" s="859"/>
      <c r="D42" s="859" t="s">
        <v>1825</v>
      </c>
      <c r="E42" s="859">
        <v>1996</v>
      </c>
      <c r="F42" s="859">
        <v>265</v>
      </c>
      <c r="G42" s="859">
        <v>60</v>
      </c>
      <c r="H42" s="859">
        <v>26</v>
      </c>
      <c r="I42" s="861">
        <v>30900</v>
      </c>
      <c r="J42" s="859"/>
      <c r="K42" s="859"/>
      <c r="L42" s="859" t="s">
        <v>221</v>
      </c>
      <c r="M42" s="859">
        <v>17.72</v>
      </c>
      <c r="N42" s="859">
        <v>45.27</v>
      </c>
      <c r="O42" s="859" t="s">
        <v>6316</v>
      </c>
      <c r="P42" s="859" t="s">
        <v>2323</v>
      </c>
      <c r="Q42" s="859"/>
      <c r="R42" s="859"/>
      <c r="S42" s="859" t="s">
        <v>5285</v>
      </c>
      <c r="T42" s="859"/>
      <c r="U42" s="859"/>
      <c r="V42" s="859"/>
      <c r="W42" s="846"/>
    </row>
    <row r="43" spans="1:23" s="160" customFormat="1">
      <c r="A43" s="1239" t="s">
        <v>222</v>
      </c>
      <c r="B43" s="831">
        <v>18</v>
      </c>
      <c r="C43" s="832">
        <v>100</v>
      </c>
      <c r="D43" s="832" t="s">
        <v>3897</v>
      </c>
      <c r="E43" s="832">
        <v>1985</v>
      </c>
      <c r="F43" s="832">
        <v>100</v>
      </c>
      <c r="G43" s="832" t="s">
        <v>3898</v>
      </c>
      <c r="H43" s="832">
        <v>7.5</v>
      </c>
      <c r="I43" s="834">
        <v>15000</v>
      </c>
      <c r="J43" s="832">
        <v>11.5</v>
      </c>
      <c r="K43" s="832">
        <v>9.5</v>
      </c>
      <c r="L43" s="832" t="s">
        <v>863</v>
      </c>
      <c r="M43" s="832"/>
      <c r="N43" s="832"/>
      <c r="O43" s="832" t="s">
        <v>864</v>
      </c>
      <c r="P43" s="832" t="s">
        <v>2323</v>
      </c>
      <c r="Q43" s="832" t="s">
        <v>334</v>
      </c>
      <c r="R43" s="832" t="s">
        <v>3451</v>
      </c>
      <c r="S43" s="832" t="s">
        <v>5389</v>
      </c>
      <c r="T43" s="832"/>
      <c r="U43" s="832" t="s">
        <v>1491</v>
      </c>
      <c r="V43" s="832" t="s">
        <v>1492</v>
      </c>
      <c r="W43" s="863"/>
    </row>
    <row r="44" spans="1:23" s="160" customFormat="1">
      <c r="A44" s="1240"/>
      <c r="B44" s="836">
        <v>120</v>
      </c>
      <c r="C44" s="837">
        <v>100</v>
      </c>
      <c r="D44" s="837" t="s">
        <v>6294</v>
      </c>
      <c r="E44" s="837">
        <v>1985</v>
      </c>
      <c r="F44" s="837">
        <v>100</v>
      </c>
      <c r="G44" s="837" t="s">
        <v>1494</v>
      </c>
      <c r="H44" s="837"/>
      <c r="I44" s="839"/>
      <c r="J44" s="837"/>
      <c r="K44" s="837"/>
      <c r="L44" s="837"/>
      <c r="M44" s="837"/>
      <c r="N44" s="837"/>
      <c r="O44" s="837"/>
      <c r="P44" s="837" t="s">
        <v>2323</v>
      </c>
      <c r="Q44" s="837"/>
      <c r="R44" s="837"/>
      <c r="S44" s="837"/>
      <c r="T44" s="837"/>
      <c r="U44" s="837"/>
      <c r="V44" s="837"/>
      <c r="W44" s="845"/>
    </row>
    <row r="45" spans="1:23" s="160" customFormat="1">
      <c r="A45" s="1240"/>
      <c r="B45" s="836">
        <v>208</v>
      </c>
      <c r="C45" s="837">
        <v>200</v>
      </c>
      <c r="D45" s="837" t="s">
        <v>1493</v>
      </c>
      <c r="E45" s="837">
        <v>1969</v>
      </c>
      <c r="F45" s="837">
        <v>200</v>
      </c>
      <c r="G45" s="837" t="s">
        <v>1494</v>
      </c>
      <c r="H45" s="837"/>
      <c r="I45" s="839"/>
      <c r="J45" s="837"/>
      <c r="K45" s="837"/>
      <c r="L45" s="837"/>
      <c r="M45" s="837"/>
      <c r="N45" s="837"/>
      <c r="O45" s="837"/>
      <c r="P45" s="837" t="s">
        <v>223</v>
      </c>
      <c r="Q45" s="837" t="s">
        <v>334</v>
      </c>
      <c r="R45" s="837" t="s">
        <v>1494</v>
      </c>
      <c r="S45" s="837" t="s">
        <v>1494</v>
      </c>
      <c r="T45" s="837" t="s">
        <v>1494</v>
      </c>
      <c r="U45" s="837" t="s">
        <v>1494</v>
      </c>
      <c r="V45" s="837" t="s">
        <v>1494</v>
      </c>
      <c r="W45" s="845"/>
    </row>
    <row r="46" spans="1:23" s="160" customFormat="1" ht="12" customHeight="1" thickBot="1">
      <c r="A46" s="1241"/>
      <c r="B46" s="847">
        <v>209</v>
      </c>
      <c r="C46" s="848">
        <v>200</v>
      </c>
      <c r="D46" s="848" t="s">
        <v>1493</v>
      </c>
      <c r="E46" s="848">
        <v>1969</v>
      </c>
      <c r="F46" s="848">
        <v>200</v>
      </c>
      <c r="G46" s="848" t="s">
        <v>1494</v>
      </c>
      <c r="H46" s="848"/>
      <c r="I46" s="850"/>
      <c r="J46" s="848"/>
      <c r="K46" s="848"/>
      <c r="L46" s="848"/>
      <c r="M46" s="848"/>
      <c r="N46" s="848"/>
      <c r="O46" s="848"/>
      <c r="P46" s="848" t="s">
        <v>223</v>
      </c>
      <c r="Q46" s="848" t="s">
        <v>1495</v>
      </c>
      <c r="R46" s="848" t="s">
        <v>1494</v>
      </c>
      <c r="S46" s="848" t="s">
        <v>1494</v>
      </c>
      <c r="T46" s="848" t="s">
        <v>1494</v>
      </c>
      <c r="U46" s="848" t="s">
        <v>1494</v>
      </c>
      <c r="V46" s="848" t="s">
        <v>1494</v>
      </c>
      <c r="W46" s="864"/>
    </row>
    <row r="47" spans="1:23" s="160" customFormat="1"/>
    <row r="48" spans="1:23" s="160" customFormat="1" ht="13.5" thickBot="1">
      <c r="B48" s="808" t="s">
        <v>224</v>
      </c>
    </row>
    <row r="49" spans="2:21" s="160" customFormat="1">
      <c r="B49" s="811"/>
      <c r="C49" s="811" t="s">
        <v>1866</v>
      </c>
      <c r="D49" s="811"/>
      <c r="E49" s="812"/>
      <c r="F49" s="813"/>
      <c r="G49" s="811" t="s">
        <v>1867</v>
      </c>
      <c r="H49" s="811" t="s">
        <v>1868</v>
      </c>
      <c r="I49" s="811" t="s">
        <v>1869</v>
      </c>
      <c r="J49" s="814" t="s">
        <v>1512</v>
      </c>
      <c r="K49" s="815"/>
      <c r="L49" s="811" t="s">
        <v>1513</v>
      </c>
      <c r="M49" s="814" t="s">
        <v>3996</v>
      </c>
      <c r="N49" s="815"/>
      <c r="O49" s="811"/>
      <c r="P49" s="811"/>
      <c r="Q49" s="811"/>
      <c r="R49" s="865"/>
      <c r="S49" s="866"/>
      <c r="T49" s="867"/>
      <c r="U49" s="809"/>
    </row>
    <row r="50" spans="2:21" s="809" customFormat="1">
      <c r="B50" s="818" t="s">
        <v>1516</v>
      </c>
      <c r="C50" s="818" t="s">
        <v>3528</v>
      </c>
      <c r="D50" s="818" t="s">
        <v>3529</v>
      </c>
      <c r="E50" s="819" t="s">
        <v>3530</v>
      </c>
      <c r="F50" s="820"/>
      <c r="G50" s="818" t="s">
        <v>1428</v>
      </c>
      <c r="H50" s="818" t="s">
        <v>3531</v>
      </c>
      <c r="I50" s="818" t="s">
        <v>3532</v>
      </c>
      <c r="J50" s="821" t="s">
        <v>3533</v>
      </c>
      <c r="K50" s="822" t="s">
        <v>1226</v>
      </c>
      <c r="L50" s="818" t="s">
        <v>1227</v>
      </c>
      <c r="M50" s="821" t="s">
        <v>1228</v>
      </c>
      <c r="N50" s="822" t="s">
        <v>2193</v>
      </c>
      <c r="O50" s="818" t="s">
        <v>2194</v>
      </c>
      <c r="P50" s="818" t="s">
        <v>2195</v>
      </c>
      <c r="Q50" s="823" t="s">
        <v>2196</v>
      </c>
      <c r="R50" s="821"/>
      <c r="S50" s="868"/>
      <c r="T50" s="869" t="s">
        <v>225</v>
      </c>
    </row>
    <row r="51" spans="2:21" s="809" customFormat="1" ht="23.25" thickBot="1">
      <c r="B51" s="870" t="s">
        <v>6028</v>
      </c>
      <c r="C51" s="870" t="s">
        <v>991</v>
      </c>
      <c r="D51" s="870" t="s">
        <v>4381</v>
      </c>
      <c r="E51" s="871" t="s">
        <v>761</v>
      </c>
      <c r="F51" s="872" t="s">
        <v>762</v>
      </c>
      <c r="G51" s="870" t="s">
        <v>763</v>
      </c>
      <c r="H51" s="870" t="s">
        <v>6183</v>
      </c>
      <c r="I51" s="870" t="s">
        <v>6184</v>
      </c>
      <c r="J51" s="871" t="s">
        <v>6185</v>
      </c>
      <c r="K51" s="872" t="s">
        <v>6185</v>
      </c>
      <c r="L51" s="870" t="s">
        <v>6185</v>
      </c>
      <c r="M51" s="871" t="s">
        <v>6185</v>
      </c>
      <c r="N51" s="872" t="s">
        <v>6185</v>
      </c>
      <c r="O51" s="870" t="s">
        <v>2900</v>
      </c>
      <c r="P51" s="870" t="s">
        <v>1115</v>
      </c>
      <c r="Q51" s="870" t="s">
        <v>1115</v>
      </c>
      <c r="R51" s="871" t="s">
        <v>226</v>
      </c>
      <c r="S51" s="873" t="s">
        <v>6048</v>
      </c>
      <c r="T51" s="874" t="s">
        <v>2</v>
      </c>
      <c r="U51" s="825"/>
    </row>
    <row r="52" spans="2:21" s="825" customFormat="1">
      <c r="B52" s="832">
        <v>201</v>
      </c>
      <c r="C52" s="832">
        <v>120</v>
      </c>
      <c r="D52" s="832" t="s">
        <v>1493</v>
      </c>
      <c r="E52" s="832">
        <v>1973</v>
      </c>
      <c r="F52" s="832">
        <v>200</v>
      </c>
      <c r="G52" s="832">
        <v>50.8</v>
      </c>
      <c r="H52" s="832">
        <v>15</v>
      </c>
      <c r="I52" s="834">
        <v>18000</v>
      </c>
      <c r="J52" s="832">
        <v>20</v>
      </c>
      <c r="K52" s="832">
        <v>29</v>
      </c>
      <c r="L52" s="832" t="s">
        <v>6106</v>
      </c>
      <c r="M52" s="832">
        <v>7.87</v>
      </c>
      <c r="N52" s="832">
        <v>36</v>
      </c>
      <c r="O52" s="832" t="s">
        <v>864</v>
      </c>
      <c r="P52" s="832" t="s">
        <v>2323</v>
      </c>
      <c r="Q52" s="832" t="s">
        <v>334</v>
      </c>
      <c r="R52" s="832" t="s">
        <v>6107</v>
      </c>
      <c r="S52" s="875"/>
      <c r="T52" s="876">
        <v>0</v>
      </c>
      <c r="U52" s="160"/>
    </row>
    <row r="53" spans="2:21" s="160" customFormat="1">
      <c r="B53" s="877">
        <v>202</v>
      </c>
      <c r="C53" s="877"/>
      <c r="D53" s="877" t="s">
        <v>1493</v>
      </c>
      <c r="E53" s="877"/>
      <c r="F53" s="877"/>
      <c r="G53" s="877"/>
      <c r="H53" s="877"/>
      <c r="I53" s="878"/>
      <c r="J53" s="877"/>
      <c r="K53" s="877"/>
      <c r="L53" s="877"/>
      <c r="M53" s="877"/>
      <c r="N53" s="877"/>
      <c r="O53" s="877"/>
      <c r="P53" s="877"/>
      <c r="Q53" s="877"/>
      <c r="R53" s="877" t="s">
        <v>6107</v>
      </c>
      <c r="S53" s="879"/>
      <c r="T53" s="880"/>
    </row>
    <row r="54" spans="2:21" s="160" customFormat="1">
      <c r="B54" s="877">
        <v>203</v>
      </c>
      <c r="C54" s="877"/>
      <c r="D54" s="877" t="s">
        <v>1493</v>
      </c>
      <c r="E54" s="877"/>
      <c r="F54" s="877"/>
      <c r="G54" s="877"/>
      <c r="H54" s="877"/>
      <c r="I54" s="878"/>
      <c r="J54" s="877"/>
      <c r="K54" s="877"/>
      <c r="L54" s="877"/>
      <c r="M54" s="877"/>
      <c r="N54" s="877"/>
      <c r="O54" s="877"/>
      <c r="P54" s="877"/>
      <c r="Q54" s="877"/>
      <c r="R54" s="877" t="s">
        <v>6108</v>
      </c>
      <c r="S54" s="879"/>
      <c r="T54" s="880"/>
    </row>
    <row r="55" spans="2:21" s="160" customFormat="1">
      <c r="B55" s="837">
        <v>101</v>
      </c>
      <c r="C55" s="837">
        <v>215</v>
      </c>
      <c r="D55" s="837" t="s">
        <v>4943</v>
      </c>
      <c r="E55" s="837">
        <v>2000</v>
      </c>
      <c r="F55" s="837">
        <v>110</v>
      </c>
      <c r="G55" s="837">
        <v>36</v>
      </c>
      <c r="H55" s="838">
        <v>4.87</v>
      </c>
      <c r="I55" s="839">
        <v>24174</v>
      </c>
      <c r="J55" s="838">
        <v>24</v>
      </c>
      <c r="K55" s="838">
        <v>24</v>
      </c>
      <c r="L55" s="837" t="s">
        <v>5224</v>
      </c>
      <c r="M55" s="838">
        <v>5.9</v>
      </c>
      <c r="N55" s="838">
        <v>17.7</v>
      </c>
      <c r="O55" s="837" t="s">
        <v>5225</v>
      </c>
      <c r="P55" s="837" t="s">
        <v>5616</v>
      </c>
      <c r="Q55" s="837" t="s">
        <v>5226</v>
      </c>
      <c r="R55" s="837" t="s">
        <v>6109</v>
      </c>
      <c r="S55" s="837"/>
      <c r="T55" s="840">
        <v>103555</v>
      </c>
    </row>
    <row r="56" spans="2:21" s="160" customFormat="1">
      <c r="B56" s="843">
        <v>11</v>
      </c>
      <c r="C56" s="843"/>
      <c r="D56" s="843" t="s">
        <v>1493</v>
      </c>
      <c r="E56" s="843"/>
      <c r="F56" s="843"/>
      <c r="G56" s="843"/>
      <c r="H56" s="881"/>
      <c r="I56" s="855"/>
      <c r="J56" s="881"/>
      <c r="K56" s="881"/>
      <c r="L56" s="843"/>
      <c r="M56" s="881"/>
      <c r="N56" s="881"/>
      <c r="O56" s="843"/>
      <c r="P56" s="843"/>
      <c r="Q56" s="843"/>
      <c r="R56" s="843"/>
      <c r="S56" s="882"/>
      <c r="T56" s="856"/>
      <c r="U56" s="852"/>
    </row>
    <row r="57" spans="2:21" s="852" customFormat="1">
      <c r="B57" s="843">
        <v>12</v>
      </c>
      <c r="C57" s="843"/>
      <c r="D57" s="843"/>
      <c r="E57" s="843"/>
      <c r="F57" s="843"/>
      <c r="G57" s="843"/>
      <c r="H57" s="881"/>
      <c r="I57" s="855"/>
      <c r="J57" s="881"/>
      <c r="K57" s="881"/>
      <c r="L57" s="843"/>
      <c r="M57" s="881"/>
      <c r="N57" s="881"/>
      <c r="O57" s="843"/>
      <c r="P57" s="843"/>
      <c r="Q57" s="843"/>
      <c r="R57" s="843"/>
      <c r="S57" s="882"/>
      <c r="T57" s="856"/>
    </row>
    <row r="58" spans="2:21" s="852" customFormat="1">
      <c r="B58" s="843">
        <v>13</v>
      </c>
      <c r="C58" s="843"/>
      <c r="D58" s="843"/>
      <c r="E58" s="843"/>
      <c r="F58" s="843"/>
      <c r="G58" s="843"/>
      <c r="H58" s="881"/>
      <c r="I58" s="855"/>
      <c r="J58" s="881"/>
      <c r="K58" s="881"/>
      <c r="L58" s="843"/>
      <c r="M58" s="881"/>
      <c r="N58" s="881"/>
      <c r="O58" s="843"/>
      <c r="P58" s="843"/>
      <c r="Q58" s="843"/>
      <c r="R58" s="844"/>
      <c r="S58" s="883"/>
      <c r="T58" s="856"/>
    </row>
    <row r="59" spans="2:21" s="852" customFormat="1">
      <c r="B59" s="843">
        <v>14</v>
      </c>
      <c r="C59" s="843"/>
      <c r="D59" s="843" t="s">
        <v>1493</v>
      </c>
      <c r="E59" s="843"/>
      <c r="F59" s="843"/>
      <c r="G59" s="843"/>
      <c r="H59" s="881"/>
      <c r="I59" s="855"/>
      <c r="J59" s="881"/>
      <c r="K59" s="881"/>
      <c r="L59" s="843"/>
      <c r="M59" s="881"/>
      <c r="N59" s="881"/>
      <c r="O59" s="843"/>
      <c r="P59" s="843"/>
      <c r="Q59" s="843"/>
      <c r="R59" s="843"/>
      <c r="S59" s="882"/>
      <c r="T59" s="856"/>
    </row>
    <row r="60" spans="2:21" s="852" customFormat="1" ht="13.5" thickBot="1">
      <c r="B60" s="1185">
        <v>21</v>
      </c>
      <c r="C60" s="1185">
        <v>210</v>
      </c>
      <c r="D60" s="1185" t="s">
        <v>1576</v>
      </c>
      <c r="E60" s="1185">
        <v>2001</v>
      </c>
      <c r="F60" s="1185">
        <v>80</v>
      </c>
      <c r="G60" s="1185">
        <v>28</v>
      </c>
      <c r="H60" s="1186">
        <v>3.76</v>
      </c>
      <c r="I60" s="1187">
        <v>18156</v>
      </c>
      <c r="J60" s="1186">
        <v>12</v>
      </c>
      <c r="K60" s="1186">
        <v>18</v>
      </c>
      <c r="L60" s="1185" t="s">
        <v>5070</v>
      </c>
      <c r="M60" s="1186">
        <v>7.5</v>
      </c>
      <c r="N60" s="1186">
        <v>22</v>
      </c>
      <c r="O60" s="1185" t="s">
        <v>2715</v>
      </c>
      <c r="P60" s="1185" t="s">
        <v>2323</v>
      </c>
      <c r="Q60" s="1185" t="s">
        <v>6292</v>
      </c>
      <c r="R60" s="1185"/>
      <c r="S60" s="1185"/>
      <c r="T60" s="1185"/>
    </row>
    <row r="61" spans="2:21" s="852" customFormat="1">
      <c r="B61" s="832">
        <v>14</v>
      </c>
      <c r="C61" s="832"/>
      <c r="D61" s="832" t="s">
        <v>3897</v>
      </c>
      <c r="E61" s="832">
        <v>1983</v>
      </c>
      <c r="F61" s="832">
        <v>75</v>
      </c>
      <c r="G61" s="832">
        <v>1.6</v>
      </c>
      <c r="H61" s="832">
        <v>7.4</v>
      </c>
      <c r="I61" s="832"/>
      <c r="J61" s="832"/>
      <c r="K61" s="832"/>
      <c r="L61" s="832"/>
      <c r="M61" s="832"/>
      <c r="N61" s="832"/>
      <c r="O61" s="832"/>
      <c r="P61" s="832"/>
      <c r="Q61" s="832"/>
      <c r="R61" s="832"/>
      <c r="S61" s="832"/>
      <c r="T61" s="832"/>
      <c r="U61" s="160"/>
    </row>
    <row r="62" spans="2:21" s="160" customFormat="1">
      <c r="B62" s="837">
        <v>210</v>
      </c>
      <c r="C62" s="837">
        <v>120</v>
      </c>
      <c r="D62" s="837" t="s">
        <v>1493</v>
      </c>
      <c r="E62" s="837">
        <v>1970</v>
      </c>
      <c r="F62" s="837">
        <v>200</v>
      </c>
      <c r="G62" s="837" t="s">
        <v>1494</v>
      </c>
      <c r="H62" s="837"/>
      <c r="I62" s="839"/>
      <c r="J62" s="837"/>
      <c r="K62" s="837"/>
      <c r="L62" s="837"/>
      <c r="M62" s="837"/>
      <c r="N62" s="837"/>
      <c r="O62" s="837"/>
      <c r="P62" s="837"/>
      <c r="Q62" s="837" t="s">
        <v>334</v>
      </c>
      <c r="R62" s="837" t="s">
        <v>1494</v>
      </c>
      <c r="S62" s="837" t="s">
        <v>1494</v>
      </c>
      <c r="T62" s="837" t="s">
        <v>1494</v>
      </c>
    </row>
    <row r="63" spans="2:21" s="160" customFormat="1">
      <c r="B63" s="837">
        <v>118</v>
      </c>
      <c r="C63" s="837"/>
      <c r="D63" s="837" t="s">
        <v>3897</v>
      </c>
      <c r="E63" s="837">
        <v>1984</v>
      </c>
      <c r="F63" s="837">
        <v>75</v>
      </c>
      <c r="G63" s="837">
        <v>35</v>
      </c>
      <c r="H63" s="838">
        <v>5</v>
      </c>
      <c r="I63" s="839"/>
      <c r="J63" s="838"/>
      <c r="K63" s="838"/>
      <c r="L63" s="837"/>
      <c r="M63" s="838"/>
      <c r="N63" s="838"/>
      <c r="O63" s="837"/>
      <c r="P63" s="837"/>
      <c r="Q63" s="837"/>
      <c r="R63" s="837"/>
      <c r="S63" s="837"/>
      <c r="T63" s="837"/>
    </row>
    <row r="64" spans="2:21" s="160" customFormat="1">
      <c r="B64" s="837"/>
      <c r="C64" s="857"/>
      <c r="D64" s="837"/>
      <c r="E64" s="837"/>
      <c r="F64" s="837"/>
      <c r="G64" s="837"/>
      <c r="H64" s="838"/>
      <c r="I64" s="839"/>
      <c r="J64" s="838"/>
      <c r="K64" s="838"/>
      <c r="L64" s="837"/>
      <c r="M64" s="838"/>
      <c r="N64" s="838"/>
      <c r="O64" s="837"/>
      <c r="P64" s="837"/>
      <c r="Q64" s="837"/>
      <c r="R64" s="837"/>
      <c r="S64" s="884"/>
      <c r="T64" s="845"/>
    </row>
    <row r="65" spans="2:20" s="160" customFormat="1" ht="13.5" thickBot="1">
      <c r="B65" s="848"/>
      <c r="C65" s="848"/>
      <c r="D65" s="848"/>
      <c r="E65" s="848"/>
      <c r="F65" s="848"/>
      <c r="G65" s="848"/>
      <c r="H65" s="849"/>
      <c r="I65" s="850"/>
      <c r="J65" s="849"/>
      <c r="K65" s="849"/>
      <c r="L65" s="848"/>
      <c r="M65" s="849"/>
      <c r="N65" s="849"/>
      <c r="O65" s="848"/>
      <c r="P65" s="848"/>
      <c r="Q65" s="848"/>
      <c r="R65" s="848"/>
      <c r="S65" s="885"/>
      <c r="T65" s="864"/>
    </row>
    <row r="66" spans="2:20" s="160" customFormat="1"/>
    <row r="67" spans="2:20" s="160" customFormat="1"/>
    <row r="68" spans="2:20" s="160" customFormat="1"/>
    <row r="69" spans="2:20" s="160" customFormat="1"/>
    <row r="70" spans="2:20" s="160" customFormat="1"/>
  </sheetData>
  <sheetProtection algorithmName="SHA-512" hashValue="4QCl2muN6zd2j3RrBBVqtynx2vWdnHRRtDChVhzowS3w3txpZ5/inos/MK50KMQcUx3w7+RyNmoGToU6qKPShQ==" saltValue="TY4CtPAUL035RNstQdQS9g==" spinCount="100000" sheet="1" objects="1" scenarios="1"/>
  <mergeCells count="5">
    <mergeCell ref="A43:A46"/>
    <mergeCell ref="A6:A24"/>
    <mergeCell ref="A25:A32"/>
    <mergeCell ref="A33:A39"/>
    <mergeCell ref="A40:A42"/>
  </mergeCells>
  <phoneticPr fontId="0" type="noConversion"/>
  <pageMargins left="0.17" right="0.17" top="0.36" bottom="0.23" header="0.17" footer="0.17"/>
  <pageSetup orientation="landscape"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7649" r:id="rId4" name="Button 1">
              <controlPr defaultSize="0" print="0" autoFill="0" autoPict="0" macro="[0]!toquoteentry">
                <anchor moveWithCells="1">
                  <from>
                    <xdr:col>0</xdr:col>
                    <xdr:colOff>28575</xdr:colOff>
                    <xdr:row>0</xdr:row>
                    <xdr:rowOff>9525</xdr:rowOff>
                  </from>
                  <to>
                    <xdr:col>1</xdr:col>
                    <xdr:colOff>114300</xdr:colOff>
                    <xdr:row>1</xdr:row>
                    <xdr:rowOff>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dimension ref="A3:CI253"/>
  <sheetViews>
    <sheetView workbookViewId="0">
      <selection activeCell="C7" sqref="C7"/>
    </sheetView>
  </sheetViews>
  <sheetFormatPr defaultRowHeight="12.75"/>
  <cols>
    <col min="1" max="1" width="4.5703125" style="160" customWidth="1"/>
    <col min="2" max="2" width="14.140625" style="160" bestFit="1" customWidth="1"/>
    <col min="3" max="3" width="9" style="160" bestFit="1" customWidth="1"/>
    <col min="4" max="4" width="6" style="160" bestFit="1" customWidth="1"/>
    <col min="5" max="5" width="5" style="160" bestFit="1" customWidth="1"/>
    <col min="6" max="6" width="6" style="852" bestFit="1" customWidth="1"/>
    <col min="7" max="7" width="6" style="160" bestFit="1" customWidth="1"/>
    <col min="8" max="8" width="10" style="160" bestFit="1" customWidth="1"/>
    <col min="9" max="9" width="7" style="160" bestFit="1" customWidth="1"/>
    <col min="10" max="10" width="15.140625" style="160" bestFit="1" customWidth="1"/>
    <col min="11" max="12" width="9" style="160" bestFit="1" customWidth="1"/>
    <col min="13" max="13" width="5" style="160" bestFit="1" customWidth="1"/>
    <col min="14" max="14" width="11.7109375" style="160" bestFit="1" customWidth="1"/>
    <col min="15" max="15" width="7" style="160" bestFit="1" customWidth="1"/>
    <col min="16" max="16" width="24.42578125" style="160" bestFit="1" customWidth="1"/>
    <col min="17" max="17" width="16.140625" style="160" bestFit="1" customWidth="1"/>
    <col min="18" max="18" width="14.140625" style="160" bestFit="1" customWidth="1"/>
    <col min="19" max="19" width="8" style="160" bestFit="1" customWidth="1"/>
    <col min="20" max="20" width="7" style="160" bestFit="1" customWidth="1"/>
    <col min="21" max="21" width="10.7109375" style="852" customWidth="1"/>
    <col min="22" max="22" width="7.140625" style="852" bestFit="1" customWidth="1"/>
    <col min="23" max="23" width="35.28515625" style="160" bestFit="1" customWidth="1"/>
    <col min="24" max="24" width="18.42578125" style="1022" customWidth="1"/>
    <col min="25" max="16384" width="9.140625" style="160"/>
  </cols>
  <sheetData>
    <row r="3" spans="1:30" s="894" customFormat="1" ht="22.5">
      <c r="A3" s="886" t="s">
        <v>3576</v>
      </c>
      <c r="B3" s="1049" t="s">
        <v>1235</v>
      </c>
      <c r="C3" s="888" t="s">
        <v>3576</v>
      </c>
      <c r="D3" s="888"/>
      <c r="E3" s="889"/>
      <c r="F3" s="906" t="s">
        <v>1868</v>
      </c>
      <c r="G3" s="890"/>
      <c r="H3" s="891" t="s">
        <v>3188</v>
      </c>
      <c r="I3" s="892"/>
      <c r="J3" s="889"/>
      <c r="K3" s="889" t="s">
        <v>3189</v>
      </c>
      <c r="L3" s="889" t="s">
        <v>1867</v>
      </c>
      <c r="M3" s="889"/>
      <c r="N3" s="889"/>
      <c r="O3" s="889"/>
      <c r="P3" s="887" t="s">
        <v>3190</v>
      </c>
      <c r="Q3" s="893"/>
      <c r="R3" s="889"/>
      <c r="S3" s="889"/>
      <c r="T3" s="889"/>
      <c r="U3" s="910"/>
      <c r="V3" s="910"/>
      <c r="W3" s="888"/>
      <c r="X3" s="1023"/>
      <c r="Y3" s="888"/>
      <c r="Z3" s="809"/>
      <c r="AA3" s="809"/>
      <c r="AB3" s="809"/>
    </row>
    <row r="4" spans="1:30" s="894" customFormat="1">
      <c r="A4" s="886" t="s">
        <v>11</v>
      </c>
      <c r="B4" s="887"/>
      <c r="C4" s="887" t="s">
        <v>12</v>
      </c>
      <c r="D4" s="887" t="s">
        <v>761</v>
      </c>
      <c r="E4" s="889"/>
      <c r="F4" s="907" t="s">
        <v>3531</v>
      </c>
      <c r="G4" s="887" t="s">
        <v>2624</v>
      </c>
      <c r="H4" s="887" t="s">
        <v>2625</v>
      </c>
      <c r="I4" s="889" t="s">
        <v>1593</v>
      </c>
      <c r="J4" s="887" t="s">
        <v>1594</v>
      </c>
      <c r="K4" s="887" t="s">
        <v>1595</v>
      </c>
      <c r="L4" s="887" t="s">
        <v>4198</v>
      </c>
      <c r="M4" s="887" t="s">
        <v>1596</v>
      </c>
      <c r="N4" s="887" t="s">
        <v>1597</v>
      </c>
      <c r="O4" s="887" t="s">
        <v>1598</v>
      </c>
      <c r="P4" s="895" t="s">
        <v>3896</v>
      </c>
      <c r="Q4" s="896" t="s">
        <v>6110</v>
      </c>
      <c r="R4" s="887" t="s">
        <v>1599</v>
      </c>
      <c r="S4" s="887" t="s">
        <v>1512</v>
      </c>
      <c r="T4" s="889"/>
      <c r="U4" s="1046" t="s">
        <v>1867</v>
      </c>
      <c r="V4" s="911" t="s">
        <v>4075</v>
      </c>
      <c r="W4" s="897" t="s">
        <v>5267</v>
      </c>
      <c r="X4" s="1024" t="s">
        <v>2438</v>
      </c>
      <c r="Y4" s="888"/>
      <c r="Z4" s="809"/>
      <c r="AA4" s="809"/>
      <c r="AB4" s="809"/>
    </row>
    <row r="5" spans="1:30" s="894" customFormat="1">
      <c r="A5" s="898" t="s">
        <v>6028</v>
      </c>
      <c r="B5" s="891" t="s">
        <v>2749</v>
      </c>
      <c r="C5" s="891" t="s">
        <v>2439</v>
      </c>
      <c r="D5" s="899" t="s">
        <v>2440</v>
      </c>
      <c r="E5" s="891" t="s">
        <v>2441</v>
      </c>
      <c r="F5" s="908" t="s">
        <v>6183</v>
      </c>
      <c r="G5" s="891" t="s">
        <v>511</v>
      </c>
      <c r="H5" s="891" t="s">
        <v>512</v>
      </c>
      <c r="I5" s="899" t="s">
        <v>513</v>
      </c>
      <c r="J5" s="891" t="s">
        <v>514</v>
      </c>
      <c r="K5" s="891" t="s">
        <v>4119</v>
      </c>
      <c r="L5" s="900" t="s">
        <v>4441</v>
      </c>
      <c r="M5" s="891" t="s">
        <v>2900</v>
      </c>
      <c r="N5" s="891" t="s">
        <v>3968</v>
      </c>
      <c r="O5" s="891" t="s">
        <v>4442</v>
      </c>
      <c r="P5" s="900" t="s">
        <v>6185</v>
      </c>
      <c r="Q5" s="901"/>
      <c r="R5" s="899" t="s">
        <v>4443</v>
      </c>
      <c r="S5" s="891" t="s">
        <v>4443</v>
      </c>
      <c r="T5" s="891" t="s">
        <v>4444</v>
      </c>
      <c r="U5" s="908" t="s">
        <v>1115</v>
      </c>
      <c r="V5" s="912" t="s">
        <v>1085</v>
      </c>
      <c r="W5" s="900" t="s">
        <v>4445</v>
      </c>
      <c r="X5" s="1025" t="s">
        <v>4508</v>
      </c>
      <c r="Y5" s="888"/>
      <c r="Z5" s="809"/>
      <c r="AA5" s="809"/>
      <c r="AB5" s="809"/>
    </row>
    <row r="6" spans="1:30">
      <c r="A6" s="913" t="s">
        <v>5156</v>
      </c>
      <c r="B6" s="914" t="s">
        <v>2882</v>
      </c>
      <c r="C6" s="914" t="s">
        <v>4239</v>
      </c>
      <c r="D6" s="915">
        <v>1984</v>
      </c>
      <c r="E6" s="914">
        <v>40</v>
      </c>
      <c r="F6" s="914">
        <v>1.5</v>
      </c>
      <c r="G6" s="914">
        <v>1400</v>
      </c>
      <c r="H6" s="914">
        <f>G6*I6</f>
        <v>23142</v>
      </c>
      <c r="I6" s="916">
        <v>16.53</v>
      </c>
      <c r="J6" s="914" t="s">
        <v>2883</v>
      </c>
      <c r="K6" s="914" t="s">
        <v>6051</v>
      </c>
      <c r="L6" s="914">
        <v>0.98419999999999996</v>
      </c>
      <c r="M6" s="914" t="s">
        <v>4240</v>
      </c>
      <c r="N6" s="914" t="s">
        <v>4240</v>
      </c>
      <c r="O6" s="917">
        <v>30</v>
      </c>
      <c r="P6" s="918" t="s">
        <v>1128</v>
      </c>
      <c r="Q6" s="919"/>
      <c r="R6" s="914" t="s">
        <v>1129</v>
      </c>
      <c r="S6" s="914" t="s">
        <v>1130</v>
      </c>
      <c r="T6" s="914" t="s">
        <v>4241</v>
      </c>
      <c r="U6" s="917" t="s">
        <v>4242</v>
      </c>
      <c r="V6" s="914">
        <v>4256</v>
      </c>
      <c r="W6" s="917" t="s">
        <v>4240</v>
      </c>
      <c r="X6" s="1026" t="s">
        <v>2884</v>
      </c>
      <c r="Y6" s="902"/>
      <c r="Z6" s="852"/>
      <c r="AA6" s="852"/>
      <c r="AB6" s="852"/>
      <c r="AC6" s="192"/>
      <c r="AD6" s="192"/>
    </row>
    <row r="7" spans="1:30" s="192" customFormat="1">
      <c r="A7" s="920" t="s">
        <v>6111</v>
      </c>
      <c r="B7" s="921" t="s">
        <v>2885</v>
      </c>
      <c r="C7" s="921" t="s">
        <v>2181</v>
      </c>
      <c r="D7" s="921">
        <v>1984</v>
      </c>
      <c r="E7" s="921">
        <v>75</v>
      </c>
      <c r="F7" s="922">
        <v>3</v>
      </c>
      <c r="G7" s="921">
        <v>2000</v>
      </c>
      <c r="H7" s="921">
        <f t="shared" ref="H7:H16" si="0">G7*I7</f>
        <v>27040</v>
      </c>
      <c r="I7" s="923">
        <v>13.52</v>
      </c>
      <c r="J7" s="921" t="s">
        <v>4105</v>
      </c>
      <c r="K7" s="921" t="s">
        <v>6051</v>
      </c>
      <c r="L7" s="921">
        <v>1.25</v>
      </c>
      <c r="M7" s="921" t="s">
        <v>4240</v>
      </c>
      <c r="N7" s="921" t="s">
        <v>4240</v>
      </c>
      <c r="O7" s="924">
        <v>60</v>
      </c>
      <c r="P7" s="925" t="s">
        <v>3285</v>
      </c>
      <c r="Q7" s="926"/>
      <c r="R7" s="927" t="s">
        <v>4458</v>
      </c>
      <c r="S7" s="921" t="s">
        <v>5203</v>
      </c>
      <c r="T7" s="921" t="s">
        <v>4241</v>
      </c>
      <c r="U7" s="947" t="s">
        <v>4242</v>
      </c>
      <c r="V7" s="922">
        <v>4255</v>
      </c>
      <c r="W7" s="924" t="s">
        <v>4240</v>
      </c>
      <c r="X7" s="1027" t="s">
        <v>948</v>
      </c>
      <c r="Y7" s="902"/>
      <c r="Z7" s="852"/>
      <c r="AA7" s="852"/>
      <c r="AB7" s="852"/>
    </row>
    <row r="8" spans="1:30" s="192" customFormat="1">
      <c r="A8" s="913" t="s">
        <v>6112</v>
      </c>
      <c r="B8" s="914" t="s">
        <v>2882</v>
      </c>
      <c r="C8" s="914" t="s">
        <v>4799</v>
      </c>
      <c r="D8" s="914">
        <v>1984</v>
      </c>
      <c r="E8" s="914">
        <v>80</v>
      </c>
      <c r="F8" s="914">
        <v>2.0299999999999998</v>
      </c>
      <c r="G8" s="929">
        <f>H8/I8</f>
        <v>2020.0975609756097</v>
      </c>
      <c r="H8" s="914">
        <v>41412</v>
      </c>
      <c r="I8" s="914">
        <v>20.5</v>
      </c>
      <c r="J8" s="914" t="s">
        <v>4105</v>
      </c>
      <c r="K8" s="914" t="s">
        <v>6051</v>
      </c>
      <c r="L8" s="914">
        <v>0.98419999999999996</v>
      </c>
      <c r="M8" s="914" t="s">
        <v>181</v>
      </c>
      <c r="N8" s="914" t="s">
        <v>4240</v>
      </c>
      <c r="O8" s="917">
        <v>60</v>
      </c>
      <c r="P8" s="918" t="s">
        <v>1131</v>
      </c>
      <c r="Q8" s="919"/>
      <c r="R8" s="914" t="s">
        <v>1132</v>
      </c>
      <c r="S8" s="914" t="s">
        <v>6066</v>
      </c>
      <c r="T8" s="914" t="s">
        <v>4241</v>
      </c>
      <c r="U8" s="917" t="s">
        <v>4463</v>
      </c>
      <c r="V8" s="914">
        <v>148</v>
      </c>
      <c r="W8" s="917" t="s">
        <v>4240</v>
      </c>
      <c r="X8" s="1026" t="s">
        <v>4832</v>
      </c>
      <c r="Y8" s="298"/>
      <c r="Z8" s="160"/>
      <c r="AA8" s="160"/>
      <c r="AB8" s="160"/>
      <c r="AC8" s="160"/>
      <c r="AD8" s="160"/>
    </row>
    <row r="9" spans="1:30" s="192" customFormat="1" ht="22.5">
      <c r="A9" s="920" t="s">
        <v>4501</v>
      </c>
      <c r="B9" s="921" t="s">
        <v>2881</v>
      </c>
      <c r="C9" s="921" t="s">
        <v>4799</v>
      </c>
      <c r="D9" s="921">
        <v>1988</v>
      </c>
      <c r="E9" s="921">
        <v>82.5</v>
      </c>
      <c r="F9" s="922">
        <v>3.67</v>
      </c>
      <c r="G9" s="921">
        <v>2320</v>
      </c>
      <c r="H9" s="921">
        <f t="shared" si="0"/>
        <v>32712</v>
      </c>
      <c r="I9" s="923">
        <v>14.1</v>
      </c>
      <c r="J9" s="921" t="s">
        <v>4800</v>
      </c>
      <c r="K9" s="921">
        <v>5.4</v>
      </c>
      <c r="L9" s="921" t="s">
        <v>6113</v>
      </c>
      <c r="M9" s="921" t="s">
        <v>4240</v>
      </c>
      <c r="N9" s="921" t="s">
        <v>2732</v>
      </c>
      <c r="O9" s="930">
        <v>60</v>
      </c>
      <c r="P9" s="925" t="s">
        <v>4801</v>
      </c>
      <c r="Q9" s="923" t="s">
        <v>6114</v>
      </c>
      <c r="R9" s="927" t="s">
        <v>4802</v>
      </c>
      <c r="S9" s="921" t="s">
        <v>4803</v>
      </c>
      <c r="T9" s="921" t="s">
        <v>1471</v>
      </c>
      <c r="U9" s="947" t="s">
        <v>4242</v>
      </c>
      <c r="V9" s="922">
        <v>3887</v>
      </c>
      <c r="W9" s="924" t="s">
        <v>3380</v>
      </c>
      <c r="X9" s="1028" t="s">
        <v>180</v>
      </c>
      <c r="Y9" s="298"/>
      <c r="Z9" s="160"/>
      <c r="AA9" s="160"/>
      <c r="AB9" s="160"/>
      <c r="AC9" s="160"/>
      <c r="AD9" s="160"/>
    </row>
    <row r="10" spans="1:30" s="192" customFormat="1" ht="22.5">
      <c r="A10" s="920" t="s">
        <v>6115</v>
      </c>
      <c r="B10" s="921" t="s">
        <v>2885</v>
      </c>
      <c r="C10" s="921" t="s">
        <v>4799</v>
      </c>
      <c r="D10" s="921">
        <v>1989</v>
      </c>
      <c r="E10" s="921">
        <v>82.5</v>
      </c>
      <c r="F10" s="922">
        <v>5</v>
      </c>
      <c r="G10" s="921">
        <v>1960</v>
      </c>
      <c r="H10" s="921">
        <f t="shared" si="0"/>
        <v>41924.400000000001</v>
      </c>
      <c r="I10" s="923">
        <v>21.39</v>
      </c>
      <c r="J10" s="921" t="s">
        <v>4800</v>
      </c>
      <c r="K10" s="921">
        <v>5.4</v>
      </c>
      <c r="L10" s="921" t="s">
        <v>6113</v>
      </c>
      <c r="M10" s="921" t="s">
        <v>181</v>
      </c>
      <c r="N10" s="921" t="s">
        <v>4240</v>
      </c>
      <c r="O10" s="924">
        <v>60</v>
      </c>
      <c r="P10" s="925" t="s">
        <v>4801</v>
      </c>
      <c r="Q10" s="926"/>
      <c r="R10" s="927" t="s">
        <v>4802</v>
      </c>
      <c r="S10" s="921" t="s">
        <v>4803</v>
      </c>
      <c r="T10" s="932" t="s">
        <v>3177</v>
      </c>
      <c r="U10" s="947" t="s">
        <v>4242</v>
      </c>
      <c r="V10" s="922">
        <v>5084</v>
      </c>
      <c r="W10" s="924" t="s">
        <v>4240</v>
      </c>
      <c r="X10" s="1027" t="s">
        <v>1777</v>
      </c>
      <c r="Y10" s="902"/>
      <c r="Z10" s="852"/>
      <c r="AA10" s="852"/>
      <c r="AB10" s="852"/>
    </row>
    <row r="11" spans="1:30" s="192" customFormat="1">
      <c r="A11" s="920" t="s">
        <v>6116</v>
      </c>
      <c r="B11" s="921" t="s">
        <v>2885</v>
      </c>
      <c r="C11" s="921" t="s">
        <v>4799</v>
      </c>
      <c r="D11" s="921">
        <v>1989</v>
      </c>
      <c r="E11" s="921">
        <v>82.5</v>
      </c>
      <c r="F11" s="922">
        <v>3.67</v>
      </c>
      <c r="G11" s="921">
        <v>2320</v>
      </c>
      <c r="H11" s="921">
        <f t="shared" si="0"/>
        <v>32712</v>
      </c>
      <c r="I11" s="923">
        <v>14.1</v>
      </c>
      <c r="J11" s="921" t="s">
        <v>4800</v>
      </c>
      <c r="K11" s="921">
        <v>4.4000000000000004</v>
      </c>
      <c r="L11" s="921" t="s">
        <v>6113</v>
      </c>
      <c r="M11" s="921" t="s">
        <v>4240</v>
      </c>
      <c r="N11" s="921" t="s">
        <v>4240</v>
      </c>
      <c r="O11" s="924">
        <v>60</v>
      </c>
      <c r="P11" s="925" t="s">
        <v>1778</v>
      </c>
      <c r="Q11" s="926"/>
      <c r="R11" s="921" t="s">
        <v>1779</v>
      </c>
      <c r="S11" s="921" t="s">
        <v>1780</v>
      </c>
      <c r="T11" s="921" t="s">
        <v>4241</v>
      </c>
      <c r="U11" s="947" t="s">
        <v>4242</v>
      </c>
      <c r="V11" s="922">
        <v>5106</v>
      </c>
      <c r="W11" s="924" t="s">
        <v>4240</v>
      </c>
      <c r="X11" s="1027" t="s">
        <v>948</v>
      </c>
      <c r="Y11" s="298"/>
      <c r="Z11" s="160"/>
      <c r="AA11" s="160"/>
      <c r="AB11" s="160"/>
      <c r="AC11" s="160"/>
      <c r="AD11" s="160"/>
    </row>
    <row r="12" spans="1:30" s="852" customFormat="1" ht="22.5">
      <c r="A12" s="920" t="s">
        <v>4762</v>
      </c>
      <c r="B12" s="921" t="s">
        <v>2881</v>
      </c>
      <c r="C12" s="921" t="s">
        <v>4799</v>
      </c>
      <c r="D12" s="933">
        <v>1989</v>
      </c>
      <c r="E12" s="927">
        <v>45</v>
      </c>
      <c r="F12" s="922">
        <v>1.23</v>
      </c>
      <c r="G12" s="927">
        <v>2320</v>
      </c>
      <c r="H12" s="921">
        <f t="shared" si="0"/>
        <v>39440</v>
      </c>
      <c r="I12" s="923">
        <v>17</v>
      </c>
      <c r="J12" s="921" t="s">
        <v>1781</v>
      </c>
      <c r="K12" s="921">
        <v>7.7</v>
      </c>
      <c r="L12" s="921">
        <v>0.86609999999999998</v>
      </c>
      <c r="M12" s="921" t="s">
        <v>4240</v>
      </c>
      <c r="N12" s="921" t="s">
        <v>4240</v>
      </c>
      <c r="O12" s="930">
        <v>60</v>
      </c>
      <c r="P12" s="925" t="s">
        <v>1782</v>
      </c>
      <c r="Q12" s="926">
        <v>27.97</v>
      </c>
      <c r="R12" s="921" t="s">
        <v>1783</v>
      </c>
      <c r="S12" s="921" t="s">
        <v>3509</v>
      </c>
      <c r="T12" s="921" t="s">
        <v>4241</v>
      </c>
      <c r="U12" s="947" t="s">
        <v>4242</v>
      </c>
      <c r="V12" s="922">
        <v>5085</v>
      </c>
      <c r="W12" s="924" t="s">
        <v>4240</v>
      </c>
      <c r="X12" s="1029" t="s">
        <v>6351</v>
      </c>
      <c r="Y12" s="192"/>
      <c r="Z12" s="192"/>
      <c r="AA12" s="192"/>
      <c r="AB12" s="192"/>
      <c r="AC12" s="192"/>
      <c r="AD12" s="192"/>
    </row>
    <row r="13" spans="1:30" s="852" customFormat="1" ht="22.5">
      <c r="A13" s="920" t="s">
        <v>6117</v>
      </c>
      <c r="B13" s="921" t="s">
        <v>506</v>
      </c>
      <c r="C13" s="921" t="s">
        <v>3511</v>
      </c>
      <c r="D13" s="921">
        <v>1989</v>
      </c>
      <c r="E13" s="927">
        <v>85</v>
      </c>
      <c r="F13" s="922">
        <v>2.4</v>
      </c>
      <c r="G13" s="921">
        <v>2550</v>
      </c>
      <c r="H13" s="921">
        <f t="shared" si="0"/>
        <v>28050</v>
      </c>
      <c r="I13" s="921">
        <v>11</v>
      </c>
      <c r="J13" s="921" t="s">
        <v>3512</v>
      </c>
      <c r="K13" s="921">
        <v>8.2100000000000009</v>
      </c>
      <c r="L13" s="921">
        <v>1.1024</v>
      </c>
      <c r="M13" s="921" t="s">
        <v>4240</v>
      </c>
      <c r="N13" s="921" t="s">
        <v>4240</v>
      </c>
      <c r="O13" s="930">
        <v>60</v>
      </c>
      <c r="P13" s="927" t="s">
        <v>3513</v>
      </c>
      <c r="Q13" s="926"/>
      <c r="R13" s="921" t="s">
        <v>3514</v>
      </c>
      <c r="S13" s="921" t="s">
        <v>3515</v>
      </c>
      <c r="T13" s="921" t="s">
        <v>4241</v>
      </c>
      <c r="U13" s="947" t="s">
        <v>4242</v>
      </c>
      <c r="V13" s="922">
        <v>5086</v>
      </c>
      <c r="W13" s="924" t="s">
        <v>181</v>
      </c>
      <c r="X13" s="1027" t="s">
        <v>3683</v>
      </c>
      <c r="Y13" s="902"/>
    </row>
    <row r="14" spans="1:30" ht="22.5">
      <c r="A14" s="920" t="s">
        <v>6118</v>
      </c>
      <c r="B14" s="921" t="s">
        <v>2885</v>
      </c>
      <c r="C14" s="921" t="s">
        <v>4799</v>
      </c>
      <c r="D14" s="921">
        <v>1990</v>
      </c>
      <c r="E14" s="927">
        <v>82.5</v>
      </c>
      <c r="F14" s="935">
        <v>3.67</v>
      </c>
      <c r="G14" s="921">
        <v>1960</v>
      </c>
      <c r="H14" s="936">
        <f t="shared" si="0"/>
        <v>41924.400000000001</v>
      </c>
      <c r="I14" s="923">
        <v>21.39</v>
      </c>
      <c r="J14" s="921" t="s">
        <v>4800</v>
      </c>
      <c r="K14" s="921">
        <v>5.4</v>
      </c>
      <c r="L14" s="921" t="s">
        <v>6113</v>
      </c>
      <c r="M14" s="921" t="s">
        <v>181</v>
      </c>
      <c r="N14" s="921" t="s">
        <v>2731</v>
      </c>
      <c r="O14" s="924">
        <v>60</v>
      </c>
      <c r="P14" s="925" t="s">
        <v>4801</v>
      </c>
      <c r="Q14" s="926"/>
      <c r="R14" s="927" t="s">
        <v>4802</v>
      </c>
      <c r="S14" s="921" t="s">
        <v>4803</v>
      </c>
      <c r="T14" s="932" t="s">
        <v>3177</v>
      </c>
      <c r="U14" s="947" t="s">
        <v>4242</v>
      </c>
      <c r="V14" s="922">
        <v>5136</v>
      </c>
      <c r="W14" s="924" t="s">
        <v>181</v>
      </c>
      <c r="X14" s="1027" t="s">
        <v>1777</v>
      </c>
      <c r="Y14" s="298"/>
    </row>
    <row r="15" spans="1:30" ht="22.5">
      <c r="A15" s="920" t="s">
        <v>6119</v>
      </c>
      <c r="B15" s="921" t="s">
        <v>2881</v>
      </c>
      <c r="C15" s="921" t="s">
        <v>4799</v>
      </c>
      <c r="D15" s="933">
        <v>1990</v>
      </c>
      <c r="E15" s="927">
        <v>55</v>
      </c>
      <c r="F15" s="937">
        <v>1.24</v>
      </c>
      <c r="G15" s="927">
        <v>2320</v>
      </c>
      <c r="H15" s="936">
        <f t="shared" si="0"/>
        <v>39440</v>
      </c>
      <c r="I15" s="923">
        <v>17</v>
      </c>
      <c r="J15" s="921" t="s">
        <v>1781</v>
      </c>
      <c r="K15" s="921">
        <v>9</v>
      </c>
      <c r="L15" s="921">
        <v>0.86609999999999998</v>
      </c>
      <c r="M15" s="921" t="s">
        <v>181</v>
      </c>
      <c r="N15" s="921" t="s">
        <v>2732</v>
      </c>
      <c r="O15" s="924">
        <v>60</v>
      </c>
      <c r="P15" s="925" t="s">
        <v>1782</v>
      </c>
      <c r="Q15" s="926"/>
      <c r="R15" s="921" t="s">
        <v>1783</v>
      </c>
      <c r="S15" s="921" t="s">
        <v>341</v>
      </c>
      <c r="T15" s="932" t="s">
        <v>3177</v>
      </c>
      <c r="U15" s="947" t="s">
        <v>342</v>
      </c>
      <c r="V15" s="922">
        <v>5132</v>
      </c>
      <c r="W15" s="924" t="s">
        <v>181</v>
      </c>
      <c r="X15" s="1028" t="s">
        <v>6351</v>
      </c>
      <c r="Y15" s="298"/>
    </row>
    <row r="16" spans="1:30">
      <c r="A16" s="920" t="s">
        <v>6120</v>
      </c>
      <c r="B16" s="921" t="s">
        <v>2881</v>
      </c>
      <c r="C16" s="921" t="s">
        <v>4799</v>
      </c>
      <c r="D16" s="921">
        <v>1991</v>
      </c>
      <c r="E16" s="921">
        <v>82.5</v>
      </c>
      <c r="F16" s="922">
        <v>3.67</v>
      </c>
      <c r="G16" s="921">
        <v>1960</v>
      </c>
      <c r="H16" s="921">
        <f t="shared" si="0"/>
        <v>41924.400000000001</v>
      </c>
      <c r="I16" s="923">
        <v>21.39</v>
      </c>
      <c r="J16" s="921" t="s">
        <v>1781</v>
      </c>
      <c r="K16" s="921">
        <v>6</v>
      </c>
      <c r="L16" s="921" t="s">
        <v>6113</v>
      </c>
      <c r="M16" s="921" t="s">
        <v>4240</v>
      </c>
      <c r="N16" s="921" t="s">
        <v>2731</v>
      </c>
      <c r="O16" s="924">
        <v>60</v>
      </c>
      <c r="P16" s="925" t="s">
        <v>3652</v>
      </c>
      <c r="Q16" s="926"/>
      <c r="R16" s="921" t="s">
        <v>4243</v>
      </c>
      <c r="S16" s="921" t="s">
        <v>4803</v>
      </c>
      <c r="T16" s="921" t="s">
        <v>1471</v>
      </c>
      <c r="U16" s="947" t="s">
        <v>342</v>
      </c>
      <c r="V16" s="922">
        <v>4002</v>
      </c>
      <c r="W16" s="924" t="s">
        <v>181</v>
      </c>
      <c r="X16" s="1028" t="s">
        <v>3653</v>
      </c>
      <c r="Y16" s="298" t="s">
        <v>3576</v>
      </c>
      <c r="Z16" s="160" t="s">
        <v>3576</v>
      </c>
      <c r="AA16" s="160" t="s">
        <v>3576</v>
      </c>
      <c r="AB16" s="160" t="s">
        <v>3576</v>
      </c>
      <c r="AC16"/>
      <c r="AD16"/>
    </row>
    <row r="17" spans="1:30" customFormat="1" ht="22.5">
      <c r="A17" s="920" t="s">
        <v>6121</v>
      </c>
      <c r="B17" s="921" t="s">
        <v>2881</v>
      </c>
      <c r="C17" s="921" t="s">
        <v>3654</v>
      </c>
      <c r="D17" s="921">
        <v>1991</v>
      </c>
      <c r="E17" s="927">
        <v>82.5</v>
      </c>
      <c r="F17" s="937">
        <v>3.49</v>
      </c>
      <c r="G17" s="938" t="s">
        <v>3576</v>
      </c>
      <c r="H17" s="921">
        <v>34136</v>
      </c>
      <c r="I17" s="923">
        <v>1</v>
      </c>
      <c r="J17" s="921" t="s">
        <v>3655</v>
      </c>
      <c r="K17" s="921">
        <v>6.69</v>
      </c>
      <c r="L17" s="921">
        <v>1.2598</v>
      </c>
      <c r="M17" s="921" t="s">
        <v>4240</v>
      </c>
      <c r="N17" s="932" t="s">
        <v>2732</v>
      </c>
      <c r="O17" s="924">
        <v>75</v>
      </c>
      <c r="P17" s="925" t="s">
        <v>3656</v>
      </c>
      <c r="Q17" s="926"/>
      <c r="R17" s="927" t="s">
        <v>1454</v>
      </c>
      <c r="S17" s="921" t="s">
        <v>1455</v>
      </c>
      <c r="T17" s="921" t="s">
        <v>4241</v>
      </c>
      <c r="U17" s="947" t="s">
        <v>342</v>
      </c>
      <c r="V17" s="922">
        <v>5588</v>
      </c>
      <c r="W17" s="924" t="s">
        <v>181</v>
      </c>
      <c r="X17" s="1028" t="s">
        <v>5907</v>
      </c>
      <c r="Y17" s="302"/>
    </row>
    <row r="18" spans="1:30" customFormat="1" ht="22.5">
      <c r="A18" s="913" t="s">
        <v>6122</v>
      </c>
      <c r="B18" s="914" t="s">
        <v>2882</v>
      </c>
      <c r="C18" s="914" t="s">
        <v>4104</v>
      </c>
      <c r="D18" s="914">
        <v>1992</v>
      </c>
      <c r="E18" s="914">
        <v>82.5</v>
      </c>
      <c r="F18" s="914">
        <v>3.49</v>
      </c>
      <c r="G18" s="938" t="s">
        <v>3576</v>
      </c>
      <c r="H18" s="914">
        <v>34136</v>
      </c>
      <c r="I18" s="914">
        <v>1</v>
      </c>
      <c r="J18" s="914" t="s">
        <v>3655</v>
      </c>
      <c r="K18" s="914">
        <v>6.69</v>
      </c>
      <c r="L18" s="914">
        <v>1.2598</v>
      </c>
      <c r="M18" s="914" t="s">
        <v>4240</v>
      </c>
      <c r="N18" s="914" t="s">
        <v>2732</v>
      </c>
      <c r="O18" s="917">
        <v>75</v>
      </c>
      <c r="P18" s="918" t="s">
        <v>4833</v>
      </c>
      <c r="Q18" s="919"/>
      <c r="R18" s="914" t="s">
        <v>4834</v>
      </c>
      <c r="S18" s="914" t="s">
        <v>1455</v>
      </c>
      <c r="T18" s="939" t="s">
        <v>3177</v>
      </c>
      <c r="U18" s="917" t="s">
        <v>4242</v>
      </c>
      <c r="V18" s="914">
        <v>5574</v>
      </c>
      <c r="W18" s="917" t="s">
        <v>181</v>
      </c>
      <c r="X18" s="1026" t="s">
        <v>3381</v>
      </c>
      <c r="Y18" s="302"/>
    </row>
    <row r="19" spans="1:30">
      <c r="A19" s="913" t="s">
        <v>6123</v>
      </c>
      <c r="B19" s="921" t="s">
        <v>2881</v>
      </c>
      <c r="C19" s="921" t="s">
        <v>5908</v>
      </c>
      <c r="D19" s="933">
        <v>1994</v>
      </c>
      <c r="E19" s="927">
        <v>33</v>
      </c>
      <c r="F19" s="937">
        <v>1.08</v>
      </c>
      <c r="G19" s="927">
        <v>2200</v>
      </c>
      <c r="H19" s="921">
        <f t="shared" ref="H19:H27" si="1">G19*I19</f>
        <v>29986</v>
      </c>
      <c r="I19" s="926">
        <v>13.63</v>
      </c>
      <c r="J19" s="921" t="s">
        <v>5909</v>
      </c>
      <c r="K19" s="921">
        <v>6.22</v>
      </c>
      <c r="L19" s="921">
        <v>0.86609999999999998</v>
      </c>
      <c r="M19" s="921" t="s">
        <v>4240</v>
      </c>
      <c r="N19" s="921" t="s">
        <v>181</v>
      </c>
      <c r="O19" s="924">
        <v>30</v>
      </c>
      <c r="P19" s="925" t="s">
        <v>5910</v>
      </c>
      <c r="Q19" s="926"/>
      <c r="R19" s="921" t="s">
        <v>3164</v>
      </c>
      <c r="S19" s="921" t="s">
        <v>799</v>
      </c>
      <c r="T19" s="921" t="s">
        <v>4241</v>
      </c>
      <c r="U19" s="947" t="s">
        <v>4242</v>
      </c>
      <c r="V19" s="922">
        <v>5917</v>
      </c>
      <c r="W19" s="924" t="s">
        <v>181</v>
      </c>
      <c r="X19" s="1028" t="s">
        <v>5124</v>
      </c>
      <c r="Y19" s="298"/>
    </row>
    <row r="20" spans="1:30" customFormat="1">
      <c r="A20" s="920" t="s">
        <v>6124</v>
      </c>
      <c r="B20" s="921" t="s">
        <v>2885</v>
      </c>
      <c r="C20" s="921" t="s">
        <v>5908</v>
      </c>
      <c r="D20" s="921">
        <v>1993</v>
      </c>
      <c r="E20" s="921">
        <v>85</v>
      </c>
      <c r="F20" s="922">
        <v>3.5</v>
      </c>
      <c r="G20" s="921">
        <v>2400</v>
      </c>
      <c r="H20" s="921">
        <f t="shared" si="1"/>
        <v>30000</v>
      </c>
      <c r="I20" s="923">
        <v>12.5</v>
      </c>
      <c r="J20" s="921" t="s">
        <v>5909</v>
      </c>
      <c r="K20" s="921">
        <v>5.14</v>
      </c>
      <c r="L20" s="921">
        <v>1.2598</v>
      </c>
      <c r="M20" s="921" t="s">
        <v>4240</v>
      </c>
      <c r="N20" s="921" t="s">
        <v>2732</v>
      </c>
      <c r="O20" s="924">
        <v>60</v>
      </c>
      <c r="P20" s="925" t="s">
        <v>361</v>
      </c>
      <c r="Q20" s="926"/>
      <c r="R20" s="921" t="s">
        <v>362</v>
      </c>
      <c r="S20" s="921" t="s">
        <v>363</v>
      </c>
      <c r="T20" s="932" t="s">
        <v>3177</v>
      </c>
      <c r="U20" s="947" t="s">
        <v>4242</v>
      </c>
      <c r="V20" s="922">
        <v>5748</v>
      </c>
      <c r="W20" s="924" t="s">
        <v>181</v>
      </c>
      <c r="X20" s="1027" t="s">
        <v>5124</v>
      </c>
      <c r="Y20" s="302"/>
    </row>
    <row r="21" spans="1:30" customFormat="1">
      <c r="A21" s="920" t="s">
        <v>6125</v>
      </c>
      <c r="B21" s="921" t="s">
        <v>2885</v>
      </c>
      <c r="C21" s="921" t="s">
        <v>5908</v>
      </c>
      <c r="D21" s="921">
        <v>1993</v>
      </c>
      <c r="E21" s="921">
        <v>85</v>
      </c>
      <c r="F21" s="922">
        <v>3.51</v>
      </c>
      <c r="G21" s="921">
        <v>2400</v>
      </c>
      <c r="H21" s="921">
        <f t="shared" si="1"/>
        <v>30000</v>
      </c>
      <c r="I21" s="923">
        <v>12.5</v>
      </c>
      <c r="J21" s="921" t="s">
        <v>5909</v>
      </c>
      <c r="K21" s="921">
        <v>5.14</v>
      </c>
      <c r="L21" s="921">
        <v>1.2598</v>
      </c>
      <c r="M21" s="921" t="s">
        <v>4240</v>
      </c>
      <c r="N21" s="921" t="s">
        <v>5625</v>
      </c>
      <c r="O21" s="924">
        <v>100</v>
      </c>
      <c r="P21" s="925" t="s">
        <v>361</v>
      </c>
      <c r="Q21" s="926"/>
      <c r="R21" s="921" t="s">
        <v>362</v>
      </c>
      <c r="S21" s="921" t="s">
        <v>363</v>
      </c>
      <c r="T21" s="932" t="s">
        <v>3177</v>
      </c>
      <c r="U21" s="947" t="s">
        <v>4242</v>
      </c>
      <c r="V21" s="922">
        <v>5740</v>
      </c>
      <c r="W21" s="924" t="s">
        <v>181</v>
      </c>
      <c r="X21" s="1027" t="s">
        <v>5124</v>
      </c>
      <c r="Y21" s="302"/>
    </row>
    <row r="22" spans="1:30" customFormat="1">
      <c r="A22" s="920" t="s">
        <v>6126</v>
      </c>
      <c r="B22" s="921" t="s">
        <v>2881</v>
      </c>
      <c r="C22" s="921" t="s">
        <v>5908</v>
      </c>
      <c r="D22" s="933">
        <v>1994</v>
      </c>
      <c r="E22" s="927">
        <v>33</v>
      </c>
      <c r="F22" s="937">
        <v>1.08</v>
      </c>
      <c r="G22" s="927">
        <v>2200</v>
      </c>
      <c r="H22" s="921">
        <f t="shared" si="1"/>
        <v>29986</v>
      </c>
      <c r="I22" s="926">
        <v>13.63</v>
      </c>
      <c r="J22" s="921" t="s">
        <v>5909</v>
      </c>
      <c r="K22" s="921">
        <v>6.22</v>
      </c>
      <c r="L22" s="921">
        <v>0.86609999999999998</v>
      </c>
      <c r="M22" s="921" t="s">
        <v>4240</v>
      </c>
      <c r="N22" s="921" t="s">
        <v>181</v>
      </c>
      <c r="O22" s="924">
        <v>30</v>
      </c>
      <c r="P22" s="925" t="s">
        <v>5910</v>
      </c>
      <c r="Q22" s="926"/>
      <c r="R22" s="921" t="s">
        <v>3164</v>
      </c>
      <c r="S22" s="921" t="s">
        <v>799</v>
      </c>
      <c r="T22" s="921" t="s">
        <v>4241</v>
      </c>
      <c r="U22" s="947" t="s">
        <v>4242</v>
      </c>
      <c r="V22" s="922">
        <v>5917</v>
      </c>
      <c r="W22" s="924" t="s">
        <v>181</v>
      </c>
      <c r="X22" s="1028" t="s">
        <v>5124</v>
      </c>
      <c r="Y22" s="302"/>
    </row>
    <row r="23" spans="1:30" ht="22.5">
      <c r="A23" s="920" t="s">
        <v>6127</v>
      </c>
      <c r="B23" s="921" t="s">
        <v>506</v>
      </c>
      <c r="C23" s="921" t="s">
        <v>3511</v>
      </c>
      <c r="D23" s="921">
        <v>1994</v>
      </c>
      <c r="E23" s="927">
        <v>85</v>
      </c>
      <c r="F23" s="937">
        <v>2.27</v>
      </c>
      <c r="G23" s="927">
        <v>2450</v>
      </c>
      <c r="H23" s="921">
        <f t="shared" si="1"/>
        <v>29400</v>
      </c>
      <c r="I23" s="921">
        <v>12</v>
      </c>
      <c r="J23" s="921" t="s">
        <v>3684</v>
      </c>
      <c r="K23" s="921">
        <v>6.85</v>
      </c>
      <c r="L23" s="921">
        <v>1.1024</v>
      </c>
      <c r="M23" s="921" t="s">
        <v>181</v>
      </c>
      <c r="N23" s="921" t="s">
        <v>4240</v>
      </c>
      <c r="O23" s="930">
        <v>60</v>
      </c>
      <c r="P23" s="927" t="s">
        <v>3685</v>
      </c>
      <c r="Q23" s="926"/>
      <c r="R23" s="921" t="s">
        <v>3686</v>
      </c>
      <c r="S23" s="921" t="s">
        <v>363</v>
      </c>
      <c r="T23" s="921" t="s">
        <v>4241</v>
      </c>
      <c r="U23" s="947" t="s">
        <v>4242</v>
      </c>
      <c r="V23" s="922">
        <v>5908</v>
      </c>
      <c r="W23" s="924" t="s">
        <v>4240</v>
      </c>
      <c r="X23" s="1027" t="s">
        <v>3683</v>
      </c>
      <c r="Y23" s="301"/>
      <c r="Z23" s="903"/>
      <c r="AA23" s="903"/>
      <c r="AB23" s="903"/>
      <c r="AC23" s="903"/>
      <c r="AD23" s="903"/>
    </row>
    <row r="24" spans="1:30">
      <c r="A24" s="920" t="s">
        <v>6128</v>
      </c>
      <c r="B24" s="921" t="s">
        <v>2885</v>
      </c>
      <c r="C24" s="921" t="s">
        <v>5908</v>
      </c>
      <c r="D24" s="921">
        <v>1994</v>
      </c>
      <c r="E24" s="927">
        <v>85</v>
      </c>
      <c r="F24" s="940">
        <v>3.5</v>
      </c>
      <c r="G24" s="927">
        <v>2400</v>
      </c>
      <c r="H24" s="921">
        <f t="shared" si="1"/>
        <v>30000</v>
      </c>
      <c r="I24" s="923">
        <v>12.5</v>
      </c>
      <c r="J24" s="921" t="s">
        <v>5909</v>
      </c>
      <c r="K24" s="921">
        <v>5.14</v>
      </c>
      <c r="L24" s="921">
        <v>1.2598</v>
      </c>
      <c r="M24" s="921" t="s">
        <v>4240</v>
      </c>
      <c r="N24" s="921" t="s">
        <v>2731</v>
      </c>
      <c r="O24" s="930">
        <v>60</v>
      </c>
      <c r="P24" s="925" t="s">
        <v>361</v>
      </c>
      <c r="Q24" s="926"/>
      <c r="R24" s="921" t="s">
        <v>5626</v>
      </c>
      <c r="S24" s="921" t="s">
        <v>363</v>
      </c>
      <c r="T24" s="932" t="s">
        <v>3177</v>
      </c>
      <c r="U24" s="947" t="s">
        <v>4242</v>
      </c>
      <c r="V24" s="922">
        <v>7518</v>
      </c>
      <c r="W24" s="924" t="s">
        <v>181</v>
      </c>
      <c r="X24" s="1027" t="s">
        <v>5124</v>
      </c>
      <c r="Y24" s="902"/>
      <c r="Z24" s="852"/>
      <c r="AA24" s="852"/>
      <c r="AB24" s="852"/>
      <c r="AC24" s="192"/>
      <c r="AD24" s="192"/>
    </row>
    <row r="25" spans="1:30">
      <c r="A25" s="941" t="s">
        <v>6129</v>
      </c>
      <c r="B25" s="922" t="s">
        <v>2881</v>
      </c>
      <c r="C25" s="939" t="s">
        <v>5908</v>
      </c>
      <c r="D25" s="922">
        <v>1994</v>
      </c>
      <c r="E25" s="942">
        <v>55</v>
      </c>
      <c r="F25" s="943" t="s">
        <v>5627</v>
      </c>
      <c r="G25" s="942">
        <v>2200</v>
      </c>
      <c r="H25" s="922">
        <f t="shared" si="1"/>
        <v>24992</v>
      </c>
      <c r="I25" s="944">
        <v>11.36</v>
      </c>
      <c r="J25" s="939" t="s">
        <v>5909</v>
      </c>
      <c r="K25" s="939">
        <v>8.15</v>
      </c>
      <c r="L25" s="939">
        <v>0.94489999999999996</v>
      </c>
      <c r="M25" s="922" t="s">
        <v>4240</v>
      </c>
      <c r="N25" s="939" t="s">
        <v>2184</v>
      </c>
      <c r="O25" s="945">
        <v>30</v>
      </c>
      <c r="P25" s="946" t="s">
        <v>689</v>
      </c>
      <c r="Q25" s="944"/>
      <c r="R25" s="939" t="s">
        <v>690</v>
      </c>
      <c r="S25" s="939" t="s">
        <v>691</v>
      </c>
      <c r="T25" s="939" t="s">
        <v>4241</v>
      </c>
      <c r="U25" s="947" t="s">
        <v>4242</v>
      </c>
      <c r="V25" s="922">
        <v>7513</v>
      </c>
      <c r="W25" s="947" t="s">
        <v>181</v>
      </c>
      <c r="X25" s="1030" t="s">
        <v>5124</v>
      </c>
      <c r="Y25" s="298"/>
    </row>
    <row r="26" spans="1:30" s="903" customFormat="1" ht="13.5" customHeight="1">
      <c r="A26" s="948" t="s">
        <v>76</v>
      </c>
      <c r="B26" s="921" t="s">
        <v>2881</v>
      </c>
      <c r="C26" s="932" t="s">
        <v>5908</v>
      </c>
      <c r="D26" s="927">
        <v>1996</v>
      </c>
      <c r="E26" s="949">
        <v>85</v>
      </c>
      <c r="F26" s="950">
        <v>3.51</v>
      </c>
      <c r="G26" s="949">
        <v>2400</v>
      </c>
      <c r="H26" s="921">
        <f t="shared" si="1"/>
        <v>30000</v>
      </c>
      <c r="I26" s="951">
        <v>12.5</v>
      </c>
      <c r="J26" s="932" t="s">
        <v>5909</v>
      </c>
      <c r="K26" s="932">
        <v>5.14</v>
      </c>
      <c r="L26" s="932">
        <v>1.2598</v>
      </c>
      <c r="M26" s="921" t="s">
        <v>4240</v>
      </c>
      <c r="N26" s="932" t="s">
        <v>2184</v>
      </c>
      <c r="O26" s="952">
        <v>60</v>
      </c>
      <c r="P26" s="953" t="s">
        <v>361</v>
      </c>
      <c r="Q26" s="951"/>
      <c r="R26" s="932" t="s">
        <v>692</v>
      </c>
      <c r="S26" s="921" t="s">
        <v>363</v>
      </c>
      <c r="T26" s="932" t="s">
        <v>3177</v>
      </c>
      <c r="U26" s="947" t="s">
        <v>4242</v>
      </c>
      <c r="V26" s="922">
        <v>7701</v>
      </c>
      <c r="W26" s="924" t="s">
        <v>181</v>
      </c>
      <c r="X26" s="1028" t="s">
        <v>693</v>
      </c>
      <c r="Y26" s="902"/>
      <c r="Z26" s="852"/>
      <c r="AA26" s="852"/>
      <c r="AB26" s="852"/>
      <c r="AC26" s="192"/>
      <c r="AD26" s="192"/>
    </row>
    <row r="27" spans="1:30">
      <c r="A27" s="954" t="s">
        <v>6130</v>
      </c>
      <c r="B27" s="931" t="s">
        <v>2882</v>
      </c>
      <c r="C27" s="955" t="s">
        <v>4799</v>
      </c>
      <c r="D27" s="956">
        <v>1999</v>
      </c>
      <c r="E27" s="955">
        <v>55</v>
      </c>
      <c r="F27" s="957">
        <v>1.24</v>
      </c>
      <c r="G27" s="955">
        <v>2050</v>
      </c>
      <c r="H27" s="921">
        <f t="shared" si="1"/>
        <v>52316</v>
      </c>
      <c r="I27" s="955">
        <v>25.52</v>
      </c>
      <c r="J27" s="955" t="s">
        <v>6177</v>
      </c>
      <c r="K27" s="955">
        <v>7.7</v>
      </c>
      <c r="L27" s="955">
        <v>0.86599999999999999</v>
      </c>
      <c r="M27" s="955" t="s">
        <v>181</v>
      </c>
      <c r="N27" s="955" t="s">
        <v>6051</v>
      </c>
      <c r="O27" s="958">
        <v>60</v>
      </c>
      <c r="P27" s="955" t="s">
        <v>4113</v>
      </c>
      <c r="Q27" s="959"/>
      <c r="R27" s="955" t="s">
        <v>4114</v>
      </c>
      <c r="S27" s="955" t="s">
        <v>341</v>
      </c>
      <c r="T27" s="955" t="s">
        <v>4115</v>
      </c>
      <c r="U27" s="958" t="s">
        <v>4242</v>
      </c>
      <c r="V27" s="957"/>
      <c r="W27" s="960" t="s">
        <v>181</v>
      </c>
      <c r="X27" s="961" t="s">
        <v>926</v>
      </c>
      <c r="Y27" s="902"/>
      <c r="Z27" s="852"/>
      <c r="AA27" s="852"/>
      <c r="AB27" s="852"/>
      <c r="AC27" s="192"/>
      <c r="AD27" s="192"/>
    </row>
    <row r="28" spans="1:30" customFormat="1" ht="22.5">
      <c r="A28" s="962" t="s">
        <v>6131</v>
      </c>
      <c r="B28" s="931" t="s">
        <v>2882</v>
      </c>
      <c r="C28" s="963" t="s">
        <v>2886</v>
      </c>
      <c r="D28" s="964">
        <v>2000</v>
      </c>
      <c r="E28" s="931">
        <v>55</v>
      </c>
      <c r="F28" s="914">
        <v>0.95</v>
      </c>
      <c r="G28" s="965" t="s">
        <v>3576</v>
      </c>
      <c r="H28" s="966">
        <v>34128</v>
      </c>
      <c r="I28" s="931">
        <v>1</v>
      </c>
      <c r="J28" s="931" t="s">
        <v>4420</v>
      </c>
      <c r="K28" s="931">
        <v>7.87</v>
      </c>
      <c r="L28" s="931">
        <v>0.87</v>
      </c>
      <c r="M28" s="931" t="s">
        <v>5225</v>
      </c>
      <c r="N28" s="931" t="s">
        <v>3376</v>
      </c>
      <c r="O28" s="967">
        <v>60</v>
      </c>
      <c r="P28" s="968" t="s">
        <v>3377</v>
      </c>
      <c r="Q28" s="969"/>
      <c r="R28" s="931" t="s">
        <v>3378</v>
      </c>
      <c r="S28" s="931" t="s">
        <v>3379</v>
      </c>
      <c r="T28" s="932" t="s">
        <v>4241</v>
      </c>
      <c r="U28" s="917" t="s">
        <v>342</v>
      </c>
      <c r="V28" s="914">
        <v>8536</v>
      </c>
      <c r="W28" s="967" t="s">
        <v>181</v>
      </c>
      <c r="X28" s="1031" t="s">
        <v>3381</v>
      </c>
      <c r="Y28" s="302"/>
    </row>
    <row r="29" spans="1:30" s="192" customFormat="1">
      <c r="A29" s="970" t="s">
        <v>6132</v>
      </c>
      <c r="B29" s="922" t="s">
        <v>2881</v>
      </c>
      <c r="C29" s="963" t="s">
        <v>2886</v>
      </c>
      <c r="D29" s="971">
        <v>2000</v>
      </c>
      <c r="E29" s="957">
        <v>55</v>
      </c>
      <c r="F29" s="957">
        <v>0.95</v>
      </c>
      <c r="G29" s="972" t="s">
        <v>3576</v>
      </c>
      <c r="H29" s="957">
        <v>34136</v>
      </c>
      <c r="I29" s="973">
        <v>1</v>
      </c>
      <c r="J29" s="957" t="s">
        <v>138</v>
      </c>
      <c r="K29" s="957">
        <v>7.87</v>
      </c>
      <c r="L29" s="957" t="s">
        <v>139</v>
      </c>
      <c r="M29" s="957" t="s">
        <v>5225</v>
      </c>
      <c r="N29" s="957" t="s">
        <v>3061</v>
      </c>
      <c r="O29" s="958">
        <v>60</v>
      </c>
      <c r="P29" s="957" t="s">
        <v>3062</v>
      </c>
      <c r="Q29" s="974"/>
      <c r="R29" s="957" t="s">
        <v>3378</v>
      </c>
      <c r="S29" s="957" t="s">
        <v>5203</v>
      </c>
      <c r="T29" s="957" t="s">
        <v>1471</v>
      </c>
      <c r="U29" s="958" t="s">
        <v>4242</v>
      </c>
      <c r="V29" s="957"/>
      <c r="W29" s="958" t="s">
        <v>3380</v>
      </c>
      <c r="X29" s="975" t="s">
        <v>6176</v>
      </c>
      <c r="Y29" s="303"/>
    </row>
    <row r="30" spans="1:30" s="904" customFormat="1" ht="14.25" customHeight="1">
      <c r="A30" s="920" t="s">
        <v>694</v>
      </c>
      <c r="B30" s="921" t="s">
        <v>2881</v>
      </c>
      <c r="C30" s="921" t="s">
        <v>695</v>
      </c>
      <c r="D30" s="921">
        <v>1988</v>
      </c>
      <c r="E30" s="921">
        <v>165</v>
      </c>
      <c r="F30" s="937">
        <v>5</v>
      </c>
      <c r="G30" s="921">
        <v>2175</v>
      </c>
      <c r="H30" s="921">
        <f t="shared" ref="H30:H38" si="2">G30*I30</f>
        <v>27492</v>
      </c>
      <c r="I30" s="923">
        <v>12.64</v>
      </c>
      <c r="J30" s="921" t="s">
        <v>696</v>
      </c>
      <c r="K30" s="921">
        <v>5.72</v>
      </c>
      <c r="L30" s="921">
        <v>1.3778999999999999</v>
      </c>
      <c r="M30" s="921" t="s">
        <v>181</v>
      </c>
      <c r="N30" s="921" t="s">
        <v>4240</v>
      </c>
      <c r="O30" s="924">
        <v>60</v>
      </c>
      <c r="P30" s="925" t="s">
        <v>697</v>
      </c>
      <c r="Q30" s="926"/>
      <c r="R30" s="921" t="s">
        <v>698</v>
      </c>
      <c r="S30" s="921" t="s">
        <v>699</v>
      </c>
      <c r="T30" s="921" t="s">
        <v>4241</v>
      </c>
      <c r="U30" s="947" t="s">
        <v>4242</v>
      </c>
      <c r="V30" s="922">
        <v>5031</v>
      </c>
      <c r="W30" s="924" t="s">
        <v>181</v>
      </c>
      <c r="X30" s="1028" t="s">
        <v>2750</v>
      </c>
      <c r="Y30" s="300"/>
    </row>
    <row r="31" spans="1:30" s="192" customFormat="1">
      <c r="A31" s="920" t="s">
        <v>2751</v>
      </c>
      <c r="B31" s="921" t="s">
        <v>3719</v>
      </c>
      <c r="C31" s="921" t="s">
        <v>695</v>
      </c>
      <c r="D31" s="921">
        <v>1989</v>
      </c>
      <c r="E31" s="921">
        <v>165</v>
      </c>
      <c r="F31" s="976">
        <v>7</v>
      </c>
      <c r="G31" s="921">
        <v>2175</v>
      </c>
      <c r="H31" s="921">
        <f t="shared" si="2"/>
        <v>21054</v>
      </c>
      <c r="I31" s="923">
        <v>9.68</v>
      </c>
      <c r="J31" s="921" t="s">
        <v>696</v>
      </c>
      <c r="K31" s="921">
        <v>5.72</v>
      </c>
      <c r="L31" s="921">
        <v>1.5748</v>
      </c>
      <c r="M31" s="921" t="s">
        <v>181</v>
      </c>
      <c r="N31" s="921" t="s">
        <v>2732</v>
      </c>
      <c r="O31" s="924">
        <v>200</v>
      </c>
      <c r="P31" s="925" t="s">
        <v>697</v>
      </c>
      <c r="Q31" s="926"/>
      <c r="R31" s="921" t="s">
        <v>698</v>
      </c>
      <c r="S31" s="921" t="s">
        <v>699</v>
      </c>
      <c r="T31" s="921" t="s">
        <v>2752</v>
      </c>
      <c r="U31" s="947" t="s">
        <v>4242</v>
      </c>
      <c r="V31" s="922">
        <v>5083</v>
      </c>
      <c r="W31" s="924" t="s">
        <v>181</v>
      </c>
      <c r="X31" s="1027" t="s">
        <v>2753</v>
      </c>
      <c r="Y31" s="303"/>
    </row>
    <row r="32" spans="1:30" customFormat="1">
      <c r="A32" s="920" t="s">
        <v>4464</v>
      </c>
      <c r="B32" s="921" t="s">
        <v>3723</v>
      </c>
      <c r="C32" s="921" t="s">
        <v>695</v>
      </c>
      <c r="D32" s="921">
        <v>1989</v>
      </c>
      <c r="E32" s="927">
        <v>165</v>
      </c>
      <c r="F32" s="977">
        <v>7</v>
      </c>
      <c r="G32" s="921">
        <v>2175</v>
      </c>
      <c r="H32" s="921">
        <f t="shared" si="2"/>
        <v>21750</v>
      </c>
      <c r="I32" s="936">
        <v>10</v>
      </c>
      <c r="J32" s="921" t="s">
        <v>568</v>
      </c>
      <c r="K32" s="921">
        <v>5.72</v>
      </c>
      <c r="L32" s="921">
        <v>1.5748</v>
      </c>
      <c r="M32" s="921" t="s">
        <v>181</v>
      </c>
      <c r="N32" s="921" t="s">
        <v>569</v>
      </c>
      <c r="O32" s="924">
        <v>200</v>
      </c>
      <c r="P32" s="927" t="s">
        <v>570</v>
      </c>
      <c r="Q32" s="926"/>
      <c r="R32" s="921" t="s">
        <v>698</v>
      </c>
      <c r="S32" s="921" t="s">
        <v>699</v>
      </c>
      <c r="T32" s="921" t="s">
        <v>4241</v>
      </c>
      <c r="U32" s="947" t="s">
        <v>4242</v>
      </c>
      <c r="V32" s="922">
        <v>5082</v>
      </c>
      <c r="W32" s="924" t="s">
        <v>181</v>
      </c>
      <c r="X32" s="1027" t="s">
        <v>571</v>
      </c>
      <c r="Y32" s="302"/>
    </row>
    <row r="33" spans="1:25" customFormat="1">
      <c r="A33" s="962" t="s">
        <v>4835</v>
      </c>
      <c r="B33" s="931" t="s">
        <v>2882</v>
      </c>
      <c r="C33" s="931" t="s">
        <v>695</v>
      </c>
      <c r="D33" s="931">
        <v>1989</v>
      </c>
      <c r="E33" s="931">
        <v>110</v>
      </c>
      <c r="F33" s="914">
        <v>5</v>
      </c>
      <c r="G33" s="978">
        <v>2176</v>
      </c>
      <c r="H33" s="936">
        <f t="shared" si="2"/>
        <v>27504.639999999999</v>
      </c>
      <c r="I33" s="931">
        <v>12.64</v>
      </c>
      <c r="J33" s="931" t="s">
        <v>3822</v>
      </c>
      <c r="K33" s="931">
        <v>4.49</v>
      </c>
      <c r="L33" s="931">
        <v>1.3778999999999999</v>
      </c>
      <c r="M33" s="931" t="s">
        <v>181</v>
      </c>
      <c r="N33" s="931" t="s">
        <v>4240</v>
      </c>
      <c r="O33" s="967">
        <v>100</v>
      </c>
      <c r="P33" s="934" t="s">
        <v>361</v>
      </c>
      <c r="Q33" s="979"/>
      <c r="R33" s="931" t="s">
        <v>3823</v>
      </c>
      <c r="S33" s="931" t="s">
        <v>3991</v>
      </c>
      <c r="T33" s="931" t="s">
        <v>4241</v>
      </c>
      <c r="U33" s="917" t="s">
        <v>4242</v>
      </c>
      <c r="V33" s="914">
        <v>5104</v>
      </c>
      <c r="W33" s="967" t="s">
        <v>4240</v>
      </c>
      <c r="X33" s="1031" t="s">
        <v>4832</v>
      </c>
      <c r="Y33" s="302"/>
    </row>
    <row r="34" spans="1:25" customFormat="1">
      <c r="A34" s="920" t="s">
        <v>572</v>
      </c>
      <c r="B34" s="921" t="s">
        <v>3719</v>
      </c>
      <c r="C34" s="921" t="s">
        <v>695</v>
      </c>
      <c r="D34" s="921">
        <v>1990</v>
      </c>
      <c r="E34" s="927">
        <v>165</v>
      </c>
      <c r="F34" s="937">
        <v>11</v>
      </c>
      <c r="G34" s="927">
        <v>2650</v>
      </c>
      <c r="H34" s="921">
        <f t="shared" si="2"/>
        <v>27029.999999999996</v>
      </c>
      <c r="I34" s="921">
        <v>10.199999999999999</v>
      </c>
      <c r="J34" s="921" t="s">
        <v>568</v>
      </c>
      <c r="K34" s="921">
        <v>5.72</v>
      </c>
      <c r="L34" s="921">
        <v>1.7716000000000001</v>
      </c>
      <c r="M34" s="921" t="s">
        <v>181</v>
      </c>
      <c r="N34" s="921" t="s">
        <v>4240</v>
      </c>
      <c r="O34" s="924">
        <v>200</v>
      </c>
      <c r="P34" s="921" t="s">
        <v>573</v>
      </c>
      <c r="Q34" s="923"/>
      <c r="R34" s="921" t="s">
        <v>698</v>
      </c>
      <c r="S34" s="921" t="s">
        <v>699</v>
      </c>
      <c r="T34" s="921" t="s">
        <v>4241</v>
      </c>
      <c r="U34" s="947" t="s">
        <v>4242</v>
      </c>
      <c r="V34" s="922">
        <v>5129</v>
      </c>
      <c r="W34" s="924" t="s">
        <v>181</v>
      </c>
      <c r="X34" s="1027" t="s">
        <v>571</v>
      </c>
      <c r="Y34" s="302"/>
    </row>
    <row r="35" spans="1:25" customFormat="1">
      <c r="A35" s="920" t="s">
        <v>567</v>
      </c>
      <c r="B35" s="921" t="s">
        <v>3719</v>
      </c>
      <c r="C35" s="927" t="s">
        <v>695</v>
      </c>
      <c r="D35" s="921">
        <v>1991</v>
      </c>
      <c r="E35" s="921">
        <v>165</v>
      </c>
      <c r="F35" s="922">
        <v>5</v>
      </c>
      <c r="G35" s="921">
        <v>2175</v>
      </c>
      <c r="H35" s="921">
        <f t="shared" si="2"/>
        <v>27492</v>
      </c>
      <c r="I35" s="921">
        <v>12.64</v>
      </c>
      <c r="J35" s="921" t="s">
        <v>4873</v>
      </c>
      <c r="K35" s="921">
        <v>5.54</v>
      </c>
      <c r="L35" s="921">
        <v>1.3778999999999999</v>
      </c>
      <c r="M35" s="921" t="s">
        <v>181</v>
      </c>
      <c r="N35" s="921" t="s">
        <v>181</v>
      </c>
      <c r="O35" s="924">
        <v>200</v>
      </c>
      <c r="P35" s="927" t="s">
        <v>4874</v>
      </c>
      <c r="Q35" s="926"/>
      <c r="R35" s="921" t="s">
        <v>698</v>
      </c>
      <c r="S35" s="921" t="s">
        <v>699</v>
      </c>
      <c r="T35" s="921" t="s">
        <v>4241</v>
      </c>
      <c r="U35" s="947" t="s">
        <v>342</v>
      </c>
      <c r="V35" s="922">
        <v>5201</v>
      </c>
      <c r="W35" s="924" t="s">
        <v>181</v>
      </c>
      <c r="X35" s="1027" t="s">
        <v>571</v>
      </c>
      <c r="Y35" s="302"/>
    </row>
    <row r="36" spans="1:25" customFormat="1">
      <c r="A36" s="920" t="s">
        <v>4875</v>
      </c>
      <c r="B36" s="921" t="s">
        <v>3723</v>
      </c>
      <c r="C36" s="921" t="s">
        <v>695</v>
      </c>
      <c r="D36" s="921">
        <v>1991</v>
      </c>
      <c r="E36" s="927">
        <v>165</v>
      </c>
      <c r="F36" s="937">
        <v>11</v>
      </c>
      <c r="G36" s="927">
        <v>2650</v>
      </c>
      <c r="H36" s="921">
        <f t="shared" si="2"/>
        <v>26500</v>
      </c>
      <c r="I36" s="921">
        <v>10</v>
      </c>
      <c r="J36" s="921" t="s">
        <v>568</v>
      </c>
      <c r="K36" s="921">
        <v>4.28</v>
      </c>
      <c r="L36" s="921">
        <v>1.7716000000000001</v>
      </c>
      <c r="M36" s="921" t="s">
        <v>181</v>
      </c>
      <c r="N36" s="932" t="s">
        <v>4876</v>
      </c>
      <c r="O36" s="924">
        <v>200</v>
      </c>
      <c r="P36" s="927" t="s">
        <v>570</v>
      </c>
      <c r="Q36" s="926"/>
      <c r="R36" s="921" t="s">
        <v>698</v>
      </c>
      <c r="S36" s="921" t="s">
        <v>699</v>
      </c>
      <c r="T36" s="921" t="s">
        <v>2752</v>
      </c>
      <c r="U36" s="947" t="s">
        <v>4242</v>
      </c>
      <c r="V36" s="922">
        <v>5197</v>
      </c>
      <c r="W36" s="924" t="s">
        <v>181</v>
      </c>
      <c r="X36" s="1027" t="s">
        <v>571</v>
      </c>
      <c r="Y36" s="302"/>
    </row>
    <row r="37" spans="1:25" customFormat="1">
      <c r="A37" s="920" t="s">
        <v>6133</v>
      </c>
      <c r="B37" s="921" t="s">
        <v>2881</v>
      </c>
      <c r="C37" s="921" t="s">
        <v>4799</v>
      </c>
      <c r="D37" s="921">
        <v>1991</v>
      </c>
      <c r="E37" s="921">
        <v>100</v>
      </c>
      <c r="F37" s="922">
        <v>3.21</v>
      </c>
      <c r="G37" s="927">
        <v>2900</v>
      </c>
      <c r="H37" s="921">
        <f t="shared" si="2"/>
        <v>31900</v>
      </c>
      <c r="I37" s="923">
        <v>11</v>
      </c>
      <c r="J37" s="921" t="s">
        <v>2324</v>
      </c>
      <c r="K37" s="921">
        <v>11.7</v>
      </c>
      <c r="L37" s="921">
        <v>1.1811</v>
      </c>
      <c r="M37" s="921" t="s">
        <v>181</v>
      </c>
      <c r="N37" s="921" t="s">
        <v>2732</v>
      </c>
      <c r="O37" s="924">
        <v>100</v>
      </c>
      <c r="P37" s="925" t="s">
        <v>6134</v>
      </c>
      <c r="Q37" s="926"/>
      <c r="R37" s="921" t="s">
        <v>2754</v>
      </c>
      <c r="S37" s="921" t="s">
        <v>3909</v>
      </c>
      <c r="T37" s="932" t="s">
        <v>3177</v>
      </c>
      <c r="U37" s="947" t="s">
        <v>4242</v>
      </c>
      <c r="V37" s="922">
        <v>5472</v>
      </c>
      <c r="W37" s="924" t="s">
        <v>181</v>
      </c>
      <c r="X37" s="1029" t="s">
        <v>3910</v>
      </c>
      <c r="Y37" s="302"/>
    </row>
    <row r="38" spans="1:25" customFormat="1" ht="22.5">
      <c r="A38" s="920" t="s">
        <v>4877</v>
      </c>
      <c r="B38" s="921" t="s">
        <v>506</v>
      </c>
      <c r="C38" s="921" t="s">
        <v>695</v>
      </c>
      <c r="D38" s="921">
        <v>1992</v>
      </c>
      <c r="E38" s="921">
        <v>165</v>
      </c>
      <c r="F38" s="977">
        <v>8</v>
      </c>
      <c r="G38" s="921">
        <v>2600</v>
      </c>
      <c r="H38" s="921">
        <f t="shared" si="2"/>
        <v>27248</v>
      </c>
      <c r="I38" s="921">
        <v>10.48</v>
      </c>
      <c r="J38" s="921" t="s">
        <v>4873</v>
      </c>
      <c r="K38" s="921">
        <v>5.14</v>
      </c>
      <c r="L38" s="921">
        <v>1.5748</v>
      </c>
      <c r="M38" s="921" t="s">
        <v>4240</v>
      </c>
      <c r="N38" s="921" t="s">
        <v>4240</v>
      </c>
      <c r="O38" s="924">
        <v>150</v>
      </c>
      <c r="P38" s="927" t="s">
        <v>570</v>
      </c>
      <c r="Q38" s="926"/>
      <c r="R38" s="921" t="s">
        <v>698</v>
      </c>
      <c r="S38" s="921" t="s">
        <v>699</v>
      </c>
      <c r="T38" s="932" t="s">
        <v>3177</v>
      </c>
      <c r="U38" s="947" t="s">
        <v>4242</v>
      </c>
      <c r="V38" s="922">
        <v>5545</v>
      </c>
      <c r="W38" s="924" t="s">
        <v>4240</v>
      </c>
      <c r="X38" s="1027" t="s">
        <v>30</v>
      </c>
      <c r="Y38" s="302"/>
    </row>
    <row r="39" spans="1:25" customFormat="1" ht="22.5">
      <c r="A39" s="962" t="s">
        <v>5008</v>
      </c>
      <c r="B39" s="931" t="s">
        <v>2882</v>
      </c>
      <c r="C39" s="931" t="s">
        <v>3654</v>
      </c>
      <c r="D39" s="931">
        <v>1992</v>
      </c>
      <c r="E39" s="931">
        <v>110</v>
      </c>
      <c r="F39" s="914">
        <v>5</v>
      </c>
      <c r="G39" s="938" t="s">
        <v>3576</v>
      </c>
      <c r="H39" s="931">
        <v>33424</v>
      </c>
      <c r="I39" s="931">
        <v>1</v>
      </c>
      <c r="J39" s="931" t="s">
        <v>4420</v>
      </c>
      <c r="K39" s="931">
        <v>7.28</v>
      </c>
      <c r="L39" s="931">
        <v>1.4173</v>
      </c>
      <c r="M39" s="931" t="s">
        <v>4240</v>
      </c>
      <c r="N39" s="931" t="s">
        <v>2732</v>
      </c>
      <c r="O39" s="967">
        <v>100</v>
      </c>
      <c r="P39" s="934" t="s">
        <v>3912</v>
      </c>
      <c r="Q39" s="979"/>
      <c r="R39" s="931" t="s">
        <v>3913</v>
      </c>
      <c r="S39" s="931" t="s">
        <v>1774</v>
      </c>
      <c r="T39" s="932" t="s">
        <v>3177</v>
      </c>
      <c r="U39" s="917" t="s">
        <v>4242</v>
      </c>
      <c r="V39" s="914">
        <v>5602</v>
      </c>
      <c r="W39" s="967" t="s">
        <v>181</v>
      </c>
      <c r="X39" s="1031" t="s">
        <v>5907</v>
      </c>
      <c r="Y39" s="302"/>
    </row>
    <row r="40" spans="1:25" customFormat="1" ht="22.5">
      <c r="A40" s="920" t="s">
        <v>3911</v>
      </c>
      <c r="B40" s="931" t="s">
        <v>2882</v>
      </c>
      <c r="C40" s="921" t="s">
        <v>3654</v>
      </c>
      <c r="D40" s="921">
        <v>1992</v>
      </c>
      <c r="E40" s="927">
        <v>110</v>
      </c>
      <c r="F40" s="937">
        <v>5</v>
      </c>
      <c r="G40" s="938" t="s">
        <v>3576</v>
      </c>
      <c r="H40" s="921">
        <v>33424</v>
      </c>
      <c r="I40" s="923">
        <v>1</v>
      </c>
      <c r="J40" s="921" t="s">
        <v>3655</v>
      </c>
      <c r="K40" s="921">
        <v>7.28</v>
      </c>
      <c r="L40" s="921">
        <v>1.4173</v>
      </c>
      <c r="M40" s="921" t="s">
        <v>4240</v>
      </c>
      <c r="N40" s="921" t="s">
        <v>2731</v>
      </c>
      <c r="O40" s="924">
        <v>100</v>
      </c>
      <c r="P40" s="925" t="s">
        <v>3912</v>
      </c>
      <c r="Q40" s="926"/>
      <c r="R40" s="921" t="s">
        <v>3913</v>
      </c>
      <c r="S40" s="921" t="s">
        <v>1774</v>
      </c>
      <c r="T40" s="932" t="s">
        <v>3177</v>
      </c>
      <c r="U40" s="947" t="s">
        <v>4242</v>
      </c>
      <c r="V40" s="922">
        <v>5593</v>
      </c>
      <c r="W40" s="924" t="s">
        <v>181</v>
      </c>
      <c r="X40" s="1031" t="s">
        <v>5907</v>
      </c>
      <c r="Y40" s="302"/>
    </row>
    <row r="41" spans="1:25" customFormat="1" ht="22.5">
      <c r="A41" s="920" t="s">
        <v>2038</v>
      </c>
      <c r="B41" s="921" t="s">
        <v>506</v>
      </c>
      <c r="C41" s="921" t="s">
        <v>695</v>
      </c>
      <c r="D41" s="921">
        <v>1993</v>
      </c>
      <c r="E41" s="921">
        <v>165</v>
      </c>
      <c r="F41" s="922">
        <v>8</v>
      </c>
      <c r="G41" s="921">
        <v>2600</v>
      </c>
      <c r="H41" s="921">
        <f>G41*I41</f>
        <v>27248</v>
      </c>
      <c r="I41" s="921">
        <v>10.48</v>
      </c>
      <c r="J41" s="921" t="s">
        <v>4873</v>
      </c>
      <c r="K41" s="921">
        <v>6.53</v>
      </c>
      <c r="L41" s="921">
        <v>1.5748</v>
      </c>
      <c r="M41" s="921" t="s">
        <v>4240</v>
      </c>
      <c r="N41" s="921" t="s">
        <v>181</v>
      </c>
      <c r="O41" s="924">
        <v>150</v>
      </c>
      <c r="P41" s="921" t="s">
        <v>2039</v>
      </c>
      <c r="Q41" s="923"/>
      <c r="R41" s="927" t="s">
        <v>698</v>
      </c>
      <c r="S41" s="921" t="s">
        <v>699</v>
      </c>
      <c r="T41" s="921" t="s">
        <v>3177</v>
      </c>
      <c r="U41" s="947" t="s">
        <v>4242</v>
      </c>
      <c r="V41" s="922">
        <v>5074</v>
      </c>
      <c r="W41" s="924" t="s">
        <v>181</v>
      </c>
      <c r="X41" s="1027" t="s">
        <v>30</v>
      </c>
      <c r="Y41" s="302"/>
    </row>
    <row r="42" spans="1:25" s="192" customFormat="1">
      <c r="A42" s="920" t="s">
        <v>1775</v>
      </c>
      <c r="B42" s="921" t="s">
        <v>2885</v>
      </c>
      <c r="C42" s="921" t="s">
        <v>4799</v>
      </c>
      <c r="D42" s="921">
        <v>1993</v>
      </c>
      <c r="E42" s="921">
        <v>125</v>
      </c>
      <c r="F42" s="980">
        <v>5</v>
      </c>
      <c r="G42" s="921">
        <v>2320</v>
      </c>
      <c r="H42" s="981">
        <v>30000</v>
      </c>
      <c r="I42" s="923">
        <v>12.93</v>
      </c>
      <c r="J42" s="921" t="s">
        <v>6314</v>
      </c>
      <c r="K42" s="921">
        <v>5</v>
      </c>
      <c r="L42" s="921">
        <v>1.3779999999999999</v>
      </c>
      <c r="M42" s="921" t="s">
        <v>4240</v>
      </c>
      <c r="N42" s="921" t="s">
        <v>4240</v>
      </c>
      <c r="O42" s="924">
        <v>100</v>
      </c>
      <c r="P42" s="925" t="s">
        <v>5413</v>
      </c>
      <c r="Q42" s="926"/>
      <c r="R42" s="921" t="s">
        <v>6051</v>
      </c>
      <c r="S42" s="921" t="s">
        <v>5614</v>
      </c>
      <c r="T42" s="921" t="s">
        <v>1471</v>
      </c>
      <c r="U42" s="947" t="s">
        <v>4242</v>
      </c>
      <c r="V42" s="922">
        <v>3039</v>
      </c>
      <c r="W42" s="924" t="s">
        <v>4240</v>
      </c>
      <c r="X42" s="1027" t="s">
        <v>5615</v>
      </c>
      <c r="Y42" s="303"/>
    </row>
    <row r="43" spans="1:25" s="192" customFormat="1" ht="22.5">
      <c r="A43" s="920" t="s">
        <v>2040</v>
      </c>
      <c r="B43" s="921" t="s">
        <v>506</v>
      </c>
      <c r="C43" s="921" t="s">
        <v>695</v>
      </c>
      <c r="D43" s="921">
        <v>1993</v>
      </c>
      <c r="E43" s="921">
        <v>165</v>
      </c>
      <c r="F43" s="922">
        <v>5</v>
      </c>
      <c r="G43" s="927">
        <v>2600</v>
      </c>
      <c r="H43" s="921">
        <f>G43*I43</f>
        <v>28600</v>
      </c>
      <c r="I43" s="927">
        <v>11</v>
      </c>
      <c r="J43" s="921" t="s">
        <v>4873</v>
      </c>
      <c r="K43" s="921">
        <v>5.54</v>
      </c>
      <c r="L43" s="921">
        <v>1.3778999999999999</v>
      </c>
      <c r="M43" s="921" t="s">
        <v>4240</v>
      </c>
      <c r="N43" s="921" t="s">
        <v>181</v>
      </c>
      <c r="O43" s="924">
        <v>150</v>
      </c>
      <c r="P43" s="921" t="s">
        <v>2039</v>
      </c>
      <c r="Q43" s="923"/>
      <c r="R43" s="927" t="s">
        <v>698</v>
      </c>
      <c r="S43" s="921" t="s">
        <v>699</v>
      </c>
      <c r="T43" s="921" t="s">
        <v>2752</v>
      </c>
      <c r="U43" s="947" t="s">
        <v>4242</v>
      </c>
      <c r="V43" s="922">
        <v>5760</v>
      </c>
      <c r="W43" s="924" t="s">
        <v>181</v>
      </c>
      <c r="X43" s="1027" t="s">
        <v>30</v>
      </c>
      <c r="Y43" s="303"/>
    </row>
    <row r="44" spans="1:25" customFormat="1" ht="22.5">
      <c r="A44" s="920" t="s">
        <v>2041</v>
      </c>
      <c r="B44" s="921" t="s">
        <v>506</v>
      </c>
      <c r="C44" s="921" t="s">
        <v>695</v>
      </c>
      <c r="D44" s="921">
        <v>1994</v>
      </c>
      <c r="E44" s="927">
        <v>165</v>
      </c>
      <c r="F44" s="937">
        <v>8</v>
      </c>
      <c r="G44" s="927">
        <v>2600</v>
      </c>
      <c r="H44" s="921">
        <f>G44*I44</f>
        <v>27040</v>
      </c>
      <c r="I44" s="927">
        <v>10.4</v>
      </c>
      <c r="J44" s="921">
        <v>486</v>
      </c>
      <c r="K44" s="921">
        <v>5.14</v>
      </c>
      <c r="L44" s="921">
        <v>1.5748</v>
      </c>
      <c r="M44" s="921" t="s">
        <v>4240</v>
      </c>
      <c r="N44" s="921" t="s">
        <v>4876</v>
      </c>
      <c r="O44" s="924">
        <v>150</v>
      </c>
      <c r="P44" s="927" t="s">
        <v>2042</v>
      </c>
      <c r="Q44" s="926"/>
      <c r="R44" s="921" t="s">
        <v>698</v>
      </c>
      <c r="S44" s="921" t="s">
        <v>699</v>
      </c>
      <c r="T44" s="921" t="s">
        <v>3177</v>
      </c>
      <c r="U44" s="947" t="s">
        <v>4242</v>
      </c>
      <c r="V44" s="922">
        <v>5973</v>
      </c>
      <c r="W44" s="924" t="s">
        <v>181</v>
      </c>
      <c r="X44" s="1027" t="s">
        <v>30</v>
      </c>
      <c r="Y44" s="302"/>
    </row>
    <row r="45" spans="1:25" customFormat="1" ht="22.5">
      <c r="A45" s="962" t="s">
        <v>1819</v>
      </c>
      <c r="B45" s="931" t="s">
        <v>2882</v>
      </c>
      <c r="C45" s="931" t="s">
        <v>3654</v>
      </c>
      <c r="D45" s="931">
        <v>1991</v>
      </c>
      <c r="E45" s="931">
        <v>110</v>
      </c>
      <c r="F45" s="914">
        <v>5.08</v>
      </c>
      <c r="G45" s="938" t="s">
        <v>3576</v>
      </c>
      <c r="H45" s="931">
        <v>33424</v>
      </c>
      <c r="I45" s="931">
        <v>1</v>
      </c>
      <c r="J45" s="931" t="s">
        <v>4420</v>
      </c>
      <c r="K45" s="931">
        <v>7.28</v>
      </c>
      <c r="L45" s="931">
        <v>1.4173</v>
      </c>
      <c r="M45" s="931" t="s">
        <v>181</v>
      </c>
      <c r="N45" s="931" t="s">
        <v>1820</v>
      </c>
      <c r="O45" s="967">
        <v>60</v>
      </c>
      <c r="P45" s="934" t="s">
        <v>3912</v>
      </c>
      <c r="Q45" s="979"/>
      <c r="R45" s="934" t="s">
        <v>1821</v>
      </c>
      <c r="S45" s="931" t="s">
        <v>1774</v>
      </c>
      <c r="T45" s="931" t="s">
        <v>4241</v>
      </c>
      <c r="U45" s="917" t="s">
        <v>342</v>
      </c>
      <c r="V45" s="914">
        <v>7501</v>
      </c>
      <c r="W45" s="967" t="s">
        <v>181</v>
      </c>
      <c r="X45" s="1031" t="s">
        <v>5907</v>
      </c>
      <c r="Y45" s="302"/>
    </row>
    <row r="46" spans="1:25" customFormat="1">
      <c r="A46" s="920" t="s">
        <v>2043</v>
      </c>
      <c r="B46" s="921" t="s">
        <v>3723</v>
      </c>
      <c r="C46" s="921" t="s">
        <v>695</v>
      </c>
      <c r="D46" s="921">
        <v>1995</v>
      </c>
      <c r="E46" s="927">
        <v>165</v>
      </c>
      <c r="F46" s="982">
        <v>8</v>
      </c>
      <c r="G46" s="927">
        <v>2600</v>
      </c>
      <c r="H46" s="921">
        <f>G46*I46</f>
        <v>27040</v>
      </c>
      <c r="I46" s="923">
        <v>10.4</v>
      </c>
      <c r="J46" s="921">
        <v>486</v>
      </c>
      <c r="K46" s="921">
        <v>5.14</v>
      </c>
      <c r="L46" s="921">
        <v>1.5748</v>
      </c>
      <c r="M46" s="921" t="s">
        <v>181</v>
      </c>
      <c r="N46" s="921" t="s">
        <v>569</v>
      </c>
      <c r="O46" s="930">
        <v>200</v>
      </c>
      <c r="P46" s="927" t="s">
        <v>2042</v>
      </c>
      <c r="Q46" s="926"/>
      <c r="R46" s="921" t="s">
        <v>698</v>
      </c>
      <c r="S46" s="921" t="s">
        <v>699</v>
      </c>
      <c r="T46" s="921" t="s">
        <v>4241</v>
      </c>
      <c r="U46" s="947" t="s">
        <v>4242</v>
      </c>
      <c r="V46" s="922">
        <v>7584</v>
      </c>
      <c r="W46" s="924" t="s">
        <v>181</v>
      </c>
      <c r="X46" s="1027" t="s">
        <v>3395</v>
      </c>
      <c r="Y46" s="302"/>
    </row>
    <row r="47" spans="1:25" customFormat="1">
      <c r="A47" s="948" t="s">
        <v>3396</v>
      </c>
      <c r="B47" s="921" t="s">
        <v>506</v>
      </c>
      <c r="C47" s="932" t="s">
        <v>695</v>
      </c>
      <c r="D47" s="921">
        <v>1995</v>
      </c>
      <c r="E47" s="949">
        <v>165</v>
      </c>
      <c r="F47" s="950">
        <v>5</v>
      </c>
      <c r="G47" s="949">
        <v>2175</v>
      </c>
      <c r="H47" s="921">
        <f>G47*I47</f>
        <v>27492</v>
      </c>
      <c r="I47" s="949">
        <v>12.64</v>
      </c>
      <c r="J47" s="932">
        <v>486</v>
      </c>
      <c r="K47" s="932">
        <v>5.55</v>
      </c>
      <c r="L47" s="932">
        <v>1.3778999999999999</v>
      </c>
      <c r="M47" s="921" t="s">
        <v>5225</v>
      </c>
      <c r="N47" s="932" t="s">
        <v>4876</v>
      </c>
      <c r="O47" s="983">
        <v>100</v>
      </c>
      <c r="P47" s="949" t="s">
        <v>2042</v>
      </c>
      <c r="Q47" s="951"/>
      <c r="R47" s="921" t="s">
        <v>698</v>
      </c>
      <c r="S47" s="921" t="s">
        <v>699</v>
      </c>
      <c r="T47" s="932" t="s">
        <v>3177</v>
      </c>
      <c r="U47" s="947" t="s">
        <v>4242</v>
      </c>
      <c r="V47" s="922">
        <v>7644</v>
      </c>
      <c r="W47" s="924" t="s">
        <v>181</v>
      </c>
      <c r="X47" s="1027" t="s">
        <v>3395</v>
      </c>
      <c r="Y47" s="302"/>
    </row>
    <row r="48" spans="1:25" customFormat="1" ht="22.5">
      <c r="A48" s="913" t="s">
        <v>1822</v>
      </c>
      <c r="B48" s="914" t="s">
        <v>506</v>
      </c>
      <c r="C48" s="914" t="s">
        <v>3654</v>
      </c>
      <c r="D48" s="914">
        <v>1989</v>
      </c>
      <c r="E48" s="914">
        <v>110</v>
      </c>
      <c r="F48" s="914">
        <v>4</v>
      </c>
      <c r="G48" s="938" t="s">
        <v>3576</v>
      </c>
      <c r="H48" s="914">
        <v>27020</v>
      </c>
      <c r="I48" s="914">
        <v>1</v>
      </c>
      <c r="J48" s="914" t="s">
        <v>4420</v>
      </c>
      <c r="K48" s="914">
        <v>9.6999999999999993</v>
      </c>
      <c r="L48" s="914">
        <v>1.26</v>
      </c>
      <c r="M48" s="914" t="s">
        <v>181</v>
      </c>
      <c r="N48" s="914" t="s">
        <v>1823</v>
      </c>
      <c r="O48" s="917">
        <v>50</v>
      </c>
      <c r="P48" s="918" t="s">
        <v>4833</v>
      </c>
      <c r="Q48" s="919"/>
      <c r="R48" s="914" t="s">
        <v>1824</v>
      </c>
      <c r="S48" s="914" t="s">
        <v>1774</v>
      </c>
      <c r="T48" s="914" t="s">
        <v>4241</v>
      </c>
      <c r="U48" s="917" t="s">
        <v>4242</v>
      </c>
      <c r="V48" s="914">
        <v>7809</v>
      </c>
      <c r="W48" s="917" t="s">
        <v>181</v>
      </c>
      <c r="X48" s="1026" t="s">
        <v>5907</v>
      </c>
      <c r="Y48" s="301"/>
    </row>
    <row r="49" spans="1:30" customFormat="1" ht="22.5">
      <c r="A49" s="984" t="s">
        <v>1135</v>
      </c>
      <c r="B49" s="931" t="s">
        <v>3719</v>
      </c>
      <c r="C49" s="985" t="s">
        <v>4419</v>
      </c>
      <c r="D49" s="985">
        <v>1997</v>
      </c>
      <c r="E49" s="985">
        <v>165</v>
      </c>
      <c r="F49" s="986">
        <v>10.59</v>
      </c>
      <c r="G49" s="938" t="s">
        <v>3576</v>
      </c>
      <c r="H49" s="985">
        <v>27024</v>
      </c>
      <c r="I49" s="987">
        <v>1</v>
      </c>
      <c r="J49" s="985" t="s">
        <v>6135</v>
      </c>
      <c r="K49" s="985">
        <v>9.4499999999999993</v>
      </c>
      <c r="L49" s="985">
        <v>1.8897999999999999</v>
      </c>
      <c r="M49" s="985" t="s">
        <v>5225</v>
      </c>
      <c r="N49" s="985" t="s">
        <v>4240</v>
      </c>
      <c r="O49" s="988">
        <v>200</v>
      </c>
      <c r="P49" s="989" t="s">
        <v>5052</v>
      </c>
      <c r="Q49" s="990"/>
      <c r="R49" s="985" t="s">
        <v>4231</v>
      </c>
      <c r="S49" s="985" t="s">
        <v>4232</v>
      </c>
      <c r="T49" s="932" t="s">
        <v>3177</v>
      </c>
      <c r="U49" s="991" t="s">
        <v>4242</v>
      </c>
      <c r="V49" s="992">
        <v>7944</v>
      </c>
      <c r="W49" s="988" t="s">
        <v>5225</v>
      </c>
      <c r="X49" s="1032" t="s">
        <v>5798</v>
      </c>
      <c r="Y49" s="302"/>
    </row>
    <row r="50" spans="1:30" customFormat="1" ht="22.5">
      <c r="A50" s="948" t="s">
        <v>6136</v>
      </c>
      <c r="B50" s="921" t="s">
        <v>3719</v>
      </c>
      <c r="C50" s="932" t="s">
        <v>695</v>
      </c>
      <c r="D50" s="921">
        <v>1993</v>
      </c>
      <c r="E50" s="949">
        <v>165</v>
      </c>
      <c r="F50" s="950">
        <v>11</v>
      </c>
      <c r="G50" s="949">
        <v>2650</v>
      </c>
      <c r="H50" s="921">
        <f>G50*I50</f>
        <v>27560</v>
      </c>
      <c r="I50" s="949">
        <v>10.4</v>
      </c>
      <c r="J50" s="932" t="s">
        <v>5784</v>
      </c>
      <c r="K50" s="932">
        <v>4.16</v>
      </c>
      <c r="L50" s="932">
        <v>1.77</v>
      </c>
      <c r="M50" s="921" t="s">
        <v>181</v>
      </c>
      <c r="N50" s="932" t="s">
        <v>2777</v>
      </c>
      <c r="O50" s="983">
        <v>200</v>
      </c>
      <c r="P50" s="932" t="s">
        <v>2778</v>
      </c>
      <c r="Q50" s="994"/>
      <c r="R50" s="921" t="s">
        <v>2459</v>
      </c>
      <c r="S50" s="921" t="s">
        <v>2460</v>
      </c>
      <c r="T50" s="932" t="s">
        <v>3177</v>
      </c>
      <c r="U50" s="947" t="s">
        <v>4242</v>
      </c>
      <c r="V50" s="922">
        <v>9272</v>
      </c>
      <c r="W50" s="924" t="s">
        <v>181</v>
      </c>
      <c r="X50" s="1027" t="s">
        <v>2461</v>
      </c>
    </row>
    <row r="51" spans="1:30" customFormat="1">
      <c r="A51" s="920" t="s">
        <v>6088</v>
      </c>
      <c r="B51" s="921" t="s">
        <v>2885</v>
      </c>
      <c r="C51" s="921" t="s">
        <v>4799</v>
      </c>
      <c r="D51" s="921">
        <v>1999</v>
      </c>
      <c r="E51" s="927">
        <v>125</v>
      </c>
      <c r="F51" s="976">
        <v>5</v>
      </c>
      <c r="G51" s="927">
        <v>2320</v>
      </c>
      <c r="H51" s="921">
        <f>G51*I51</f>
        <v>29997.599999999999</v>
      </c>
      <c r="I51" s="926">
        <v>12.93</v>
      </c>
      <c r="J51" s="921" t="s">
        <v>1706</v>
      </c>
      <c r="K51" s="995">
        <v>5</v>
      </c>
      <c r="L51" s="921">
        <v>1.3779999999999999</v>
      </c>
      <c r="M51" s="921" t="s">
        <v>5225</v>
      </c>
      <c r="N51" s="921" t="s">
        <v>5225</v>
      </c>
      <c r="O51" s="930">
        <v>150</v>
      </c>
      <c r="P51" s="925" t="s">
        <v>5413</v>
      </c>
      <c r="Q51" s="926"/>
      <c r="R51" s="921" t="s">
        <v>6051</v>
      </c>
      <c r="S51" s="921" t="s">
        <v>5614</v>
      </c>
      <c r="T51" s="921" t="s">
        <v>1707</v>
      </c>
      <c r="U51" s="947" t="s">
        <v>4242</v>
      </c>
      <c r="V51" s="922">
        <v>8530</v>
      </c>
      <c r="W51" s="924" t="s">
        <v>181</v>
      </c>
      <c r="X51" s="1033" t="s">
        <v>1708</v>
      </c>
      <c r="Y51" s="302"/>
    </row>
    <row r="52" spans="1:30" s="903" customFormat="1" ht="12" customHeight="1">
      <c r="A52" s="920" t="s">
        <v>6089</v>
      </c>
      <c r="B52" s="921" t="s">
        <v>506</v>
      </c>
      <c r="C52" s="921" t="s">
        <v>1709</v>
      </c>
      <c r="D52" s="921">
        <v>2000</v>
      </c>
      <c r="E52" s="927">
        <v>165</v>
      </c>
      <c r="F52" s="980">
        <v>6.27</v>
      </c>
      <c r="G52" s="938" t="s">
        <v>3576</v>
      </c>
      <c r="H52" s="921">
        <v>36972</v>
      </c>
      <c r="I52" s="926">
        <v>1</v>
      </c>
      <c r="J52" s="921" t="s">
        <v>1710</v>
      </c>
      <c r="K52" s="921">
        <v>12.99</v>
      </c>
      <c r="L52" s="921">
        <v>1.57</v>
      </c>
      <c r="M52" s="921" t="s">
        <v>5225</v>
      </c>
      <c r="N52" s="921" t="s">
        <v>1711</v>
      </c>
      <c r="O52" s="930">
        <v>200</v>
      </c>
      <c r="P52" s="936" t="s">
        <v>1712</v>
      </c>
      <c r="Q52" s="923"/>
      <c r="R52" s="921" t="s">
        <v>1713</v>
      </c>
      <c r="S52" s="921" t="s">
        <v>1714</v>
      </c>
      <c r="T52" s="921" t="s">
        <v>1707</v>
      </c>
      <c r="U52" s="947" t="s">
        <v>4242</v>
      </c>
      <c r="V52" s="922">
        <v>8526</v>
      </c>
      <c r="W52" s="924" t="s">
        <v>181</v>
      </c>
      <c r="X52" s="1033" t="s">
        <v>1715</v>
      </c>
      <c r="Y52"/>
    </row>
    <row r="53" spans="1:30" customFormat="1">
      <c r="A53" s="954" t="s">
        <v>6090</v>
      </c>
      <c r="B53" s="921" t="s">
        <v>506</v>
      </c>
      <c r="C53" s="955" t="s">
        <v>3447</v>
      </c>
      <c r="D53" s="996" t="s">
        <v>2451</v>
      </c>
      <c r="E53" s="955">
        <v>110</v>
      </c>
      <c r="F53" s="957">
        <v>3</v>
      </c>
      <c r="G53" s="938" t="s">
        <v>3576</v>
      </c>
      <c r="H53" s="955">
        <v>28446</v>
      </c>
      <c r="I53" s="955">
        <v>1</v>
      </c>
      <c r="J53" s="955" t="s">
        <v>4420</v>
      </c>
      <c r="K53" s="955">
        <v>7.87</v>
      </c>
      <c r="L53" s="955">
        <v>1.2589999999999999</v>
      </c>
      <c r="M53" s="955" t="s">
        <v>5225</v>
      </c>
      <c r="N53" s="955" t="s">
        <v>6058</v>
      </c>
      <c r="O53" s="960">
        <v>150</v>
      </c>
      <c r="P53" s="955" t="s">
        <v>6059</v>
      </c>
      <c r="Q53" s="959"/>
      <c r="R53" s="955" t="s">
        <v>6060</v>
      </c>
      <c r="S53" s="931" t="s">
        <v>1774</v>
      </c>
      <c r="T53" s="955" t="s">
        <v>4115</v>
      </c>
      <c r="U53" s="958" t="s">
        <v>4242</v>
      </c>
      <c r="V53" s="957"/>
      <c r="W53" s="960" t="s">
        <v>181</v>
      </c>
      <c r="X53" s="997" t="s">
        <v>6061</v>
      </c>
      <c r="Y53" s="302"/>
    </row>
    <row r="54" spans="1:30" customFormat="1" ht="22.5">
      <c r="A54" s="954" t="s">
        <v>6091</v>
      </c>
      <c r="B54" s="921" t="s">
        <v>2885</v>
      </c>
      <c r="C54" s="955" t="s">
        <v>74</v>
      </c>
      <c r="D54" s="956">
        <v>2000</v>
      </c>
      <c r="E54" s="955">
        <v>199</v>
      </c>
      <c r="F54" s="957">
        <v>6.98</v>
      </c>
      <c r="G54" s="938" t="s">
        <v>3576</v>
      </c>
      <c r="H54" s="998">
        <v>34469</v>
      </c>
      <c r="I54" s="999">
        <v>4.2361111111111106E-2</v>
      </c>
      <c r="J54" s="955" t="s">
        <v>6062</v>
      </c>
      <c r="K54" s="955">
        <v>11.8</v>
      </c>
      <c r="L54" s="955" t="s">
        <v>5799</v>
      </c>
      <c r="M54" s="955" t="s">
        <v>5225</v>
      </c>
      <c r="N54" s="955" t="s">
        <v>6063</v>
      </c>
      <c r="O54" s="960">
        <v>60</v>
      </c>
      <c r="P54" s="955">
        <v>17.739999999999998</v>
      </c>
      <c r="Q54" s="959"/>
      <c r="R54" s="955" t="s">
        <v>5817</v>
      </c>
      <c r="S54" s="1000" t="s">
        <v>5818</v>
      </c>
      <c r="T54" s="921" t="s">
        <v>4240</v>
      </c>
      <c r="U54" s="958" t="s">
        <v>4242</v>
      </c>
      <c r="V54" s="957"/>
      <c r="W54" s="924" t="s">
        <v>181</v>
      </c>
      <c r="X54" s="997" t="s">
        <v>2733</v>
      </c>
      <c r="Y54" s="302"/>
    </row>
    <row r="55" spans="1:30" customFormat="1" ht="22.5">
      <c r="A55" s="1001" t="s">
        <v>6092</v>
      </c>
      <c r="B55" s="921" t="s">
        <v>2885</v>
      </c>
      <c r="C55" s="1002" t="s">
        <v>74</v>
      </c>
      <c r="D55" s="1002">
        <v>2000</v>
      </c>
      <c r="E55" s="1002">
        <v>138</v>
      </c>
      <c r="F55" s="1003">
        <v>5.01</v>
      </c>
      <c r="G55" s="938" t="s">
        <v>3576</v>
      </c>
      <c r="H55" s="1004">
        <v>35223</v>
      </c>
      <c r="I55" s="999">
        <v>4.2361111111111106E-2</v>
      </c>
      <c r="J55" s="1002" t="s">
        <v>6062</v>
      </c>
      <c r="K55" s="1002">
        <v>11.8</v>
      </c>
      <c r="L55" s="1002">
        <v>1.38</v>
      </c>
      <c r="M55" s="1002" t="s">
        <v>5225</v>
      </c>
      <c r="N55" s="1002" t="s">
        <v>6063</v>
      </c>
      <c r="O55" s="993">
        <v>60</v>
      </c>
      <c r="P55" s="1002" t="s">
        <v>6064</v>
      </c>
      <c r="Q55" s="1005"/>
      <c r="R55" s="1002" t="s">
        <v>2108</v>
      </c>
      <c r="S55" s="1006" t="s">
        <v>2109</v>
      </c>
      <c r="T55" s="921" t="s">
        <v>4241</v>
      </c>
      <c r="U55" s="1047" t="s">
        <v>4242</v>
      </c>
      <c r="V55" s="1003"/>
      <c r="W55" s="924" t="s">
        <v>181</v>
      </c>
      <c r="X55" s="1034" t="s">
        <v>4635</v>
      </c>
      <c r="Y55" s="302"/>
    </row>
    <row r="56" spans="1:30" customFormat="1" ht="22.5">
      <c r="A56" s="954" t="s">
        <v>6093</v>
      </c>
      <c r="B56" s="921" t="s">
        <v>2882</v>
      </c>
      <c r="C56" s="955" t="s">
        <v>3447</v>
      </c>
      <c r="D56" s="955">
        <v>1994</v>
      </c>
      <c r="E56" s="955">
        <v>165</v>
      </c>
      <c r="F56" s="957">
        <v>9</v>
      </c>
      <c r="G56" s="955">
        <v>2175</v>
      </c>
      <c r="H56" s="921">
        <f t="shared" ref="H56:H63" si="3">G56*I56</f>
        <v>16595.25</v>
      </c>
      <c r="I56" s="955">
        <v>7.63</v>
      </c>
      <c r="J56" s="1007" t="s">
        <v>5784</v>
      </c>
      <c r="K56" s="1007">
        <v>5.54</v>
      </c>
      <c r="L56" s="1007" t="s">
        <v>3724</v>
      </c>
      <c r="M56" s="1007" t="s">
        <v>181</v>
      </c>
      <c r="N56" s="1007" t="s">
        <v>4240</v>
      </c>
      <c r="O56" s="1008">
        <v>300</v>
      </c>
      <c r="P56" s="1007" t="s">
        <v>697</v>
      </c>
      <c r="Q56" s="1009"/>
      <c r="R56" s="1007" t="s">
        <v>3725</v>
      </c>
      <c r="S56" s="921" t="s">
        <v>2460</v>
      </c>
      <c r="T56" s="921" t="s">
        <v>2752</v>
      </c>
      <c r="U56" s="1048" t="s">
        <v>3726</v>
      </c>
      <c r="V56" s="963">
        <v>5830</v>
      </c>
      <c r="W56" s="1008" t="s">
        <v>181</v>
      </c>
      <c r="X56" s="1010" t="s">
        <v>3727</v>
      </c>
      <c r="Y56" s="302"/>
    </row>
    <row r="57" spans="1:30" customFormat="1">
      <c r="A57" s="954" t="s">
        <v>6094</v>
      </c>
      <c r="B57" s="921" t="s">
        <v>2885</v>
      </c>
      <c r="C57" s="955" t="s">
        <v>3447</v>
      </c>
      <c r="D57" s="955">
        <v>1995</v>
      </c>
      <c r="E57" s="955">
        <v>165</v>
      </c>
      <c r="F57" s="957">
        <v>5</v>
      </c>
      <c r="G57" s="955">
        <v>2175</v>
      </c>
      <c r="H57" s="921">
        <f t="shared" si="3"/>
        <v>27470.25</v>
      </c>
      <c r="I57" s="955">
        <v>12.63</v>
      </c>
      <c r="J57" s="955" t="s">
        <v>5909</v>
      </c>
      <c r="K57" s="955">
        <v>5.55</v>
      </c>
      <c r="L57" s="955">
        <v>1.3778999999999999</v>
      </c>
      <c r="M57" s="955" t="s">
        <v>181</v>
      </c>
      <c r="N57" s="955" t="s">
        <v>2731</v>
      </c>
      <c r="O57" s="960">
        <v>300</v>
      </c>
      <c r="P57" s="955" t="s">
        <v>4636</v>
      </c>
      <c r="Q57" s="959"/>
      <c r="R57" s="955" t="s">
        <v>698</v>
      </c>
      <c r="S57" s="921" t="s">
        <v>699</v>
      </c>
      <c r="T57" s="955" t="s">
        <v>4241</v>
      </c>
      <c r="U57" s="958" t="s">
        <v>4242</v>
      </c>
      <c r="V57" s="957">
        <v>7043</v>
      </c>
      <c r="W57" s="960" t="s">
        <v>181</v>
      </c>
      <c r="X57" s="997" t="s">
        <v>3718</v>
      </c>
      <c r="Y57" s="301"/>
      <c r="Z57" s="903"/>
      <c r="AA57" s="903"/>
      <c r="AB57" s="903"/>
      <c r="AC57" s="903"/>
      <c r="AD57" s="903"/>
    </row>
    <row r="58" spans="1:30" customFormat="1" ht="14.25" customHeight="1">
      <c r="A58" s="954" t="s">
        <v>6095</v>
      </c>
      <c r="B58" s="921" t="s">
        <v>2885</v>
      </c>
      <c r="C58" s="955" t="s">
        <v>3447</v>
      </c>
      <c r="D58" s="955">
        <v>1995</v>
      </c>
      <c r="E58" s="955">
        <v>165</v>
      </c>
      <c r="F58" s="957">
        <v>7</v>
      </c>
      <c r="G58" s="927">
        <v>2600</v>
      </c>
      <c r="H58" s="921">
        <f t="shared" si="3"/>
        <v>28600</v>
      </c>
      <c r="I58" s="927">
        <v>11</v>
      </c>
      <c r="J58" s="955" t="s">
        <v>5909</v>
      </c>
      <c r="K58" s="955">
        <v>5.55</v>
      </c>
      <c r="L58" s="955" t="s">
        <v>3720</v>
      </c>
      <c r="M58" s="955" t="s">
        <v>181</v>
      </c>
      <c r="N58" s="955" t="s">
        <v>3721</v>
      </c>
      <c r="O58" s="960">
        <v>60</v>
      </c>
      <c r="P58" s="927" t="s">
        <v>2042</v>
      </c>
      <c r="Q58" s="926"/>
      <c r="R58" s="921" t="s">
        <v>698</v>
      </c>
      <c r="S58" s="921" t="s">
        <v>699</v>
      </c>
      <c r="T58" s="921" t="s">
        <v>4241</v>
      </c>
      <c r="U58" s="958" t="s">
        <v>4242</v>
      </c>
      <c r="V58" s="957"/>
      <c r="W58" s="924" t="s">
        <v>181</v>
      </c>
      <c r="X58" s="997" t="s">
        <v>3722</v>
      </c>
      <c r="Y58" s="302"/>
    </row>
    <row r="59" spans="1:30" s="903" customFormat="1" ht="12.75" customHeight="1">
      <c r="A59" s="970" t="s">
        <v>5660</v>
      </c>
      <c r="B59" s="921" t="s">
        <v>506</v>
      </c>
      <c r="C59" s="957" t="s">
        <v>4799</v>
      </c>
      <c r="D59" s="957">
        <v>1997</v>
      </c>
      <c r="E59" s="957">
        <v>100</v>
      </c>
      <c r="F59" s="957">
        <v>3.7</v>
      </c>
      <c r="G59" s="957">
        <v>1624</v>
      </c>
      <c r="H59" s="921">
        <f t="shared" si="3"/>
        <v>19488</v>
      </c>
      <c r="I59" s="957">
        <v>12</v>
      </c>
      <c r="J59" s="957" t="s">
        <v>1199</v>
      </c>
      <c r="K59" s="957">
        <v>6.2</v>
      </c>
      <c r="L59" s="957">
        <v>1.181</v>
      </c>
      <c r="M59" s="957" t="s">
        <v>181</v>
      </c>
      <c r="N59" s="957" t="s">
        <v>3443</v>
      </c>
      <c r="O59" s="958">
        <v>60</v>
      </c>
      <c r="P59" s="957">
        <v>3.94</v>
      </c>
      <c r="Q59" s="974"/>
      <c r="R59" s="957" t="s">
        <v>3444</v>
      </c>
      <c r="S59" s="957" t="s">
        <v>3445</v>
      </c>
      <c r="T59" s="957" t="s">
        <v>4241</v>
      </c>
      <c r="U59" s="958" t="s">
        <v>4242</v>
      </c>
      <c r="V59" s="957">
        <v>7139</v>
      </c>
      <c r="W59" s="958" t="s">
        <v>181</v>
      </c>
      <c r="X59" s="975" t="s">
        <v>3446</v>
      </c>
      <c r="Y59" s="302"/>
      <c r="Z59"/>
      <c r="AA59"/>
      <c r="AB59"/>
      <c r="AC59"/>
      <c r="AD59"/>
    </row>
    <row r="60" spans="1:30" customFormat="1" ht="22.5">
      <c r="A60" s="948" t="s">
        <v>6096</v>
      </c>
      <c r="B60" s="921" t="s">
        <v>3719</v>
      </c>
      <c r="C60" s="932" t="s">
        <v>695</v>
      </c>
      <c r="D60" s="1011">
        <v>1997</v>
      </c>
      <c r="E60" s="949">
        <v>220</v>
      </c>
      <c r="F60" s="950">
        <v>20</v>
      </c>
      <c r="G60" s="949">
        <v>2540</v>
      </c>
      <c r="H60" s="921">
        <f t="shared" si="3"/>
        <v>22733</v>
      </c>
      <c r="I60" s="949">
        <v>8.9499999999999993</v>
      </c>
      <c r="J60" s="932">
        <v>486</v>
      </c>
      <c r="K60" s="932">
        <v>4.9800000000000004</v>
      </c>
      <c r="L60" s="932">
        <v>2.17</v>
      </c>
      <c r="M60" s="921" t="s">
        <v>2462</v>
      </c>
      <c r="N60" s="932" t="s">
        <v>2463</v>
      </c>
      <c r="O60" s="952">
        <v>200</v>
      </c>
      <c r="P60" s="949" t="s">
        <v>2464</v>
      </c>
      <c r="Q60" s="951"/>
      <c r="R60" s="932" t="s">
        <v>2498</v>
      </c>
      <c r="S60" s="949" t="s">
        <v>1027</v>
      </c>
      <c r="T60" s="932" t="s">
        <v>3177</v>
      </c>
      <c r="U60" s="947" t="s">
        <v>4242</v>
      </c>
      <c r="V60" s="922">
        <v>7949</v>
      </c>
      <c r="W60" s="924" t="s">
        <v>181</v>
      </c>
      <c r="X60" s="1027" t="s">
        <v>1028</v>
      </c>
      <c r="Y60" s="302"/>
    </row>
    <row r="61" spans="1:30" customFormat="1" ht="22.5">
      <c r="A61" s="948" t="s">
        <v>6097</v>
      </c>
      <c r="B61" s="921" t="s">
        <v>3719</v>
      </c>
      <c r="C61" s="932" t="s">
        <v>695</v>
      </c>
      <c r="D61" s="933">
        <v>1987</v>
      </c>
      <c r="E61" s="949">
        <v>220</v>
      </c>
      <c r="F61" s="950">
        <v>17</v>
      </c>
      <c r="G61" s="949">
        <v>2540</v>
      </c>
      <c r="H61" s="921">
        <f t="shared" si="3"/>
        <v>27508.2</v>
      </c>
      <c r="I61" s="949">
        <v>10.83</v>
      </c>
      <c r="J61" s="932" t="s">
        <v>3592</v>
      </c>
      <c r="K61" s="932">
        <v>5.13</v>
      </c>
      <c r="L61" s="932">
        <v>1.9684999999999999</v>
      </c>
      <c r="M61" s="921" t="s">
        <v>181</v>
      </c>
      <c r="N61" s="932" t="s">
        <v>4240</v>
      </c>
      <c r="O61" s="952">
        <v>200</v>
      </c>
      <c r="P61" s="932" t="s">
        <v>1061</v>
      </c>
      <c r="Q61" s="994"/>
      <c r="R61" s="932" t="s">
        <v>2498</v>
      </c>
      <c r="S61" s="932" t="s">
        <v>1062</v>
      </c>
      <c r="T61" s="932" t="s">
        <v>3177</v>
      </c>
      <c r="U61" s="1020" t="s">
        <v>4242</v>
      </c>
      <c r="V61" s="939">
        <v>9170</v>
      </c>
      <c r="W61" s="952" t="s">
        <v>4240</v>
      </c>
      <c r="X61" s="1027" t="s">
        <v>1028</v>
      </c>
      <c r="Y61" s="902"/>
      <c r="Z61" s="852"/>
      <c r="AA61" s="852"/>
      <c r="AB61" s="852"/>
      <c r="AC61" s="192"/>
      <c r="AD61" s="192"/>
    </row>
    <row r="62" spans="1:30" customFormat="1" ht="22.5">
      <c r="A62" s="948" t="s">
        <v>6098</v>
      </c>
      <c r="B62" s="921" t="s">
        <v>3719</v>
      </c>
      <c r="C62" s="932" t="s">
        <v>4104</v>
      </c>
      <c r="D62" s="933">
        <v>1989</v>
      </c>
      <c r="E62" s="949">
        <v>220</v>
      </c>
      <c r="F62" s="950">
        <v>20</v>
      </c>
      <c r="G62" s="949">
        <v>2540</v>
      </c>
      <c r="H62" s="921">
        <f t="shared" si="3"/>
        <v>22733</v>
      </c>
      <c r="I62" s="949">
        <v>8.9499999999999993</v>
      </c>
      <c r="J62" s="932" t="s">
        <v>1063</v>
      </c>
      <c r="K62" s="932">
        <v>5.13</v>
      </c>
      <c r="L62" s="932">
        <v>2.17</v>
      </c>
      <c r="M62" s="921" t="s">
        <v>181</v>
      </c>
      <c r="N62" s="932" t="s">
        <v>4240</v>
      </c>
      <c r="O62" s="952">
        <v>150</v>
      </c>
      <c r="P62" s="932" t="s">
        <v>1061</v>
      </c>
      <c r="Q62" s="994"/>
      <c r="R62" s="932" t="s">
        <v>2498</v>
      </c>
      <c r="S62" s="932" t="s">
        <v>1062</v>
      </c>
      <c r="T62" s="932" t="s">
        <v>3177</v>
      </c>
      <c r="U62" s="1020" t="s">
        <v>4242</v>
      </c>
      <c r="V62" s="939">
        <v>9259</v>
      </c>
      <c r="W62" s="952" t="s">
        <v>4240</v>
      </c>
      <c r="X62" s="1027" t="s">
        <v>1028</v>
      </c>
      <c r="Y62" s="302"/>
    </row>
    <row r="63" spans="1:30" customFormat="1" ht="22.5">
      <c r="A63" s="962" t="s">
        <v>6099</v>
      </c>
      <c r="B63" s="931" t="s">
        <v>2882</v>
      </c>
      <c r="C63" s="1002" t="s">
        <v>695</v>
      </c>
      <c r="D63" s="1012">
        <v>1989</v>
      </c>
      <c r="E63" s="1013">
        <v>220</v>
      </c>
      <c r="F63" s="1014">
        <v>20</v>
      </c>
      <c r="G63" s="1013">
        <v>2540</v>
      </c>
      <c r="H63" s="921">
        <f t="shared" si="3"/>
        <v>22733</v>
      </c>
      <c r="I63" s="1013">
        <v>8.9499999999999993</v>
      </c>
      <c r="J63" s="1002" t="s">
        <v>1063</v>
      </c>
      <c r="K63" s="1002">
        <v>4.9800000000000004</v>
      </c>
      <c r="L63" s="1002">
        <v>2.165</v>
      </c>
      <c r="M63" s="985" t="s">
        <v>181</v>
      </c>
      <c r="N63" s="1002" t="s">
        <v>4240</v>
      </c>
      <c r="O63" s="993">
        <v>100</v>
      </c>
      <c r="P63" s="1002" t="s">
        <v>1061</v>
      </c>
      <c r="Q63" s="1005"/>
      <c r="R63" s="1002" t="s">
        <v>2498</v>
      </c>
      <c r="S63" s="1002" t="s">
        <v>1062</v>
      </c>
      <c r="T63" s="1002" t="s">
        <v>3177</v>
      </c>
      <c r="U63" s="1047" t="s">
        <v>4242</v>
      </c>
      <c r="V63" s="1003">
        <v>9258</v>
      </c>
      <c r="W63" s="993" t="s">
        <v>5225</v>
      </c>
      <c r="X63" s="1035" t="s">
        <v>5202</v>
      </c>
      <c r="Y63" s="302"/>
    </row>
    <row r="64" spans="1:30" customFormat="1" ht="22.5">
      <c r="A64" s="954" t="s">
        <v>6100</v>
      </c>
      <c r="B64" s="921" t="s">
        <v>2885</v>
      </c>
      <c r="C64" s="955" t="s">
        <v>3447</v>
      </c>
      <c r="D64" s="956">
        <v>2000</v>
      </c>
      <c r="E64" s="955">
        <v>275</v>
      </c>
      <c r="F64" s="957">
        <v>14.6</v>
      </c>
      <c r="G64" s="938" t="s">
        <v>3576</v>
      </c>
      <c r="H64" s="955">
        <v>22752</v>
      </c>
      <c r="I64" s="999">
        <v>4.2361111111111106E-2</v>
      </c>
      <c r="J64" s="955" t="s">
        <v>2734</v>
      </c>
      <c r="K64" s="955">
        <v>12.99</v>
      </c>
      <c r="L64" s="955" t="s">
        <v>2735</v>
      </c>
      <c r="M64" s="955" t="s">
        <v>5225</v>
      </c>
      <c r="N64" s="955" t="s">
        <v>2736</v>
      </c>
      <c r="O64" s="960">
        <v>150</v>
      </c>
      <c r="P64" s="955" t="s">
        <v>2737</v>
      </c>
      <c r="Q64" s="959"/>
      <c r="R64" s="955" t="s">
        <v>2738</v>
      </c>
      <c r="S64" s="932" t="s">
        <v>1062</v>
      </c>
      <c r="T64" s="955" t="s">
        <v>1707</v>
      </c>
      <c r="U64" s="958" t="s">
        <v>4242</v>
      </c>
      <c r="V64" s="957"/>
      <c r="W64" s="924" t="s">
        <v>181</v>
      </c>
      <c r="X64" s="997" t="s">
        <v>768</v>
      </c>
      <c r="Y64" s="301"/>
      <c r="Z64" s="903"/>
      <c r="AA64" s="903"/>
      <c r="AB64" s="903"/>
      <c r="AC64" s="903"/>
      <c r="AD64" s="903"/>
    </row>
    <row r="65" spans="1:30" customFormat="1" ht="33.75">
      <c r="A65" s="1015" t="s">
        <v>3231</v>
      </c>
      <c r="B65" s="921" t="s">
        <v>3719</v>
      </c>
      <c r="C65" s="922" t="s">
        <v>4239</v>
      </c>
      <c r="D65" s="1016">
        <v>1980</v>
      </c>
      <c r="E65" s="922">
        <v>300</v>
      </c>
      <c r="F65" s="937">
        <v>14</v>
      </c>
      <c r="G65" s="922">
        <v>1850</v>
      </c>
      <c r="H65" s="921">
        <f t="shared" ref="H65:H75" si="4">G65*I65</f>
        <v>23865</v>
      </c>
      <c r="I65" s="922">
        <v>12.9</v>
      </c>
      <c r="J65" s="922" t="s">
        <v>3687</v>
      </c>
      <c r="K65" s="939" t="s">
        <v>6051</v>
      </c>
      <c r="L65" s="922">
        <v>1.9684999999999999</v>
      </c>
      <c r="M65" s="922" t="s">
        <v>181</v>
      </c>
      <c r="N65" s="922" t="s">
        <v>4240</v>
      </c>
      <c r="O65" s="947">
        <v>250</v>
      </c>
      <c r="P65" s="922" t="s">
        <v>3232</v>
      </c>
      <c r="Q65" s="935"/>
      <c r="R65" s="922" t="s">
        <v>3233</v>
      </c>
      <c r="S65" s="922" t="s">
        <v>3222</v>
      </c>
      <c r="T65" s="922" t="s">
        <v>3177</v>
      </c>
      <c r="U65" s="947" t="s">
        <v>4242</v>
      </c>
      <c r="V65" s="922">
        <v>3965</v>
      </c>
      <c r="W65" s="947" t="s">
        <v>4240</v>
      </c>
      <c r="X65" s="1036" t="s">
        <v>914</v>
      </c>
      <c r="Y65" s="302"/>
    </row>
    <row r="66" spans="1:30" customFormat="1" ht="22.5">
      <c r="A66" s="1017" t="s">
        <v>2090</v>
      </c>
      <c r="B66" s="921" t="s">
        <v>3723</v>
      </c>
      <c r="C66" s="955" t="s">
        <v>4799</v>
      </c>
      <c r="D66" s="955">
        <v>1993</v>
      </c>
      <c r="E66" s="955">
        <v>300</v>
      </c>
      <c r="F66" s="957">
        <v>24</v>
      </c>
      <c r="G66" s="955">
        <v>2320</v>
      </c>
      <c r="H66" s="921">
        <f t="shared" si="4"/>
        <v>23803.200000000001</v>
      </c>
      <c r="I66" s="959">
        <v>10.26</v>
      </c>
      <c r="J66" s="955" t="s">
        <v>6177</v>
      </c>
      <c r="K66" s="955">
        <v>4.5</v>
      </c>
      <c r="L66" s="955">
        <v>2.36</v>
      </c>
      <c r="M66" s="955" t="s">
        <v>181</v>
      </c>
      <c r="N66" s="955" t="s">
        <v>4240</v>
      </c>
      <c r="O66" s="960">
        <v>300</v>
      </c>
      <c r="P66" s="955" t="s">
        <v>5534</v>
      </c>
      <c r="Q66" s="959"/>
      <c r="R66" s="921" t="s">
        <v>5535</v>
      </c>
      <c r="S66" s="955" t="s">
        <v>1914</v>
      </c>
      <c r="T66" s="921" t="s">
        <v>3177</v>
      </c>
      <c r="U66" s="958">
        <v>402</v>
      </c>
      <c r="V66" s="957">
        <v>5380</v>
      </c>
      <c r="W66" s="960" t="s">
        <v>181</v>
      </c>
      <c r="X66" s="1027" t="s">
        <v>1915</v>
      </c>
      <c r="Y66" s="302"/>
    </row>
    <row r="67" spans="1:30" s="903" customFormat="1" ht="12.75" customHeight="1">
      <c r="A67" s="920" t="s">
        <v>915</v>
      </c>
      <c r="B67" s="921" t="s">
        <v>3719</v>
      </c>
      <c r="C67" s="921" t="s">
        <v>695</v>
      </c>
      <c r="D67" s="921">
        <v>1990</v>
      </c>
      <c r="E67" s="921">
        <v>300</v>
      </c>
      <c r="F67" s="922">
        <v>21</v>
      </c>
      <c r="G67" s="927">
        <v>2400</v>
      </c>
      <c r="H67" s="921">
        <f t="shared" si="4"/>
        <v>27504.000000000004</v>
      </c>
      <c r="I67" s="921">
        <v>11.46</v>
      </c>
      <c r="J67" s="921" t="s">
        <v>568</v>
      </c>
      <c r="K67" s="921">
        <v>4.99</v>
      </c>
      <c r="L67" s="921">
        <v>2.1652999999999998</v>
      </c>
      <c r="M67" s="921" t="s">
        <v>181</v>
      </c>
      <c r="N67" s="921" t="s">
        <v>4876</v>
      </c>
      <c r="O67" s="924">
        <v>200</v>
      </c>
      <c r="P67" s="927" t="s">
        <v>916</v>
      </c>
      <c r="Q67" s="926"/>
      <c r="R67" s="921" t="s">
        <v>917</v>
      </c>
      <c r="S67" s="921" t="s">
        <v>918</v>
      </c>
      <c r="T67" s="921" t="s">
        <v>3177</v>
      </c>
      <c r="U67" s="947" t="s">
        <v>4242</v>
      </c>
      <c r="V67" s="922">
        <v>5107</v>
      </c>
      <c r="W67" s="924" t="s">
        <v>181</v>
      </c>
      <c r="X67" s="1027" t="s">
        <v>1028</v>
      </c>
      <c r="Y67"/>
      <c r="Z67"/>
      <c r="AA67"/>
      <c r="AB67"/>
      <c r="AC67"/>
      <c r="AD67"/>
    </row>
    <row r="68" spans="1:30" customFormat="1" ht="22.5">
      <c r="A68" s="920" t="s">
        <v>919</v>
      </c>
      <c r="B68" s="921" t="s">
        <v>3719</v>
      </c>
      <c r="C68" s="921" t="s">
        <v>695</v>
      </c>
      <c r="D68" s="921">
        <v>1991</v>
      </c>
      <c r="E68" s="927">
        <v>300</v>
      </c>
      <c r="F68" s="937">
        <v>29</v>
      </c>
      <c r="G68" s="927">
        <v>2400</v>
      </c>
      <c r="H68" s="921">
        <f t="shared" si="4"/>
        <v>19680</v>
      </c>
      <c r="I68" s="921">
        <v>8.1999999999999993</v>
      </c>
      <c r="J68" s="921" t="s">
        <v>4873</v>
      </c>
      <c r="K68" s="921">
        <v>4.84</v>
      </c>
      <c r="L68" s="921">
        <v>2.5590000000000002</v>
      </c>
      <c r="M68" s="921" t="s">
        <v>181</v>
      </c>
      <c r="N68" s="921" t="s">
        <v>4240</v>
      </c>
      <c r="O68" s="924">
        <v>250</v>
      </c>
      <c r="P68" s="921" t="s">
        <v>920</v>
      </c>
      <c r="Q68" s="923"/>
      <c r="R68" s="921" t="s">
        <v>921</v>
      </c>
      <c r="S68" s="921" t="s">
        <v>918</v>
      </c>
      <c r="T68" s="921" t="s">
        <v>2752</v>
      </c>
      <c r="U68" s="947" t="s">
        <v>4242</v>
      </c>
      <c r="V68" s="922">
        <v>5403</v>
      </c>
      <c r="W68" s="924" t="s">
        <v>181</v>
      </c>
      <c r="X68" s="1027" t="s">
        <v>1028</v>
      </c>
      <c r="Y68" s="302"/>
    </row>
    <row r="69" spans="1:30" customFormat="1" ht="22.5">
      <c r="A69" s="920" t="s">
        <v>6101</v>
      </c>
      <c r="B69" s="921" t="s">
        <v>3719</v>
      </c>
      <c r="C69" s="921" t="s">
        <v>695</v>
      </c>
      <c r="D69" s="933">
        <v>1994</v>
      </c>
      <c r="E69" s="921">
        <v>300</v>
      </c>
      <c r="F69" s="976">
        <v>11</v>
      </c>
      <c r="G69" s="921">
        <v>2650</v>
      </c>
      <c r="H69" s="921">
        <f t="shared" si="4"/>
        <v>26977</v>
      </c>
      <c r="I69" s="921">
        <v>10.18</v>
      </c>
      <c r="J69" s="921" t="s">
        <v>4873</v>
      </c>
      <c r="K69" s="921">
        <v>5.94</v>
      </c>
      <c r="L69" s="921">
        <v>1.7716000000000001</v>
      </c>
      <c r="M69" s="921" t="s">
        <v>181</v>
      </c>
      <c r="N69" s="921" t="s">
        <v>4240</v>
      </c>
      <c r="O69" s="924">
        <v>200</v>
      </c>
      <c r="P69" s="927" t="s">
        <v>3104</v>
      </c>
      <c r="Q69" s="926"/>
      <c r="R69" s="921" t="s">
        <v>4957</v>
      </c>
      <c r="S69" s="921" t="s">
        <v>918</v>
      </c>
      <c r="T69" s="932" t="s">
        <v>3177</v>
      </c>
      <c r="U69" s="947" t="s">
        <v>4242</v>
      </c>
      <c r="V69" s="922">
        <v>5914</v>
      </c>
      <c r="W69" s="924" t="s">
        <v>181</v>
      </c>
      <c r="X69" s="1027" t="s">
        <v>148</v>
      </c>
      <c r="Y69" s="302"/>
    </row>
    <row r="70" spans="1:30" s="903" customFormat="1" ht="12.75" customHeight="1">
      <c r="A70" s="920" t="s">
        <v>218</v>
      </c>
      <c r="B70" s="921" t="s">
        <v>3719</v>
      </c>
      <c r="C70" s="921" t="s">
        <v>695</v>
      </c>
      <c r="D70" s="921">
        <v>1994</v>
      </c>
      <c r="E70" s="921">
        <v>300</v>
      </c>
      <c r="F70" s="976">
        <v>21</v>
      </c>
      <c r="G70" s="921">
        <v>2400</v>
      </c>
      <c r="H70" s="921">
        <f t="shared" si="4"/>
        <v>27504.000000000004</v>
      </c>
      <c r="I70" s="921">
        <v>11.46</v>
      </c>
      <c r="J70" s="921">
        <v>486</v>
      </c>
      <c r="K70" s="921">
        <v>4.57</v>
      </c>
      <c r="L70" s="921">
        <v>2.1652999999999998</v>
      </c>
      <c r="M70" s="921" t="s">
        <v>181</v>
      </c>
      <c r="N70" s="921" t="s">
        <v>4240</v>
      </c>
      <c r="O70" s="924">
        <v>300</v>
      </c>
      <c r="P70" s="927" t="s">
        <v>3104</v>
      </c>
      <c r="Q70" s="926"/>
      <c r="R70" s="921" t="s">
        <v>4957</v>
      </c>
      <c r="S70" s="921" t="s">
        <v>918</v>
      </c>
      <c r="T70" s="921" t="s">
        <v>3177</v>
      </c>
      <c r="U70" s="947" t="s">
        <v>4242</v>
      </c>
      <c r="V70" s="922">
        <v>7523</v>
      </c>
      <c r="W70" s="924" t="s">
        <v>181</v>
      </c>
      <c r="X70" s="1027" t="s">
        <v>5370</v>
      </c>
      <c r="Y70" s="301"/>
    </row>
    <row r="71" spans="1:30" customFormat="1">
      <c r="A71" s="920" t="s">
        <v>3979</v>
      </c>
      <c r="B71" s="921" t="s">
        <v>3723</v>
      </c>
      <c r="C71" s="921" t="s">
        <v>695</v>
      </c>
      <c r="D71" s="921">
        <v>1996</v>
      </c>
      <c r="E71" s="927">
        <v>300</v>
      </c>
      <c r="F71" s="976">
        <v>21</v>
      </c>
      <c r="G71" s="927">
        <v>2400</v>
      </c>
      <c r="H71" s="921">
        <f t="shared" si="4"/>
        <v>27480</v>
      </c>
      <c r="I71" s="927">
        <v>11.45</v>
      </c>
      <c r="J71" s="921">
        <v>486</v>
      </c>
      <c r="K71" s="921">
        <v>4.57</v>
      </c>
      <c r="L71" s="921">
        <v>2.1652999999999998</v>
      </c>
      <c r="M71" s="921" t="s">
        <v>181</v>
      </c>
      <c r="N71" s="921" t="s">
        <v>4240</v>
      </c>
      <c r="O71" s="930">
        <v>300</v>
      </c>
      <c r="P71" s="927" t="s">
        <v>3104</v>
      </c>
      <c r="Q71" s="926"/>
      <c r="R71" s="921" t="s">
        <v>3980</v>
      </c>
      <c r="S71" s="921" t="s">
        <v>918</v>
      </c>
      <c r="T71" s="921" t="s">
        <v>3177</v>
      </c>
      <c r="U71" s="947" t="s">
        <v>4242</v>
      </c>
      <c r="V71" s="922">
        <v>7643</v>
      </c>
      <c r="W71" s="924" t="s">
        <v>181</v>
      </c>
      <c r="X71" s="1027" t="s">
        <v>4954</v>
      </c>
      <c r="Y71" s="303"/>
    </row>
    <row r="72" spans="1:30" customFormat="1">
      <c r="A72" s="920" t="s">
        <v>4955</v>
      </c>
      <c r="B72" s="921" t="s">
        <v>3719</v>
      </c>
      <c r="C72" s="921" t="s">
        <v>695</v>
      </c>
      <c r="D72" s="921">
        <v>1996</v>
      </c>
      <c r="E72" s="927">
        <v>300</v>
      </c>
      <c r="F72" s="976">
        <v>21</v>
      </c>
      <c r="G72" s="927">
        <v>2400</v>
      </c>
      <c r="H72" s="921">
        <f t="shared" si="4"/>
        <v>27480</v>
      </c>
      <c r="I72" s="927">
        <v>11.45</v>
      </c>
      <c r="J72" s="921">
        <v>486</v>
      </c>
      <c r="K72" s="921">
        <v>4.57</v>
      </c>
      <c r="L72" s="921">
        <v>2.1652999999999998</v>
      </c>
      <c r="M72" s="921" t="s">
        <v>181</v>
      </c>
      <c r="N72" s="921" t="s">
        <v>4240</v>
      </c>
      <c r="O72" s="924">
        <v>300</v>
      </c>
      <c r="P72" s="927" t="s">
        <v>3104</v>
      </c>
      <c r="Q72" s="926"/>
      <c r="R72" s="921" t="s">
        <v>4957</v>
      </c>
      <c r="S72" s="921" t="s">
        <v>918</v>
      </c>
      <c r="T72" s="921" t="s">
        <v>3177</v>
      </c>
      <c r="U72" s="947" t="s">
        <v>342</v>
      </c>
      <c r="V72" s="922">
        <v>7828</v>
      </c>
      <c r="W72" s="924" t="s">
        <v>181</v>
      </c>
      <c r="X72" s="1027" t="s">
        <v>4954</v>
      </c>
      <c r="Y72" s="302"/>
    </row>
    <row r="73" spans="1:30" customFormat="1" ht="22.5">
      <c r="A73" s="948" t="s">
        <v>6102</v>
      </c>
      <c r="B73" s="921" t="s">
        <v>3723</v>
      </c>
      <c r="C73" s="932" t="s">
        <v>695</v>
      </c>
      <c r="D73" s="949">
        <v>1997</v>
      </c>
      <c r="E73" s="932">
        <v>300</v>
      </c>
      <c r="F73" s="939">
        <v>21</v>
      </c>
      <c r="G73" s="949">
        <v>2400</v>
      </c>
      <c r="H73" s="921">
        <f t="shared" si="4"/>
        <v>27504.000000000004</v>
      </c>
      <c r="I73" s="932">
        <v>11.46</v>
      </c>
      <c r="J73" s="932">
        <v>486</v>
      </c>
      <c r="K73" s="932">
        <v>4.57</v>
      </c>
      <c r="L73" s="932">
        <v>2.1652999999999998</v>
      </c>
      <c r="M73" s="921" t="s">
        <v>181</v>
      </c>
      <c r="N73" s="932" t="s">
        <v>4240</v>
      </c>
      <c r="O73" s="952">
        <v>300</v>
      </c>
      <c r="P73" s="921" t="s">
        <v>3104</v>
      </c>
      <c r="Q73" s="923"/>
      <c r="R73" s="921" t="s">
        <v>4956</v>
      </c>
      <c r="S73" s="921" t="s">
        <v>918</v>
      </c>
      <c r="T73" s="932" t="s">
        <v>3177</v>
      </c>
      <c r="U73" s="947" t="s">
        <v>4242</v>
      </c>
      <c r="V73" s="922">
        <v>7934</v>
      </c>
      <c r="W73" s="924" t="s">
        <v>181</v>
      </c>
      <c r="X73" s="1027" t="s">
        <v>2971</v>
      </c>
      <c r="Y73" s="302"/>
    </row>
    <row r="74" spans="1:30" s="192" customFormat="1" ht="22.5">
      <c r="A74" s="948" t="s">
        <v>6103</v>
      </c>
      <c r="B74" s="921" t="s">
        <v>3723</v>
      </c>
      <c r="C74" s="932" t="s">
        <v>695</v>
      </c>
      <c r="D74" s="949">
        <v>1997</v>
      </c>
      <c r="E74" s="932">
        <v>300</v>
      </c>
      <c r="F74" s="950">
        <v>47</v>
      </c>
      <c r="G74" s="949">
        <v>2450</v>
      </c>
      <c r="H74" s="921">
        <f t="shared" si="4"/>
        <v>18154.5</v>
      </c>
      <c r="I74" s="949">
        <v>7.41</v>
      </c>
      <c r="J74" s="932">
        <v>486</v>
      </c>
      <c r="K74" s="932">
        <v>3.36</v>
      </c>
      <c r="L74" s="932">
        <v>3.1496</v>
      </c>
      <c r="M74" s="921" t="s">
        <v>2462</v>
      </c>
      <c r="N74" s="932" t="s">
        <v>4240</v>
      </c>
      <c r="O74" s="952">
        <v>137</v>
      </c>
      <c r="P74" s="927" t="s">
        <v>3104</v>
      </c>
      <c r="Q74" s="926"/>
      <c r="R74" s="921" t="s">
        <v>4956</v>
      </c>
      <c r="S74" s="921" t="s">
        <v>918</v>
      </c>
      <c r="T74" s="932" t="s">
        <v>3177</v>
      </c>
      <c r="U74" s="947" t="s">
        <v>4242</v>
      </c>
      <c r="V74" s="922">
        <v>7946</v>
      </c>
      <c r="W74" s="924" t="s">
        <v>181</v>
      </c>
      <c r="X74" s="1027" t="s">
        <v>2971</v>
      </c>
      <c r="Y74" s="300"/>
      <c r="Z74" s="904"/>
      <c r="AA74" s="904"/>
      <c r="AB74" s="904"/>
    </row>
    <row r="75" spans="1:30" s="192" customFormat="1" ht="12.6" customHeight="1">
      <c r="A75" s="948" t="s">
        <v>6104</v>
      </c>
      <c r="B75" s="921" t="s">
        <v>3723</v>
      </c>
      <c r="C75" s="932" t="s">
        <v>695</v>
      </c>
      <c r="D75" s="949">
        <v>1998</v>
      </c>
      <c r="E75" s="932">
        <v>300</v>
      </c>
      <c r="F75" s="950">
        <v>21</v>
      </c>
      <c r="G75" s="949">
        <v>2400</v>
      </c>
      <c r="H75" s="921">
        <f t="shared" si="4"/>
        <v>27648</v>
      </c>
      <c r="I75" s="949">
        <v>11.52</v>
      </c>
      <c r="J75" s="932" t="s">
        <v>2972</v>
      </c>
      <c r="K75" s="932">
        <v>4.57</v>
      </c>
      <c r="L75" s="932">
        <v>2.17</v>
      </c>
      <c r="M75" s="921" t="s">
        <v>181</v>
      </c>
      <c r="N75" s="932" t="s">
        <v>181</v>
      </c>
      <c r="O75" s="952">
        <v>300</v>
      </c>
      <c r="P75" s="921" t="s">
        <v>3104</v>
      </c>
      <c r="Q75" s="923"/>
      <c r="R75" s="921" t="s">
        <v>4957</v>
      </c>
      <c r="S75" s="921" t="s">
        <v>918</v>
      </c>
      <c r="T75" s="932" t="s">
        <v>3177</v>
      </c>
      <c r="U75" s="947" t="s">
        <v>4242</v>
      </c>
      <c r="V75" s="922">
        <v>9261</v>
      </c>
      <c r="W75" s="924" t="s">
        <v>181</v>
      </c>
      <c r="X75" s="1027" t="s">
        <v>2971</v>
      </c>
      <c r="Y75" s="902"/>
      <c r="Z75" s="852"/>
      <c r="AA75" s="852"/>
      <c r="AB75" s="852"/>
    </row>
    <row r="76" spans="1:30" s="192" customFormat="1" ht="13.9" customHeight="1">
      <c r="A76" s="1015" t="s">
        <v>6105</v>
      </c>
      <c r="B76" s="921" t="s">
        <v>3719</v>
      </c>
      <c r="C76" s="922" t="s">
        <v>4419</v>
      </c>
      <c r="D76" s="922">
        <v>1999</v>
      </c>
      <c r="E76" s="937">
        <v>330</v>
      </c>
      <c r="F76" s="922">
        <v>21.28</v>
      </c>
      <c r="G76" s="938" t="s">
        <v>3576</v>
      </c>
      <c r="H76" s="921">
        <v>28440</v>
      </c>
      <c r="I76" s="1018">
        <v>1</v>
      </c>
      <c r="J76" s="922" t="s">
        <v>4420</v>
      </c>
      <c r="K76" s="922">
        <v>8.66</v>
      </c>
      <c r="L76" s="935">
        <v>2.2000000000000002</v>
      </c>
      <c r="M76" s="922" t="s">
        <v>5225</v>
      </c>
      <c r="N76" s="922" t="s">
        <v>4421</v>
      </c>
      <c r="O76" s="1019">
        <v>300</v>
      </c>
      <c r="P76" s="922" t="s">
        <v>6055</v>
      </c>
      <c r="Q76" s="935"/>
      <c r="R76" s="922" t="s">
        <v>6056</v>
      </c>
      <c r="S76" s="922" t="s">
        <v>6057</v>
      </c>
      <c r="T76" s="922" t="s">
        <v>3177</v>
      </c>
      <c r="U76" s="947" t="s">
        <v>4242</v>
      </c>
      <c r="V76" s="922"/>
      <c r="W76" s="947" t="s">
        <v>181</v>
      </c>
      <c r="X76" s="1037" t="s">
        <v>4498</v>
      </c>
      <c r="Y76" s="902"/>
      <c r="Z76" s="852"/>
      <c r="AA76" s="852"/>
      <c r="AB76" s="852"/>
    </row>
    <row r="77" spans="1:30" s="192" customFormat="1" ht="22.5">
      <c r="A77" s="920" t="s">
        <v>5547</v>
      </c>
      <c r="B77" s="921" t="s">
        <v>3719</v>
      </c>
      <c r="C77" s="921" t="s">
        <v>695</v>
      </c>
      <c r="D77" s="933">
        <v>1993</v>
      </c>
      <c r="E77" s="921">
        <v>300</v>
      </c>
      <c r="F77" s="1018">
        <v>13</v>
      </c>
      <c r="G77" s="932">
        <v>2650</v>
      </c>
      <c r="H77" s="921">
        <f t="shared" ref="H77:H82" si="5">G77*I77</f>
        <v>22207.000000000004</v>
      </c>
      <c r="I77" s="932">
        <v>8.3800000000000008</v>
      </c>
      <c r="J77" s="932" t="s">
        <v>5784</v>
      </c>
      <c r="K77" s="932">
        <v>5.94</v>
      </c>
      <c r="L77" s="932" t="s">
        <v>5533</v>
      </c>
      <c r="M77" s="932" t="s">
        <v>5225</v>
      </c>
      <c r="N77" s="932" t="s">
        <v>4240</v>
      </c>
      <c r="O77" s="1020">
        <v>600</v>
      </c>
      <c r="P77" s="927" t="s">
        <v>3104</v>
      </c>
      <c r="Q77" s="926"/>
      <c r="R77" s="921" t="s">
        <v>4957</v>
      </c>
      <c r="S77" s="921" t="s">
        <v>918</v>
      </c>
      <c r="T77" s="932" t="s">
        <v>4241</v>
      </c>
      <c r="U77" s="1020" t="s">
        <v>4242</v>
      </c>
      <c r="V77" s="939">
        <v>7175</v>
      </c>
      <c r="W77" s="952" t="s">
        <v>181</v>
      </c>
      <c r="X77" s="1037" t="s">
        <v>4498</v>
      </c>
      <c r="Y77" s="905"/>
      <c r="Z77" s="308"/>
      <c r="AA77" s="308"/>
      <c r="AB77" s="308"/>
    </row>
    <row r="78" spans="1:30" s="192" customFormat="1">
      <c r="A78" s="920" t="s">
        <v>3382</v>
      </c>
      <c r="B78" s="921" t="s">
        <v>3719</v>
      </c>
      <c r="C78" s="921" t="s">
        <v>695</v>
      </c>
      <c r="D78" s="921">
        <v>1990</v>
      </c>
      <c r="E78" s="921">
        <v>440</v>
      </c>
      <c r="F78" s="976">
        <v>31</v>
      </c>
      <c r="G78" s="921">
        <v>2400</v>
      </c>
      <c r="H78" s="921">
        <f t="shared" si="5"/>
        <v>26880</v>
      </c>
      <c r="I78" s="921">
        <v>11.2</v>
      </c>
      <c r="J78" s="921" t="s">
        <v>568</v>
      </c>
      <c r="K78" s="921">
        <v>4.87</v>
      </c>
      <c r="L78" s="921">
        <v>2.5590000000000002</v>
      </c>
      <c r="M78" s="921" t="s">
        <v>181</v>
      </c>
      <c r="N78" s="921" t="s">
        <v>4240</v>
      </c>
      <c r="O78" s="930">
        <v>600</v>
      </c>
      <c r="P78" s="927" t="s">
        <v>916</v>
      </c>
      <c r="Q78" s="926"/>
      <c r="R78" s="921" t="s">
        <v>3383</v>
      </c>
      <c r="S78" s="921" t="s">
        <v>5602</v>
      </c>
      <c r="T78" s="921" t="s">
        <v>3177</v>
      </c>
      <c r="U78" s="947" t="s">
        <v>4242</v>
      </c>
      <c r="V78" s="922">
        <v>5128</v>
      </c>
      <c r="W78" s="924" t="s">
        <v>181</v>
      </c>
      <c r="X78" s="1027" t="s">
        <v>5603</v>
      </c>
      <c r="Y78" s="902"/>
      <c r="Z78" s="852"/>
      <c r="AA78" s="852"/>
      <c r="AB78" s="852"/>
      <c r="AC78" s="852"/>
      <c r="AD78" s="852"/>
    </row>
    <row r="79" spans="1:30" s="192" customFormat="1">
      <c r="A79" s="948" t="s">
        <v>5604</v>
      </c>
      <c r="B79" s="921" t="s">
        <v>3723</v>
      </c>
      <c r="C79" s="932" t="s">
        <v>5605</v>
      </c>
      <c r="D79" s="932">
        <v>1996</v>
      </c>
      <c r="E79" s="932">
        <v>400</v>
      </c>
      <c r="F79" s="950">
        <v>41</v>
      </c>
      <c r="G79" s="949">
        <v>2610</v>
      </c>
      <c r="H79" s="921">
        <f t="shared" si="5"/>
        <v>27405</v>
      </c>
      <c r="I79" s="932">
        <v>10.5</v>
      </c>
      <c r="J79" s="932">
        <v>486</v>
      </c>
      <c r="K79" s="932">
        <v>3.56</v>
      </c>
      <c r="L79" s="932">
        <v>2.7559</v>
      </c>
      <c r="M79" s="921" t="s">
        <v>181</v>
      </c>
      <c r="N79" s="932" t="s">
        <v>4240</v>
      </c>
      <c r="O79" s="952">
        <v>300</v>
      </c>
      <c r="P79" s="949" t="s">
        <v>5606</v>
      </c>
      <c r="Q79" s="951"/>
      <c r="R79" s="932" t="s">
        <v>4982</v>
      </c>
      <c r="S79" s="932" t="s">
        <v>4465</v>
      </c>
      <c r="T79" s="932" t="s">
        <v>3177</v>
      </c>
      <c r="U79" s="947" t="s">
        <v>4242</v>
      </c>
      <c r="V79" s="922">
        <v>7827</v>
      </c>
      <c r="W79" s="924" t="s">
        <v>181</v>
      </c>
      <c r="X79" s="1029" t="s">
        <v>4804</v>
      </c>
      <c r="Y79" s="298"/>
      <c r="Z79" s="160"/>
      <c r="AA79" s="160"/>
      <c r="AB79" s="160"/>
      <c r="AC79" s="160"/>
      <c r="AD79" s="160"/>
    </row>
    <row r="80" spans="1:30" s="192" customFormat="1" ht="22.5">
      <c r="A80" s="1017" t="s">
        <v>5548</v>
      </c>
      <c r="B80" s="921" t="s">
        <v>3723</v>
      </c>
      <c r="C80" s="955" t="s">
        <v>3447</v>
      </c>
      <c r="D80" s="996" t="s">
        <v>1294</v>
      </c>
      <c r="E80" s="955">
        <v>550</v>
      </c>
      <c r="F80" s="957">
        <v>41</v>
      </c>
      <c r="G80" s="955">
        <v>2610</v>
      </c>
      <c r="H80" s="921">
        <f t="shared" si="5"/>
        <v>27405</v>
      </c>
      <c r="I80" s="955">
        <v>10.5</v>
      </c>
      <c r="J80" s="955" t="s">
        <v>5549</v>
      </c>
      <c r="K80" s="955">
        <v>4.75</v>
      </c>
      <c r="L80" s="955">
        <v>2.7549999999999999</v>
      </c>
      <c r="M80" s="955" t="s">
        <v>181</v>
      </c>
      <c r="N80" s="955" t="s">
        <v>4240</v>
      </c>
      <c r="O80" s="960">
        <v>400</v>
      </c>
      <c r="P80" s="955" t="s">
        <v>475</v>
      </c>
      <c r="Q80" s="959"/>
      <c r="R80" s="955" t="s">
        <v>476</v>
      </c>
      <c r="S80" s="957" t="s">
        <v>477</v>
      </c>
      <c r="T80" s="932" t="s">
        <v>3177</v>
      </c>
      <c r="U80" s="958" t="s">
        <v>4242</v>
      </c>
      <c r="V80" s="957"/>
      <c r="W80" s="960" t="s">
        <v>181</v>
      </c>
      <c r="X80" s="1021" t="s">
        <v>478</v>
      </c>
      <c r="Y80" s="298"/>
      <c r="Z80" s="160"/>
      <c r="AA80" s="160"/>
      <c r="AB80" s="160"/>
      <c r="AC80" s="160"/>
      <c r="AD80" s="160"/>
    </row>
    <row r="81" spans="1:87" customFormat="1">
      <c r="A81" s="983" t="s">
        <v>5604</v>
      </c>
      <c r="B81" s="921" t="s">
        <v>3723</v>
      </c>
      <c r="C81" s="932" t="s">
        <v>5605</v>
      </c>
      <c r="D81" s="932">
        <v>1996</v>
      </c>
      <c r="E81" s="932">
        <v>400</v>
      </c>
      <c r="F81" s="950">
        <v>41</v>
      </c>
      <c r="G81" s="949">
        <v>2610</v>
      </c>
      <c r="H81" s="936">
        <f t="shared" si="5"/>
        <v>27405</v>
      </c>
      <c r="I81" s="932">
        <v>10.5</v>
      </c>
      <c r="J81" s="932">
        <v>486</v>
      </c>
      <c r="K81" s="932">
        <v>3.56</v>
      </c>
      <c r="L81" s="932">
        <v>2.7559</v>
      </c>
      <c r="M81" s="921" t="s">
        <v>181</v>
      </c>
      <c r="N81" s="932" t="s">
        <v>4240</v>
      </c>
      <c r="O81" s="952">
        <v>300</v>
      </c>
      <c r="P81" s="949" t="s">
        <v>5606</v>
      </c>
      <c r="Q81" s="932" t="s">
        <v>4982</v>
      </c>
      <c r="R81" s="932" t="s">
        <v>4465</v>
      </c>
      <c r="S81" s="932" t="s">
        <v>3177</v>
      </c>
      <c r="T81" s="921" t="s">
        <v>4242</v>
      </c>
      <c r="U81" s="922">
        <v>7827</v>
      </c>
      <c r="V81" s="947" t="s">
        <v>181</v>
      </c>
      <c r="W81" s="934" t="s">
        <v>4804</v>
      </c>
      <c r="X81" s="1038"/>
      <c r="Y81" s="255"/>
      <c r="Z81" s="255"/>
      <c r="AA81" s="255"/>
      <c r="AB81" s="255"/>
      <c r="AC81" s="255"/>
      <c r="AD81" s="255"/>
      <c r="AE81" s="255"/>
      <c r="AF81" s="264"/>
      <c r="AG81" s="264"/>
      <c r="AH81" s="264"/>
      <c r="AI81" s="264"/>
      <c r="AJ81" s="264"/>
      <c r="AK81" s="264"/>
      <c r="AL81" s="264"/>
      <c r="AM81" s="264"/>
      <c r="AN81" s="264"/>
      <c r="AO81" s="264"/>
      <c r="AP81" s="264"/>
      <c r="AQ81" s="264"/>
      <c r="AR81" s="264"/>
      <c r="AS81" s="264"/>
      <c r="AT81" s="264"/>
      <c r="AU81" s="264"/>
      <c r="AV81" s="264"/>
      <c r="AW81" s="264"/>
      <c r="AX81" s="264"/>
      <c r="AY81" s="264"/>
      <c r="AZ81" s="264"/>
      <c r="BA81" s="264"/>
      <c r="BB81" s="264"/>
      <c r="BC81" s="264"/>
      <c r="BD81" s="264"/>
      <c r="BE81" s="264"/>
      <c r="BF81" s="264"/>
      <c r="BG81" s="264"/>
      <c r="BH81" s="264"/>
      <c r="BI81" s="264"/>
      <c r="BJ81" s="264"/>
      <c r="BK81" s="264"/>
      <c r="BL81" s="264"/>
      <c r="BM81" s="264"/>
      <c r="BN81" s="264"/>
      <c r="BO81" s="264"/>
      <c r="BP81" s="264"/>
      <c r="BQ81" s="264"/>
      <c r="BR81" s="264"/>
      <c r="BS81" s="264"/>
      <c r="BT81" s="264"/>
      <c r="BU81" s="264"/>
      <c r="BV81" s="264"/>
      <c r="BW81" s="264"/>
      <c r="BX81" s="264"/>
      <c r="BY81" s="264"/>
      <c r="BZ81" s="264"/>
      <c r="CA81" s="264"/>
      <c r="CB81" s="264"/>
      <c r="CC81" s="264"/>
      <c r="CD81" s="264"/>
      <c r="CE81" s="264"/>
      <c r="CF81" s="264"/>
      <c r="CG81" s="264"/>
      <c r="CH81" s="264"/>
      <c r="CI81" s="264"/>
    </row>
    <row r="82" spans="1:87" customFormat="1">
      <c r="A82" s="930" t="s">
        <v>3382</v>
      </c>
      <c r="B82" s="921" t="s">
        <v>3719</v>
      </c>
      <c r="C82" s="921" t="s">
        <v>695</v>
      </c>
      <c r="D82" s="921">
        <v>1990</v>
      </c>
      <c r="E82" s="921">
        <v>440</v>
      </c>
      <c r="F82" s="976">
        <v>31</v>
      </c>
      <c r="G82" s="921">
        <v>2400</v>
      </c>
      <c r="H82" s="936">
        <f t="shared" si="5"/>
        <v>26880</v>
      </c>
      <c r="I82" s="921">
        <v>11.2</v>
      </c>
      <c r="J82" s="921" t="s">
        <v>568</v>
      </c>
      <c r="K82" s="921">
        <v>4.87</v>
      </c>
      <c r="L82" s="921">
        <v>2.5590000000000002</v>
      </c>
      <c r="M82" s="921" t="s">
        <v>181</v>
      </c>
      <c r="N82" s="921" t="s">
        <v>4240</v>
      </c>
      <c r="O82" s="930">
        <v>600</v>
      </c>
      <c r="P82" s="927" t="s">
        <v>916</v>
      </c>
      <c r="Q82" s="921" t="s">
        <v>3383</v>
      </c>
      <c r="R82" s="921" t="s">
        <v>5602</v>
      </c>
      <c r="S82" s="921" t="s">
        <v>3177</v>
      </c>
      <c r="T82" s="921" t="s">
        <v>4242</v>
      </c>
      <c r="U82" s="922">
        <v>5128</v>
      </c>
      <c r="V82" s="947" t="s">
        <v>181</v>
      </c>
      <c r="W82" s="928" t="s">
        <v>5603</v>
      </c>
      <c r="X82" s="1038"/>
      <c r="Y82" s="255"/>
      <c r="Z82" s="255"/>
      <c r="AA82" s="255"/>
      <c r="AB82" s="255"/>
      <c r="AC82" s="255"/>
      <c r="AD82" s="255"/>
      <c r="AE82" s="260"/>
      <c r="AF82" s="264"/>
      <c r="AG82" s="264"/>
      <c r="AH82" s="264"/>
      <c r="AI82" s="264"/>
      <c r="AJ82" s="264"/>
      <c r="AK82" s="264"/>
      <c r="AL82" s="264"/>
      <c r="AM82" s="264"/>
      <c r="AN82" s="264"/>
      <c r="AO82" s="264"/>
      <c r="AP82" s="264"/>
      <c r="AQ82" s="264"/>
      <c r="AR82" s="264"/>
      <c r="AS82" s="264"/>
      <c r="AT82" s="264"/>
      <c r="AU82" s="264"/>
      <c r="AV82" s="264"/>
      <c r="AW82" s="264"/>
      <c r="AX82" s="264"/>
      <c r="AY82" s="264"/>
      <c r="AZ82" s="264"/>
      <c r="BA82" s="264"/>
      <c r="BB82" s="264"/>
      <c r="BC82" s="264"/>
      <c r="BD82" s="264"/>
      <c r="BE82" s="264"/>
      <c r="BF82" s="264"/>
      <c r="BG82" s="264"/>
      <c r="BH82" s="264"/>
      <c r="BI82" s="264"/>
      <c r="BJ82" s="264"/>
      <c r="BK82" s="264"/>
      <c r="BL82" s="264"/>
      <c r="BM82" s="264"/>
      <c r="BN82" s="264"/>
      <c r="BO82" s="264"/>
      <c r="BP82" s="264"/>
      <c r="BQ82" s="264"/>
      <c r="BR82" s="264"/>
      <c r="BS82" s="264"/>
      <c r="BT82" s="264"/>
      <c r="BU82" s="264"/>
      <c r="BV82" s="264"/>
      <c r="BW82" s="264"/>
      <c r="BX82" s="264"/>
      <c r="BY82" s="264"/>
      <c r="BZ82" s="264"/>
      <c r="CA82" s="264"/>
      <c r="CB82" s="264"/>
      <c r="CC82" s="264"/>
      <c r="CD82" s="264"/>
      <c r="CE82" s="264"/>
      <c r="CF82" s="264"/>
      <c r="CG82" s="264"/>
      <c r="CH82" s="264"/>
      <c r="CI82" s="264"/>
    </row>
    <row r="83" spans="1:87" customFormat="1">
      <c r="A83" s="1008">
        <v>501</v>
      </c>
      <c r="B83" s="921" t="s">
        <v>3723</v>
      </c>
      <c r="C83" s="955" t="s">
        <v>3447</v>
      </c>
      <c r="D83" s="996" t="s">
        <v>1294</v>
      </c>
      <c r="E83" s="955">
        <v>550</v>
      </c>
      <c r="F83" s="957">
        <v>41</v>
      </c>
      <c r="G83" s="955">
        <v>2610</v>
      </c>
      <c r="H83" s="955">
        <f>+(I83*G83)</f>
        <v>27405</v>
      </c>
      <c r="I83" s="955">
        <v>10.5</v>
      </c>
      <c r="J83" s="955" t="s">
        <v>474</v>
      </c>
      <c r="K83" s="955">
        <v>4.75</v>
      </c>
      <c r="L83" s="955">
        <v>2.7549999999999999</v>
      </c>
      <c r="M83" s="955" t="s">
        <v>181</v>
      </c>
      <c r="N83" s="955" t="s">
        <v>4240</v>
      </c>
      <c r="O83" s="960">
        <v>400</v>
      </c>
      <c r="P83" s="955" t="s">
        <v>475</v>
      </c>
      <c r="Q83" s="955" t="s">
        <v>476</v>
      </c>
      <c r="R83" s="957" t="s">
        <v>477</v>
      </c>
      <c r="S83" s="932" t="s">
        <v>3177</v>
      </c>
      <c r="T83" s="955" t="s">
        <v>4242</v>
      </c>
      <c r="U83" s="957"/>
      <c r="V83" s="958" t="s">
        <v>181</v>
      </c>
      <c r="W83" s="975" t="s">
        <v>478</v>
      </c>
      <c r="X83" s="1038"/>
      <c r="Y83" s="255"/>
      <c r="Z83" s="255"/>
      <c r="AA83" s="255"/>
      <c r="AB83" s="255"/>
      <c r="AC83" s="255"/>
      <c r="AD83" s="255"/>
      <c r="AE83" s="255"/>
      <c r="AF83" s="264"/>
      <c r="AG83" s="264"/>
      <c r="AH83" s="264"/>
      <c r="AI83" s="264"/>
      <c r="AJ83" s="264"/>
      <c r="AK83" s="264"/>
      <c r="AL83" s="264"/>
      <c r="AM83" s="264"/>
      <c r="AN83" s="264"/>
      <c r="AO83" s="264"/>
      <c r="AP83" s="264"/>
      <c r="AQ83" s="264"/>
      <c r="AR83" s="264"/>
      <c r="AS83" s="264"/>
      <c r="AT83" s="264"/>
      <c r="AU83" s="264"/>
      <c r="AV83" s="264"/>
      <c r="AW83" s="264"/>
      <c r="AX83" s="264"/>
      <c r="AY83" s="264"/>
      <c r="AZ83" s="264"/>
      <c r="BA83" s="264"/>
      <c r="BB83" s="264"/>
      <c r="BC83" s="264"/>
      <c r="BD83" s="264"/>
      <c r="BE83" s="264"/>
      <c r="BF83" s="264"/>
      <c r="BG83" s="264"/>
      <c r="BH83" s="264"/>
      <c r="BI83" s="264"/>
      <c r="BJ83" s="264"/>
      <c r="BK83" s="264"/>
      <c r="BL83" s="264"/>
      <c r="BM83" s="264"/>
      <c r="BN83" s="264"/>
      <c r="BO83" s="264"/>
      <c r="BP83" s="264"/>
      <c r="BQ83" s="264"/>
      <c r="BR83" s="264"/>
      <c r="BS83" s="264"/>
      <c r="BT83" s="264"/>
      <c r="BU83" s="264"/>
      <c r="BV83" s="264"/>
      <c r="BW83" s="264"/>
      <c r="BX83" s="264"/>
      <c r="BY83" s="264"/>
      <c r="BZ83" s="264"/>
      <c r="CA83" s="264"/>
      <c r="CB83" s="264"/>
      <c r="CC83" s="264"/>
      <c r="CD83" s="264"/>
      <c r="CE83" s="264"/>
      <c r="CF83" s="264"/>
      <c r="CG83" s="264"/>
      <c r="CH83" s="264"/>
      <c r="CI83" s="264"/>
    </row>
    <row r="84" spans="1:87" customFormat="1">
      <c r="F84" s="192"/>
      <c r="O84" s="160"/>
      <c r="U84" s="192"/>
      <c r="V84" s="192"/>
      <c r="X84" s="1039"/>
      <c r="Y84" s="255"/>
      <c r="Z84" s="255"/>
      <c r="AA84" s="255"/>
      <c r="AB84" s="255"/>
      <c r="AC84" s="255"/>
      <c r="AD84" s="255"/>
      <c r="AE84" s="260"/>
      <c r="AF84" s="264"/>
      <c r="AG84" s="264"/>
      <c r="AH84" s="264"/>
      <c r="AI84" s="264"/>
      <c r="AJ84" s="264"/>
      <c r="AK84" s="264"/>
      <c r="AL84" s="264"/>
      <c r="AM84" s="264"/>
      <c r="AN84" s="264"/>
      <c r="AO84" s="264"/>
      <c r="AP84" s="264"/>
      <c r="AQ84" s="264"/>
      <c r="AR84" s="264"/>
      <c r="AS84" s="264"/>
      <c r="AT84" s="264"/>
      <c r="AU84" s="264"/>
      <c r="AV84" s="264"/>
      <c r="AW84" s="264"/>
      <c r="AX84" s="264"/>
      <c r="AY84" s="264"/>
      <c r="AZ84" s="264"/>
      <c r="BA84" s="264"/>
      <c r="BB84" s="264"/>
      <c r="BC84" s="264"/>
      <c r="BD84" s="264"/>
      <c r="BE84" s="264"/>
      <c r="BF84" s="264"/>
      <c r="BG84" s="264"/>
      <c r="BH84" s="264"/>
      <c r="BI84" s="264"/>
      <c r="BJ84" s="264"/>
      <c r="BK84" s="264"/>
      <c r="BL84" s="264"/>
      <c r="BM84" s="264"/>
      <c r="BN84" s="264"/>
      <c r="BO84" s="264"/>
      <c r="BP84" s="264"/>
      <c r="BQ84" s="264"/>
      <c r="BR84" s="264"/>
      <c r="BS84" s="264"/>
      <c r="BT84" s="264"/>
      <c r="BU84" s="264"/>
      <c r="BV84" s="264"/>
      <c r="BW84" s="264"/>
      <c r="BX84" s="264"/>
      <c r="BY84" s="264"/>
      <c r="BZ84" s="264"/>
      <c r="CA84" s="264"/>
      <c r="CB84" s="264"/>
      <c r="CC84" s="264"/>
      <c r="CD84" s="264"/>
      <c r="CE84" s="264"/>
      <c r="CF84" s="264"/>
      <c r="CG84" s="264"/>
      <c r="CH84" s="264"/>
      <c r="CI84" s="264"/>
    </row>
    <row r="85" spans="1:87" customFormat="1">
      <c r="A85" s="254"/>
      <c r="B85" s="255"/>
      <c r="C85" s="255"/>
      <c r="D85" s="256"/>
      <c r="E85" s="255"/>
      <c r="F85" s="255"/>
      <c r="G85" s="255"/>
      <c r="H85" s="255"/>
      <c r="I85" s="255"/>
      <c r="J85" s="255"/>
      <c r="K85" s="255"/>
      <c r="L85" s="255"/>
      <c r="M85" s="257"/>
      <c r="N85" s="255"/>
      <c r="O85" s="255"/>
      <c r="P85" s="256"/>
      <c r="Q85" s="255"/>
      <c r="R85" s="255"/>
      <c r="S85" s="255"/>
      <c r="T85" s="255"/>
      <c r="U85" s="255"/>
      <c r="V85" s="258"/>
      <c r="W85" s="259"/>
      <c r="X85" s="1039"/>
      <c r="Y85" s="255"/>
      <c r="Z85" s="255"/>
      <c r="AA85" s="255"/>
      <c r="AB85" s="255"/>
      <c r="AC85" s="255"/>
      <c r="AD85" s="255"/>
      <c r="AE85" s="255"/>
      <c r="AF85" s="264"/>
      <c r="AG85" s="264"/>
      <c r="AH85" s="264"/>
      <c r="AI85" s="264"/>
      <c r="AJ85" s="264"/>
      <c r="AK85" s="264"/>
      <c r="AL85" s="264"/>
      <c r="AM85" s="264"/>
      <c r="AN85" s="264"/>
      <c r="AO85" s="264"/>
      <c r="AP85" s="264"/>
      <c r="AQ85" s="264"/>
      <c r="AR85" s="264"/>
      <c r="AS85" s="264"/>
      <c r="AT85" s="264"/>
      <c r="AU85" s="264"/>
      <c r="AV85" s="264"/>
      <c r="AW85" s="264"/>
      <c r="AX85" s="264"/>
      <c r="AY85" s="264"/>
      <c r="AZ85" s="264"/>
      <c r="BA85" s="264"/>
      <c r="BB85" s="264"/>
      <c r="BC85" s="264"/>
      <c r="BD85" s="264"/>
      <c r="BE85" s="264"/>
      <c r="BF85" s="264"/>
      <c r="BG85" s="264"/>
      <c r="BH85" s="264"/>
      <c r="BI85" s="264"/>
      <c r="BJ85" s="264"/>
      <c r="BK85" s="264"/>
      <c r="BL85" s="264"/>
      <c r="BM85" s="264"/>
      <c r="BN85" s="264"/>
      <c r="BO85" s="264"/>
      <c r="BP85" s="264"/>
      <c r="BQ85" s="264"/>
      <c r="BR85" s="264"/>
      <c r="BS85" s="264"/>
      <c r="BT85" s="264"/>
      <c r="BU85" s="264"/>
      <c r="BV85" s="264"/>
      <c r="BW85" s="264"/>
      <c r="BX85" s="264"/>
      <c r="BY85" s="264"/>
      <c r="BZ85" s="264"/>
      <c r="CA85" s="264"/>
      <c r="CB85" s="264"/>
      <c r="CC85" s="264"/>
      <c r="CD85" s="264"/>
      <c r="CE85" s="264"/>
      <c r="CF85" s="264"/>
      <c r="CG85" s="264"/>
      <c r="CH85" s="264"/>
      <c r="CI85" s="264"/>
    </row>
    <row r="86" spans="1:87" customFormat="1">
      <c r="A86" s="254"/>
      <c r="B86" s="255"/>
      <c r="C86" s="255"/>
      <c r="D86" s="256"/>
      <c r="E86" s="255"/>
      <c r="F86" s="255"/>
      <c r="G86" s="255"/>
      <c r="H86" s="255"/>
      <c r="I86" s="255"/>
      <c r="J86" s="257"/>
      <c r="K86" s="255"/>
      <c r="L86" s="257"/>
      <c r="M86" s="257"/>
      <c r="N86" s="255"/>
      <c r="O86" s="255"/>
      <c r="P86" s="255"/>
      <c r="Q86" s="256"/>
      <c r="R86" s="255"/>
      <c r="S86" s="255"/>
      <c r="T86" s="255"/>
      <c r="U86" s="255"/>
      <c r="V86" s="258"/>
      <c r="W86" s="259"/>
      <c r="X86" s="1039"/>
      <c r="Y86" s="255"/>
      <c r="Z86" s="255"/>
      <c r="AA86" s="255"/>
      <c r="AB86" s="255"/>
      <c r="AC86" s="255"/>
      <c r="AD86" s="255"/>
      <c r="AE86" s="260"/>
      <c r="AF86" s="264"/>
      <c r="AG86" s="264"/>
      <c r="AH86" s="264"/>
      <c r="AI86" s="264"/>
      <c r="AJ86" s="264"/>
      <c r="AK86" s="264"/>
      <c r="AL86" s="264"/>
      <c r="AM86" s="264"/>
      <c r="AN86" s="264"/>
      <c r="AO86" s="264"/>
      <c r="AP86" s="264"/>
      <c r="AQ86" s="264"/>
      <c r="AR86" s="264"/>
      <c r="AS86" s="264"/>
      <c r="AT86" s="264"/>
      <c r="AU86" s="264"/>
      <c r="AV86" s="264"/>
      <c r="AW86" s="264"/>
      <c r="AX86" s="264"/>
      <c r="AY86" s="264"/>
      <c r="AZ86" s="264"/>
      <c r="BA86" s="264"/>
      <c r="BB86" s="264"/>
      <c r="BC86" s="264"/>
      <c r="BD86" s="264"/>
      <c r="BE86" s="264"/>
      <c r="BF86" s="264"/>
      <c r="BG86" s="264"/>
      <c r="BH86" s="264"/>
      <c r="BI86" s="264"/>
      <c r="BJ86" s="264"/>
      <c r="BK86" s="264"/>
      <c r="BL86" s="264"/>
      <c r="BM86" s="264"/>
      <c r="BN86" s="264"/>
      <c r="BO86" s="264"/>
      <c r="BP86" s="264"/>
      <c r="BQ86" s="264"/>
      <c r="BR86" s="264"/>
      <c r="BS86" s="264"/>
      <c r="BT86" s="264"/>
      <c r="BU86" s="264"/>
      <c r="BV86" s="264"/>
      <c r="BW86" s="264"/>
      <c r="BX86" s="264"/>
      <c r="BY86" s="264"/>
      <c r="BZ86" s="264"/>
      <c r="CA86" s="264"/>
      <c r="CB86" s="264"/>
      <c r="CC86" s="264"/>
      <c r="CD86" s="264"/>
      <c r="CE86" s="264"/>
      <c r="CF86" s="264"/>
      <c r="CG86" s="264"/>
      <c r="CH86" s="264"/>
      <c r="CI86" s="264"/>
    </row>
    <row r="87" spans="1:87" customFormat="1">
      <c r="A87" s="254"/>
      <c r="B87" s="255"/>
      <c r="C87" s="255"/>
      <c r="D87" s="256"/>
      <c r="E87" s="255"/>
      <c r="F87" s="255"/>
      <c r="G87" s="255"/>
      <c r="H87" s="255"/>
      <c r="I87" s="255"/>
      <c r="J87" s="255"/>
      <c r="K87" s="255"/>
      <c r="L87" s="255"/>
      <c r="M87" s="257"/>
      <c r="N87" s="255"/>
      <c r="O87" s="255"/>
      <c r="P87" s="256"/>
      <c r="Q87" s="255"/>
      <c r="R87" s="255"/>
      <c r="S87" s="255"/>
      <c r="T87" s="255"/>
      <c r="U87" s="255"/>
      <c r="V87" s="258"/>
      <c r="W87" s="259"/>
      <c r="X87" s="1039"/>
      <c r="Y87" s="255"/>
      <c r="Z87" s="255"/>
      <c r="AA87" s="255"/>
      <c r="AB87" s="255"/>
      <c r="AC87" s="255"/>
      <c r="AD87" s="255"/>
      <c r="AE87" s="255"/>
      <c r="AF87" s="264"/>
      <c r="AG87" s="264"/>
      <c r="AH87" s="264"/>
      <c r="AI87" s="264"/>
      <c r="AJ87" s="264"/>
      <c r="AK87" s="264"/>
      <c r="AL87" s="264"/>
      <c r="AM87" s="264"/>
      <c r="AN87" s="264"/>
      <c r="AO87" s="264"/>
      <c r="AP87" s="264"/>
      <c r="AQ87" s="264"/>
      <c r="AR87" s="264"/>
      <c r="AS87" s="264"/>
      <c r="AT87" s="264"/>
      <c r="AU87" s="264"/>
      <c r="AV87" s="264"/>
      <c r="AW87" s="264"/>
      <c r="AX87" s="264"/>
      <c r="AY87" s="264"/>
      <c r="AZ87" s="264"/>
      <c r="BA87" s="264"/>
      <c r="BB87" s="264"/>
      <c r="BC87" s="264"/>
      <c r="BD87" s="264"/>
      <c r="BE87" s="264"/>
      <c r="BF87" s="264"/>
      <c r="BG87" s="264"/>
      <c r="BH87" s="264"/>
      <c r="BI87" s="264"/>
      <c r="BJ87" s="264"/>
      <c r="BK87" s="264"/>
      <c r="BL87" s="264"/>
      <c r="BM87" s="264"/>
      <c r="BN87" s="264"/>
      <c r="BO87" s="264"/>
      <c r="BP87" s="264"/>
      <c r="BQ87" s="264"/>
      <c r="BR87" s="264"/>
      <c r="BS87" s="264"/>
      <c r="BT87" s="264"/>
      <c r="BU87" s="264"/>
      <c r="BV87" s="264"/>
      <c r="BW87" s="264"/>
      <c r="BX87" s="264"/>
      <c r="BY87" s="264"/>
      <c r="BZ87" s="264"/>
      <c r="CA87" s="264"/>
      <c r="CB87" s="264"/>
      <c r="CC87" s="264"/>
      <c r="CD87" s="264"/>
      <c r="CE87" s="264"/>
      <c r="CF87" s="264"/>
      <c r="CG87" s="264"/>
      <c r="CH87" s="264"/>
      <c r="CI87" s="264"/>
    </row>
    <row r="88" spans="1:87" customFormat="1">
      <c r="A88" s="254"/>
      <c r="B88" s="255"/>
      <c r="C88" s="255"/>
      <c r="D88" s="255"/>
      <c r="E88" s="256"/>
      <c r="F88" s="255"/>
      <c r="G88" s="255"/>
      <c r="H88" s="255"/>
      <c r="I88" s="255"/>
      <c r="J88" s="257"/>
      <c r="K88" s="255"/>
      <c r="L88" s="257"/>
      <c r="M88" s="257"/>
      <c r="N88" s="255"/>
      <c r="O88" s="255"/>
      <c r="P88" s="255"/>
      <c r="Q88" s="256"/>
      <c r="R88" s="255"/>
      <c r="S88" s="255"/>
      <c r="T88" s="255"/>
      <c r="U88" s="255"/>
      <c r="V88" s="255"/>
      <c r="W88" s="259"/>
      <c r="X88" s="1039"/>
      <c r="Y88" s="255"/>
      <c r="Z88" s="255"/>
      <c r="AA88" s="255"/>
      <c r="AB88" s="255"/>
      <c r="AC88" s="255"/>
      <c r="AD88" s="255"/>
      <c r="AE88" s="260"/>
      <c r="AF88" s="264"/>
      <c r="AG88" s="264"/>
      <c r="AH88" s="264"/>
      <c r="AI88" s="264"/>
      <c r="AJ88" s="264"/>
      <c r="AK88" s="264"/>
      <c r="AL88" s="264"/>
      <c r="AM88" s="264"/>
      <c r="AN88" s="264"/>
      <c r="AO88" s="264"/>
      <c r="AP88" s="264"/>
      <c r="AQ88" s="264"/>
      <c r="AR88" s="264"/>
      <c r="AS88" s="264"/>
      <c r="AT88" s="264"/>
      <c r="AU88" s="264"/>
      <c r="AV88" s="264"/>
      <c r="AW88" s="264"/>
      <c r="AX88" s="264"/>
      <c r="AY88" s="264"/>
      <c r="AZ88" s="264"/>
      <c r="BA88" s="264"/>
      <c r="BB88" s="264"/>
      <c r="BC88" s="264"/>
      <c r="BD88" s="264"/>
      <c r="BE88" s="264"/>
      <c r="BF88" s="264"/>
      <c r="BG88" s="264"/>
      <c r="BH88" s="264"/>
      <c r="BI88" s="264"/>
      <c r="BJ88" s="264"/>
      <c r="BK88" s="264"/>
      <c r="BL88" s="264"/>
      <c r="BM88" s="264"/>
      <c r="BN88" s="264"/>
      <c r="BO88" s="264"/>
      <c r="BP88" s="264"/>
      <c r="BQ88" s="264"/>
      <c r="BR88" s="264"/>
      <c r="BS88" s="264"/>
      <c r="BT88" s="264"/>
      <c r="BU88" s="264"/>
      <c r="BV88" s="264"/>
      <c r="BW88" s="264"/>
      <c r="BX88" s="264"/>
      <c r="BY88" s="264"/>
      <c r="BZ88" s="264"/>
      <c r="CA88" s="264"/>
      <c r="CB88" s="264"/>
      <c r="CC88" s="264"/>
      <c r="CD88" s="264"/>
      <c r="CE88" s="264"/>
      <c r="CF88" s="264"/>
      <c r="CG88" s="264"/>
      <c r="CH88" s="264"/>
      <c r="CI88" s="264"/>
    </row>
    <row r="89" spans="1:87" customFormat="1">
      <c r="A89" s="254"/>
      <c r="B89" s="255"/>
      <c r="C89" s="255"/>
      <c r="D89" s="256"/>
      <c r="E89" s="255"/>
      <c r="F89" s="255"/>
      <c r="G89" s="255"/>
      <c r="H89" s="255"/>
      <c r="I89" s="255"/>
      <c r="J89" s="255"/>
      <c r="K89" s="255"/>
      <c r="L89" s="255"/>
      <c r="M89" s="257"/>
      <c r="N89" s="255"/>
      <c r="O89" s="255"/>
      <c r="P89" s="256"/>
      <c r="Q89" s="255"/>
      <c r="R89" s="255"/>
      <c r="S89" s="255"/>
      <c r="T89" s="255"/>
      <c r="U89" s="255"/>
      <c r="V89" s="258"/>
      <c r="W89" s="259"/>
      <c r="X89" s="1039"/>
      <c r="Y89" s="255"/>
      <c r="Z89" s="255"/>
      <c r="AA89" s="255"/>
      <c r="AB89" s="255"/>
      <c r="AC89" s="255"/>
      <c r="AD89" s="255"/>
      <c r="AE89" s="255"/>
      <c r="AF89" s="264"/>
      <c r="AG89" s="264"/>
      <c r="AH89" s="264"/>
      <c r="AI89" s="264"/>
      <c r="AJ89" s="264"/>
      <c r="AK89" s="264"/>
      <c r="AL89" s="264"/>
      <c r="AM89" s="264"/>
      <c r="AN89" s="264"/>
      <c r="AO89" s="264"/>
      <c r="AP89" s="264"/>
      <c r="AQ89" s="264"/>
      <c r="AR89" s="264"/>
      <c r="AS89" s="264"/>
      <c r="AT89" s="264"/>
      <c r="AU89" s="264"/>
      <c r="AV89" s="264"/>
      <c r="AW89" s="264"/>
      <c r="AX89" s="264"/>
      <c r="AY89" s="264"/>
      <c r="AZ89" s="264"/>
      <c r="BA89" s="264"/>
      <c r="BB89" s="264"/>
      <c r="BC89" s="264"/>
      <c r="BD89" s="264"/>
      <c r="BE89" s="264"/>
      <c r="BF89" s="264"/>
      <c r="BG89" s="264"/>
      <c r="BH89" s="264"/>
      <c r="BI89" s="264"/>
      <c r="BJ89" s="264"/>
      <c r="BK89" s="264"/>
      <c r="BL89" s="264"/>
      <c r="BM89" s="264"/>
      <c r="BN89" s="264"/>
      <c r="BO89" s="264"/>
      <c r="BP89" s="264"/>
      <c r="BQ89" s="264"/>
      <c r="BR89" s="264"/>
      <c r="BS89" s="264"/>
      <c r="BT89" s="264"/>
      <c r="BU89" s="264"/>
      <c r="BV89" s="264"/>
      <c r="BW89" s="264"/>
      <c r="BX89" s="264"/>
      <c r="BY89" s="264"/>
      <c r="BZ89" s="264"/>
      <c r="CA89" s="264"/>
      <c r="CB89" s="264"/>
      <c r="CC89" s="264"/>
      <c r="CD89" s="264"/>
      <c r="CE89" s="264"/>
      <c r="CF89" s="264"/>
      <c r="CG89" s="264"/>
      <c r="CH89" s="264"/>
      <c r="CI89" s="264"/>
    </row>
    <row r="90" spans="1:87" customFormat="1">
      <c r="A90" s="254"/>
      <c r="B90" s="255"/>
      <c r="C90" s="255"/>
      <c r="D90" s="255"/>
      <c r="E90" s="255"/>
      <c r="F90" s="255"/>
      <c r="G90" s="255"/>
      <c r="H90" s="255"/>
      <c r="I90" s="255"/>
      <c r="J90" s="257"/>
      <c r="K90" s="255"/>
      <c r="L90" s="257"/>
      <c r="M90" s="257"/>
      <c r="N90" s="255"/>
      <c r="O90" s="255"/>
      <c r="P90" s="255"/>
      <c r="Q90" s="256"/>
      <c r="R90" s="254"/>
      <c r="S90" s="254"/>
      <c r="T90" s="254"/>
      <c r="U90" s="255"/>
      <c r="V90" s="255"/>
      <c r="W90" s="259"/>
      <c r="X90" s="1039"/>
      <c r="Y90" s="255"/>
      <c r="Z90" s="255"/>
      <c r="AA90" s="255"/>
      <c r="AB90" s="255"/>
      <c r="AC90" s="255"/>
      <c r="AD90" s="255"/>
      <c r="AE90" s="260"/>
      <c r="AF90" s="264"/>
      <c r="AG90" s="264"/>
      <c r="AH90" s="264"/>
      <c r="AI90" s="264"/>
      <c r="AJ90" s="264"/>
      <c r="AK90" s="264"/>
      <c r="AL90" s="264"/>
      <c r="AM90" s="264"/>
      <c r="AN90" s="264"/>
      <c r="AO90" s="264"/>
      <c r="AP90" s="264"/>
      <c r="AQ90" s="264"/>
      <c r="AR90" s="264"/>
      <c r="AS90" s="264"/>
      <c r="AT90" s="264"/>
      <c r="AU90" s="264"/>
      <c r="AV90" s="264"/>
      <c r="AW90" s="264"/>
      <c r="AX90" s="264"/>
      <c r="AY90" s="264"/>
      <c r="AZ90" s="264"/>
      <c r="BA90" s="264"/>
      <c r="BB90" s="264"/>
      <c r="BC90" s="264"/>
      <c r="BD90" s="264"/>
      <c r="BE90" s="264"/>
      <c r="BF90" s="264"/>
      <c r="BG90" s="264"/>
      <c r="BH90" s="264"/>
      <c r="BI90" s="264"/>
      <c r="BJ90" s="264"/>
      <c r="BK90" s="264"/>
      <c r="BL90" s="264"/>
      <c r="BM90" s="264"/>
      <c r="BN90" s="264"/>
      <c r="BO90" s="264"/>
      <c r="BP90" s="264"/>
      <c r="BQ90" s="264"/>
      <c r="BR90" s="264"/>
      <c r="BS90" s="264"/>
      <c r="BT90" s="264"/>
      <c r="BU90" s="264"/>
      <c r="BV90" s="264"/>
      <c r="BW90" s="264"/>
      <c r="BX90" s="264"/>
      <c r="BY90" s="264"/>
      <c r="BZ90" s="264"/>
      <c r="CA90" s="264"/>
      <c r="CB90" s="264"/>
      <c r="CC90" s="264"/>
      <c r="CD90" s="264"/>
      <c r="CE90" s="264"/>
      <c r="CF90" s="264"/>
      <c r="CG90" s="264"/>
      <c r="CH90" s="264"/>
      <c r="CI90" s="264"/>
    </row>
    <row r="91" spans="1:87" customFormat="1">
      <c r="A91" s="254"/>
      <c r="B91" s="255"/>
      <c r="C91" s="255"/>
      <c r="D91" s="256"/>
      <c r="E91" s="255"/>
      <c r="F91" s="255"/>
      <c r="G91" s="255"/>
      <c r="H91" s="255"/>
      <c r="I91" s="255"/>
      <c r="J91" s="255"/>
      <c r="K91" s="255"/>
      <c r="L91" s="255"/>
      <c r="M91" s="257"/>
      <c r="N91" s="255"/>
      <c r="O91" s="255"/>
      <c r="P91" s="256"/>
      <c r="Q91" s="255"/>
      <c r="R91" s="255"/>
      <c r="S91" s="255"/>
      <c r="T91" s="255"/>
      <c r="U91" s="255"/>
      <c r="V91" s="258"/>
      <c r="W91" s="259"/>
      <c r="X91" s="1039"/>
      <c r="Y91" s="255"/>
      <c r="Z91" s="255"/>
      <c r="AA91" s="255"/>
      <c r="AB91" s="255"/>
      <c r="AC91" s="255"/>
      <c r="AD91" s="255"/>
      <c r="AE91" s="255"/>
      <c r="AF91" s="264"/>
      <c r="AG91" s="264"/>
      <c r="AH91" s="264"/>
      <c r="AI91" s="264"/>
      <c r="AJ91" s="264"/>
      <c r="AK91" s="264"/>
      <c r="AL91" s="264"/>
      <c r="AM91" s="264"/>
      <c r="AN91" s="264"/>
      <c r="AO91" s="264"/>
      <c r="AP91" s="264"/>
      <c r="AQ91" s="264"/>
      <c r="AR91" s="264"/>
      <c r="AS91" s="264"/>
      <c r="AT91" s="264"/>
      <c r="AU91" s="264"/>
      <c r="AV91" s="264"/>
      <c r="AW91" s="264"/>
      <c r="AX91" s="264"/>
      <c r="AY91" s="264"/>
      <c r="AZ91" s="264"/>
      <c r="BA91" s="264"/>
      <c r="BB91" s="264"/>
      <c r="BC91" s="264"/>
      <c r="BD91" s="264"/>
      <c r="BE91" s="264"/>
      <c r="BF91" s="264"/>
      <c r="BG91" s="264"/>
      <c r="BH91" s="264"/>
      <c r="BI91" s="264"/>
      <c r="BJ91" s="264"/>
      <c r="BK91" s="264"/>
      <c r="BL91" s="264"/>
      <c r="BM91" s="264"/>
      <c r="BN91" s="264"/>
      <c r="BO91" s="264"/>
      <c r="BP91" s="264"/>
      <c r="BQ91" s="264"/>
      <c r="BR91" s="264"/>
      <c r="BS91" s="264"/>
      <c r="BT91" s="264"/>
      <c r="BU91" s="264"/>
      <c r="BV91" s="264"/>
      <c r="BW91" s="264"/>
      <c r="BX91" s="264"/>
      <c r="BY91" s="264"/>
      <c r="BZ91" s="264"/>
      <c r="CA91" s="264"/>
      <c r="CB91" s="264"/>
      <c r="CC91" s="264"/>
      <c r="CD91" s="264"/>
      <c r="CE91" s="264"/>
      <c r="CF91" s="264"/>
      <c r="CG91" s="264"/>
      <c r="CH91" s="264"/>
      <c r="CI91" s="264"/>
    </row>
    <row r="92" spans="1:87" customFormat="1">
      <c r="A92" s="254"/>
      <c r="B92" s="255"/>
      <c r="C92" s="255"/>
      <c r="D92" s="255"/>
      <c r="E92" s="255"/>
      <c r="F92" s="255"/>
      <c r="G92" s="255"/>
      <c r="H92" s="255"/>
      <c r="I92" s="255"/>
      <c r="J92" s="257"/>
      <c r="K92" s="255"/>
      <c r="L92" s="257"/>
      <c r="M92" s="257"/>
      <c r="N92" s="255"/>
      <c r="O92" s="255"/>
      <c r="P92" s="256"/>
      <c r="Q92" s="256"/>
      <c r="R92" s="255"/>
      <c r="S92" s="255"/>
      <c r="T92" s="255"/>
      <c r="U92" s="255"/>
      <c r="V92" s="258"/>
      <c r="W92" s="259"/>
      <c r="X92" s="1039"/>
      <c r="Y92" s="255"/>
      <c r="Z92" s="255"/>
      <c r="AA92" s="255"/>
      <c r="AB92" s="255"/>
      <c r="AC92" s="255"/>
      <c r="AD92" s="255"/>
      <c r="AE92" s="260"/>
      <c r="AF92" s="264"/>
      <c r="AG92" s="264"/>
      <c r="AH92" s="264"/>
      <c r="AI92" s="264"/>
      <c r="AJ92" s="264"/>
      <c r="AK92" s="264"/>
      <c r="AL92" s="264"/>
      <c r="AM92" s="264"/>
      <c r="AN92" s="264"/>
      <c r="AO92" s="264"/>
      <c r="AP92" s="264"/>
      <c r="AQ92" s="264"/>
      <c r="AR92" s="264"/>
      <c r="AS92" s="264"/>
      <c r="AT92" s="264"/>
      <c r="AU92" s="264"/>
      <c r="AV92" s="264"/>
      <c r="AW92" s="264"/>
      <c r="AX92" s="264"/>
      <c r="AY92" s="264"/>
      <c r="AZ92" s="264"/>
      <c r="BA92" s="264"/>
      <c r="BB92" s="264"/>
      <c r="BC92" s="264"/>
      <c r="BD92" s="264"/>
      <c r="BE92" s="264"/>
      <c r="BF92" s="264"/>
      <c r="BG92" s="264"/>
      <c r="BH92" s="264"/>
      <c r="BI92" s="264"/>
      <c r="BJ92" s="264"/>
      <c r="BK92" s="264"/>
      <c r="BL92" s="264"/>
      <c r="BM92" s="264"/>
      <c r="BN92" s="264"/>
      <c r="BO92" s="264"/>
      <c r="BP92" s="264"/>
      <c r="BQ92" s="264"/>
      <c r="BR92" s="264"/>
      <c r="BS92" s="264"/>
      <c r="BT92" s="264"/>
      <c r="BU92" s="264"/>
      <c r="BV92" s="264"/>
      <c r="BW92" s="264"/>
      <c r="BX92" s="264"/>
      <c r="BY92" s="264"/>
      <c r="BZ92" s="264"/>
      <c r="CA92" s="264"/>
      <c r="CB92" s="264"/>
      <c r="CC92" s="264"/>
      <c r="CD92" s="264"/>
      <c r="CE92" s="264"/>
      <c r="CF92" s="264"/>
      <c r="CG92" s="264"/>
      <c r="CH92" s="264"/>
      <c r="CI92" s="264"/>
    </row>
    <row r="93" spans="1:87" customFormat="1">
      <c r="A93" s="254"/>
      <c r="B93" s="255"/>
      <c r="C93" s="255"/>
      <c r="D93" s="256"/>
      <c r="E93" s="255"/>
      <c r="F93" s="255"/>
      <c r="G93" s="255"/>
      <c r="H93" s="255"/>
      <c r="I93" s="255"/>
      <c r="J93" s="255"/>
      <c r="K93" s="255"/>
      <c r="L93" s="255"/>
      <c r="M93" s="257"/>
      <c r="N93" s="255"/>
      <c r="O93" s="255"/>
      <c r="P93" s="256"/>
      <c r="Q93" s="255"/>
      <c r="R93" s="255"/>
      <c r="S93" s="255"/>
      <c r="T93" s="255"/>
      <c r="U93" s="255"/>
      <c r="V93" s="258"/>
      <c r="W93" s="259"/>
      <c r="X93" s="1039"/>
      <c r="Y93" s="255"/>
      <c r="Z93" s="255"/>
      <c r="AA93" s="255"/>
      <c r="AB93" s="255"/>
      <c r="AC93" s="255"/>
      <c r="AD93" s="255"/>
      <c r="AE93" s="255"/>
      <c r="AF93" s="264"/>
      <c r="AG93" s="264"/>
      <c r="AH93" s="264"/>
      <c r="AI93" s="264"/>
      <c r="AJ93" s="264"/>
      <c r="AK93" s="264"/>
      <c r="AL93" s="264"/>
      <c r="AM93" s="264"/>
      <c r="AN93" s="264"/>
      <c r="AO93" s="264"/>
      <c r="AP93" s="264"/>
      <c r="AQ93" s="264"/>
      <c r="AR93" s="264"/>
      <c r="AS93" s="264"/>
      <c r="AT93" s="264"/>
      <c r="AU93" s="264"/>
      <c r="AV93" s="264"/>
      <c r="AW93" s="264"/>
      <c r="AX93" s="264"/>
      <c r="AY93" s="264"/>
      <c r="AZ93" s="264"/>
      <c r="BA93" s="264"/>
      <c r="BB93" s="264"/>
      <c r="BC93" s="264"/>
      <c r="BD93" s="264"/>
      <c r="BE93" s="264"/>
      <c r="BF93" s="264"/>
      <c r="BG93" s="264"/>
      <c r="BH93" s="264"/>
      <c r="BI93" s="264"/>
      <c r="BJ93" s="264"/>
      <c r="BK93" s="264"/>
      <c r="BL93" s="264"/>
      <c r="BM93" s="264"/>
      <c r="BN93" s="264"/>
      <c r="BO93" s="264"/>
      <c r="BP93" s="264"/>
      <c r="BQ93" s="264"/>
      <c r="BR93" s="264"/>
      <c r="BS93" s="264"/>
      <c r="BT93" s="264"/>
      <c r="BU93" s="264"/>
      <c r="BV93" s="264"/>
      <c r="BW93" s="264"/>
      <c r="BX93" s="264"/>
      <c r="BY93" s="264"/>
      <c r="BZ93" s="264"/>
      <c r="CA93" s="264"/>
      <c r="CB93" s="264"/>
      <c r="CC93" s="264"/>
      <c r="CD93" s="264"/>
      <c r="CE93" s="264"/>
      <c r="CF93" s="264"/>
      <c r="CG93" s="264"/>
      <c r="CH93" s="264"/>
      <c r="CI93" s="264"/>
    </row>
    <row r="94" spans="1:87" customFormat="1">
      <c r="A94" s="254"/>
      <c r="B94" s="255"/>
      <c r="C94" s="255"/>
      <c r="D94" s="255"/>
      <c r="E94" s="255"/>
      <c r="F94" s="255"/>
      <c r="G94" s="255"/>
      <c r="H94" s="255"/>
      <c r="I94" s="255"/>
      <c r="J94" s="257"/>
      <c r="K94" s="255"/>
      <c r="L94" s="257"/>
      <c r="M94" s="257"/>
      <c r="N94" s="255"/>
      <c r="O94" s="255"/>
      <c r="P94" s="255"/>
      <c r="Q94" s="256"/>
      <c r="R94" s="255"/>
      <c r="S94" s="255"/>
      <c r="T94" s="255"/>
      <c r="U94" s="255"/>
      <c r="V94" s="258"/>
      <c r="W94" s="259"/>
      <c r="X94" s="1039"/>
      <c r="Y94" s="255"/>
      <c r="Z94" s="255"/>
      <c r="AA94" s="255"/>
      <c r="AB94" s="255"/>
      <c r="AC94" s="255"/>
      <c r="AD94" s="255"/>
      <c r="AE94" s="273"/>
      <c r="AF94" s="264"/>
      <c r="AG94" s="264"/>
      <c r="AH94" s="264"/>
      <c r="AI94" s="264"/>
      <c r="AJ94" s="264"/>
      <c r="AK94" s="264"/>
      <c r="AL94" s="264"/>
      <c r="AM94" s="264"/>
      <c r="AN94" s="264"/>
      <c r="AO94" s="264"/>
      <c r="AP94" s="264"/>
      <c r="AQ94" s="264"/>
      <c r="AR94" s="264"/>
      <c r="AS94" s="264"/>
      <c r="AT94" s="264"/>
      <c r="AU94" s="264"/>
      <c r="AV94" s="264"/>
      <c r="AW94" s="264"/>
      <c r="AX94" s="264"/>
      <c r="AY94" s="264"/>
      <c r="AZ94" s="264"/>
      <c r="BA94" s="264"/>
      <c r="BB94" s="264"/>
      <c r="BC94" s="264"/>
      <c r="BD94" s="264"/>
      <c r="BE94" s="264"/>
      <c r="BF94" s="264"/>
      <c r="BG94" s="264"/>
      <c r="BH94" s="264"/>
      <c r="BI94" s="264"/>
      <c r="BJ94" s="264"/>
      <c r="BK94" s="264"/>
      <c r="BL94" s="264"/>
      <c r="BM94" s="264"/>
      <c r="BN94" s="264"/>
      <c r="BO94" s="264"/>
      <c r="BP94" s="264"/>
      <c r="BQ94" s="264"/>
      <c r="BR94" s="264"/>
      <c r="BS94" s="264"/>
      <c r="BT94" s="264"/>
      <c r="BU94" s="264"/>
      <c r="BV94" s="264"/>
      <c r="BW94" s="264"/>
      <c r="BX94" s="264"/>
      <c r="BY94" s="264"/>
      <c r="BZ94" s="264"/>
      <c r="CA94" s="264"/>
      <c r="CB94" s="264"/>
      <c r="CC94" s="264"/>
      <c r="CD94" s="264"/>
      <c r="CE94" s="264"/>
      <c r="CF94" s="264"/>
      <c r="CG94" s="264"/>
      <c r="CH94" s="264"/>
      <c r="CI94" s="264"/>
    </row>
    <row r="95" spans="1:87" customFormat="1">
      <c r="A95" s="254"/>
      <c r="B95" s="255"/>
      <c r="C95" s="255"/>
      <c r="D95" s="256"/>
      <c r="E95" s="255"/>
      <c r="F95" s="255"/>
      <c r="G95" s="255"/>
      <c r="H95" s="255"/>
      <c r="I95" s="255"/>
      <c r="J95" s="255"/>
      <c r="K95" s="255"/>
      <c r="L95" s="255"/>
      <c r="M95" s="257"/>
      <c r="N95" s="255"/>
      <c r="O95" s="255"/>
      <c r="P95" s="256"/>
      <c r="Q95" s="255"/>
      <c r="R95" s="255"/>
      <c r="S95" s="255"/>
      <c r="T95" s="255"/>
      <c r="U95" s="255"/>
      <c r="V95" s="258"/>
      <c r="W95" s="259"/>
      <c r="X95" s="1039"/>
      <c r="Y95" s="255"/>
      <c r="Z95" s="255"/>
      <c r="AA95" s="255"/>
      <c r="AB95" s="255"/>
      <c r="AC95" s="255"/>
      <c r="AD95" s="255"/>
      <c r="AE95" s="255"/>
      <c r="AF95" s="264"/>
      <c r="AG95" s="264"/>
      <c r="AH95" s="264"/>
      <c r="AI95" s="264"/>
      <c r="AJ95" s="264"/>
      <c r="AK95" s="264"/>
      <c r="AL95" s="264"/>
      <c r="AM95" s="264"/>
      <c r="AN95" s="264"/>
      <c r="AO95" s="264"/>
      <c r="AP95" s="264"/>
      <c r="AQ95" s="264"/>
      <c r="AR95" s="264"/>
      <c r="AS95" s="264"/>
      <c r="AT95" s="264"/>
      <c r="AU95" s="264"/>
      <c r="AV95" s="264"/>
      <c r="AW95" s="264"/>
      <c r="AX95" s="264"/>
      <c r="AY95" s="264"/>
      <c r="AZ95" s="264"/>
      <c r="BA95" s="264"/>
      <c r="BB95" s="264"/>
      <c r="BC95" s="264"/>
      <c r="BD95" s="264"/>
      <c r="BE95" s="264"/>
      <c r="BF95" s="264"/>
      <c r="BG95" s="264"/>
      <c r="BH95" s="264"/>
      <c r="BI95" s="264"/>
      <c r="BJ95" s="264"/>
      <c r="BK95" s="264"/>
      <c r="BL95" s="264"/>
      <c r="BM95" s="264"/>
      <c r="BN95" s="264"/>
      <c r="BO95" s="264"/>
      <c r="BP95" s="264"/>
      <c r="BQ95" s="264"/>
      <c r="BR95" s="264"/>
      <c r="BS95" s="264"/>
      <c r="BT95" s="264"/>
      <c r="BU95" s="264"/>
      <c r="BV95" s="264"/>
      <c r="BW95" s="264"/>
      <c r="BX95" s="264"/>
      <c r="BY95" s="264"/>
      <c r="BZ95" s="264"/>
      <c r="CA95" s="264"/>
      <c r="CB95" s="264"/>
      <c r="CC95" s="264"/>
      <c r="CD95" s="264"/>
      <c r="CE95" s="264"/>
      <c r="CF95" s="264"/>
      <c r="CG95" s="264"/>
      <c r="CH95" s="264"/>
      <c r="CI95" s="264"/>
    </row>
    <row r="96" spans="1:87" customFormat="1">
      <c r="A96" s="254"/>
      <c r="B96" s="255"/>
      <c r="C96" s="255"/>
      <c r="D96" s="255"/>
      <c r="E96" s="255"/>
      <c r="F96" s="255"/>
      <c r="G96" s="255"/>
      <c r="H96" s="255"/>
      <c r="I96" s="255"/>
      <c r="J96" s="257"/>
      <c r="K96" s="255"/>
      <c r="L96" s="257"/>
      <c r="M96" s="257"/>
      <c r="N96" s="255"/>
      <c r="O96" s="255"/>
      <c r="P96" s="255"/>
      <c r="Q96" s="256"/>
      <c r="R96" s="255"/>
      <c r="S96" s="255"/>
      <c r="T96" s="255"/>
      <c r="U96" s="255"/>
      <c r="V96" s="258"/>
      <c r="W96" s="259"/>
      <c r="X96" s="1039"/>
      <c r="Y96" s="255"/>
      <c r="Z96" s="255"/>
      <c r="AA96" s="255"/>
      <c r="AB96" s="255"/>
      <c r="AC96" s="255"/>
      <c r="AD96" s="255"/>
      <c r="AE96" s="273"/>
      <c r="AF96" s="264"/>
      <c r="AG96" s="264"/>
      <c r="AH96" s="264"/>
      <c r="AI96" s="264"/>
      <c r="AJ96" s="264"/>
      <c r="AK96" s="264"/>
      <c r="AL96" s="264"/>
      <c r="AM96" s="264"/>
      <c r="AN96" s="264"/>
      <c r="AO96" s="264"/>
      <c r="AP96" s="264"/>
      <c r="AQ96" s="264"/>
      <c r="AR96" s="264"/>
      <c r="AS96" s="264"/>
      <c r="AT96" s="264"/>
      <c r="AU96" s="264"/>
      <c r="AV96" s="264"/>
      <c r="AW96" s="264"/>
      <c r="AX96" s="264"/>
      <c r="AY96" s="264"/>
      <c r="AZ96" s="264"/>
      <c r="BA96" s="264"/>
      <c r="BB96" s="264"/>
      <c r="BC96" s="264"/>
      <c r="BD96" s="264"/>
      <c r="BE96" s="264"/>
      <c r="BF96" s="264"/>
      <c r="BG96" s="264"/>
      <c r="BH96" s="264"/>
      <c r="BI96" s="264"/>
      <c r="BJ96" s="264"/>
      <c r="BK96" s="264"/>
      <c r="BL96" s="264"/>
      <c r="BM96" s="264"/>
      <c r="BN96" s="264"/>
      <c r="BO96" s="264"/>
      <c r="BP96" s="264"/>
      <c r="BQ96" s="264"/>
      <c r="BR96" s="264"/>
      <c r="BS96" s="264"/>
      <c r="BT96" s="264"/>
      <c r="BU96" s="264"/>
      <c r="BV96" s="264"/>
      <c r="BW96" s="264"/>
      <c r="BX96" s="264"/>
      <c r="BY96" s="264"/>
      <c r="BZ96" s="264"/>
      <c r="CA96" s="264"/>
      <c r="CB96" s="264"/>
      <c r="CC96" s="264"/>
      <c r="CD96" s="264"/>
      <c r="CE96" s="264"/>
      <c r="CF96" s="264"/>
      <c r="CG96" s="264"/>
      <c r="CH96" s="264"/>
      <c r="CI96" s="264"/>
    </row>
    <row r="97" spans="1:87" customFormat="1">
      <c r="A97" s="254"/>
      <c r="B97" s="255"/>
      <c r="C97" s="255"/>
      <c r="D97" s="256"/>
      <c r="E97" s="255"/>
      <c r="F97" s="255"/>
      <c r="G97" s="255"/>
      <c r="H97" s="255"/>
      <c r="I97" s="255"/>
      <c r="J97" s="255"/>
      <c r="K97" s="255"/>
      <c r="L97" s="255"/>
      <c r="M97" s="257"/>
      <c r="N97" s="255"/>
      <c r="O97" s="255"/>
      <c r="P97" s="256"/>
      <c r="Q97" s="255"/>
      <c r="R97" s="255"/>
      <c r="S97" s="255"/>
      <c r="T97" s="255"/>
      <c r="U97" s="255"/>
      <c r="V97" s="258"/>
      <c r="W97" s="259"/>
      <c r="X97" s="1039"/>
      <c r="Y97" s="255"/>
      <c r="Z97" s="255"/>
      <c r="AA97" s="255"/>
      <c r="AB97" s="255"/>
      <c r="AC97" s="255"/>
      <c r="AD97" s="255"/>
      <c r="AE97" s="255"/>
      <c r="AF97" s="264"/>
      <c r="AG97" s="264"/>
      <c r="AH97" s="264"/>
      <c r="AI97" s="264"/>
      <c r="AJ97" s="264"/>
      <c r="AK97" s="264"/>
      <c r="AL97" s="264"/>
      <c r="AM97" s="264"/>
      <c r="AN97" s="264"/>
      <c r="AO97" s="264"/>
      <c r="AP97" s="264"/>
      <c r="AQ97" s="264"/>
      <c r="AR97" s="264"/>
      <c r="AS97" s="264"/>
      <c r="AT97" s="264"/>
      <c r="AU97" s="264"/>
      <c r="AV97" s="264"/>
      <c r="AW97" s="264"/>
      <c r="AX97" s="264"/>
      <c r="AY97" s="264"/>
      <c r="AZ97" s="264"/>
      <c r="BA97" s="264"/>
      <c r="BB97" s="264"/>
      <c r="BC97" s="264"/>
      <c r="BD97" s="264"/>
      <c r="BE97" s="264"/>
      <c r="BF97" s="264"/>
      <c r="BG97" s="264"/>
      <c r="BH97" s="264"/>
      <c r="BI97" s="264"/>
      <c r="BJ97" s="264"/>
      <c r="BK97" s="264"/>
      <c r="BL97" s="264"/>
      <c r="BM97" s="264"/>
      <c r="BN97" s="264"/>
      <c r="BO97" s="264"/>
      <c r="BP97" s="264"/>
      <c r="BQ97" s="264"/>
      <c r="BR97" s="264"/>
      <c r="BS97" s="264"/>
      <c r="BT97" s="264"/>
      <c r="BU97" s="264"/>
      <c r="BV97" s="264"/>
      <c r="BW97" s="264"/>
      <c r="BX97" s="264"/>
      <c r="BY97" s="264"/>
      <c r="BZ97" s="264"/>
      <c r="CA97" s="264"/>
      <c r="CB97" s="264"/>
      <c r="CC97" s="264"/>
      <c r="CD97" s="264"/>
      <c r="CE97" s="264"/>
      <c r="CF97" s="264"/>
      <c r="CG97" s="264"/>
      <c r="CH97" s="264"/>
      <c r="CI97" s="264"/>
    </row>
    <row r="98" spans="1:87" customFormat="1">
      <c r="A98" s="254"/>
      <c r="B98" s="255"/>
      <c r="C98" s="255"/>
      <c r="D98" s="256"/>
      <c r="E98" s="255"/>
      <c r="F98" s="256"/>
      <c r="G98" s="255"/>
      <c r="H98" s="255"/>
      <c r="I98" s="255"/>
      <c r="J98" s="257"/>
      <c r="K98" s="255"/>
      <c r="L98" s="257"/>
      <c r="M98" s="257"/>
      <c r="N98" s="255"/>
      <c r="O98" s="255"/>
      <c r="P98" s="256"/>
      <c r="Q98" s="256"/>
      <c r="R98" s="255"/>
      <c r="S98" s="255"/>
      <c r="T98" s="255"/>
      <c r="U98" s="255"/>
      <c r="V98" s="258"/>
      <c r="W98" s="259"/>
      <c r="X98" s="1039"/>
      <c r="Y98" s="255"/>
      <c r="Z98" s="255"/>
      <c r="AA98" s="255"/>
      <c r="AB98" s="255"/>
      <c r="AC98" s="255"/>
      <c r="AD98" s="255"/>
      <c r="AE98" s="260"/>
      <c r="AF98" s="264"/>
      <c r="AG98" s="264"/>
      <c r="AH98" s="264"/>
      <c r="AI98" s="264"/>
      <c r="AJ98" s="264"/>
      <c r="AK98" s="264"/>
      <c r="AL98" s="264"/>
      <c r="AM98" s="264"/>
      <c r="AN98" s="264"/>
      <c r="AO98" s="264"/>
      <c r="AP98" s="264"/>
      <c r="AQ98" s="264"/>
      <c r="AR98" s="264"/>
      <c r="AS98" s="264"/>
      <c r="AT98" s="264"/>
      <c r="AU98" s="264"/>
      <c r="AV98" s="264"/>
      <c r="AW98" s="264"/>
      <c r="AX98" s="264"/>
      <c r="AY98" s="264"/>
      <c r="AZ98" s="264"/>
      <c r="BA98" s="264"/>
      <c r="BB98" s="264"/>
      <c r="BC98" s="264"/>
      <c r="BD98" s="264"/>
      <c r="BE98" s="264"/>
      <c r="BF98" s="264"/>
      <c r="BG98" s="264"/>
      <c r="BH98" s="264"/>
      <c r="BI98" s="264"/>
      <c r="BJ98" s="264"/>
      <c r="BK98" s="264"/>
      <c r="BL98" s="264"/>
      <c r="BM98" s="264"/>
      <c r="BN98" s="264"/>
      <c r="BO98" s="264"/>
      <c r="BP98" s="264"/>
      <c r="BQ98" s="264"/>
      <c r="BR98" s="264"/>
      <c r="BS98" s="264"/>
      <c r="BT98" s="264"/>
      <c r="BU98" s="264"/>
      <c r="BV98" s="264"/>
      <c r="BW98" s="264"/>
      <c r="BX98" s="264"/>
      <c r="BY98" s="264"/>
      <c r="BZ98" s="264"/>
      <c r="CA98" s="264"/>
      <c r="CB98" s="264"/>
      <c r="CC98" s="264"/>
      <c r="CD98" s="264"/>
      <c r="CE98" s="264"/>
      <c r="CF98" s="264"/>
      <c r="CG98" s="264"/>
      <c r="CH98" s="264"/>
      <c r="CI98" s="264"/>
    </row>
    <row r="99" spans="1:87" customFormat="1">
      <c r="A99" s="254"/>
      <c r="B99" s="255"/>
      <c r="C99" s="255"/>
      <c r="D99" s="256"/>
      <c r="E99" s="255"/>
      <c r="F99" s="255"/>
      <c r="G99" s="255"/>
      <c r="H99" s="255"/>
      <c r="I99" s="255"/>
      <c r="J99" s="255"/>
      <c r="K99" s="255"/>
      <c r="L99" s="255"/>
      <c r="M99" s="257"/>
      <c r="N99" s="255"/>
      <c r="O99" s="255"/>
      <c r="P99" s="256"/>
      <c r="Q99" s="255"/>
      <c r="R99" s="255"/>
      <c r="S99" s="255"/>
      <c r="T99" s="255"/>
      <c r="U99" s="255"/>
      <c r="V99" s="258"/>
      <c r="W99" s="259"/>
      <c r="X99" s="1039"/>
      <c r="Y99" s="255"/>
      <c r="Z99" s="255"/>
      <c r="AA99" s="255"/>
      <c r="AB99" s="255"/>
      <c r="AC99" s="255"/>
      <c r="AD99" s="255"/>
      <c r="AE99" s="255"/>
      <c r="AF99" s="264"/>
      <c r="AG99" s="264"/>
      <c r="AH99" s="264"/>
      <c r="AI99" s="264"/>
      <c r="AJ99" s="264"/>
      <c r="AK99" s="264"/>
      <c r="AL99" s="264"/>
      <c r="AM99" s="264"/>
      <c r="AN99" s="264"/>
      <c r="AO99" s="264"/>
      <c r="AP99" s="264"/>
      <c r="AQ99" s="264"/>
      <c r="AR99" s="264"/>
      <c r="AS99" s="264"/>
      <c r="AT99" s="264"/>
      <c r="AU99" s="264"/>
      <c r="AV99" s="264"/>
      <c r="AW99" s="264"/>
      <c r="AX99" s="264"/>
      <c r="AY99" s="264"/>
      <c r="AZ99" s="264"/>
      <c r="BA99" s="264"/>
      <c r="BB99" s="264"/>
      <c r="BC99" s="264"/>
      <c r="BD99" s="264"/>
      <c r="BE99" s="264"/>
      <c r="BF99" s="264"/>
      <c r="BG99" s="264"/>
      <c r="BH99" s="264"/>
      <c r="BI99" s="264"/>
      <c r="BJ99" s="264"/>
      <c r="BK99" s="264"/>
      <c r="BL99" s="264"/>
      <c r="BM99" s="264"/>
      <c r="BN99" s="264"/>
      <c r="BO99" s="264"/>
      <c r="BP99" s="264"/>
      <c r="BQ99" s="264"/>
      <c r="BR99" s="264"/>
      <c r="BS99" s="264"/>
      <c r="BT99" s="264"/>
      <c r="BU99" s="264"/>
      <c r="BV99" s="264"/>
      <c r="BW99" s="264"/>
      <c r="BX99" s="264"/>
      <c r="BY99" s="264"/>
      <c r="BZ99" s="264"/>
      <c r="CA99" s="264"/>
      <c r="CB99" s="264"/>
      <c r="CC99" s="264"/>
      <c r="CD99" s="264"/>
      <c r="CE99" s="264"/>
      <c r="CF99" s="264"/>
      <c r="CG99" s="264"/>
      <c r="CH99" s="264"/>
      <c r="CI99" s="264"/>
    </row>
    <row r="100" spans="1:87" customFormat="1">
      <c r="A100" s="254"/>
      <c r="B100" s="255"/>
      <c r="C100" s="255"/>
      <c r="D100" s="256"/>
      <c r="E100" s="272"/>
      <c r="F100" s="255"/>
      <c r="G100" s="255"/>
      <c r="H100" s="272"/>
      <c r="I100" s="255"/>
      <c r="J100" s="255"/>
      <c r="K100" s="255"/>
      <c r="L100" s="262"/>
      <c r="M100" s="255"/>
      <c r="N100" s="255"/>
      <c r="O100" s="255"/>
      <c r="P100" s="255"/>
      <c r="Q100" s="255"/>
      <c r="R100" s="256"/>
      <c r="S100" s="255"/>
      <c r="T100" s="255"/>
      <c r="U100" s="255"/>
      <c r="V100" s="258"/>
      <c r="W100" s="259"/>
      <c r="X100" s="1039"/>
      <c r="Y100" s="255"/>
      <c r="Z100" s="255"/>
      <c r="AA100" s="255"/>
      <c r="AB100" s="255"/>
      <c r="AC100" s="255"/>
      <c r="AD100" s="255"/>
      <c r="AE100" s="260"/>
      <c r="AF100" s="264"/>
      <c r="AG100" s="264"/>
      <c r="AH100" s="264"/>
      <c r="AI100" s="264"/>
      <c r="AJ100" s="264"/>
      <c r="AK100" s="264"/>
      <c r="AL100" s="264"/>
      <c r="AM100" s="264"/>
      <c r="AN100" s="264"/>
      <c r="AO100" s="264"/>
      <c r="AP100" s="264"/>
      <c r="AQ100" s="264"/>
      <c r="AR100" s="264"/>
      <c r="AS100" s="264"/>
      <c r="AT100" s="264"/>
      <c r="AU100" s="264"/>
      <c r="AV100" s="264"/>
      <c r="AW100" s="264"/>
      <c r="AX100" s="264"/>
      <c r="AY100" s="264"/>
      <c r="AZ100" s="264"/>
      <c r="BA100" s="264"/>
      <c r="BB100" s="264"/>
      <c r="BC100" s="264"/>
      <c r="BD100" s="264"/>
      <c r="BE100" s="264"/>
      <c r="BF100" s="264"/>
      <c r="BG100" s="264"/>
      <c r="BH100" s="264"/>
      <c r="BI100" s="264"/>
      <c r="BJ100" s="264"/>
      <c r="BK100" s="264"/>
      <c r="BL100" s="264"/>
      <c r="BM100" s="264"/>
      <c r="BN100" s="264"/>
      <c r="BO100" s="264"/>
      <c r="BP100" s="264"/>
      <c r="BQ100" s="264"/>
      <c r="BR100" s="264"/>
      <c r="BS100" s="264"/>
      <c r="BT100" s="264"/>
      <c r="BU100" s="264"/>
      <c r="BV100" s="264"/>
      <c r="BW100" s="264"/>
      <c r="BX100" s="264"/>
      <c r="BY100" s="264"/>
      <c r="BZ100" s="264"/>
      <c r="CA100" s="264"/>
      <c r="CB100" s="264"/>
      <c r="CC100" s="264"/>
      <c r="CD100" s="264"/>
      <c r="CE100" s="264"/>
      <c r="CF100" s="264"/>
      <c r="CG100" s="264"/>
      <c r="CH100" s="264"/>
      <c r="CI100" s="264"/>
    </row>
    <row r="101" spans="1:87" customFormat="1">
      <c r="A101" s="254"/>
      <c r="B101" s="255"/>
      <c r="C101" s="255"/>
      <c r="D101" s="256"/>
      <c r="E101" s="255"/>
      <c r="F101" s="255"/>
      <c r="G101" s="255"/>
      <c r="H101" s="255"/>
      <c r="I101" s="255"/>
      <c r="J101" s="255"/>
      <c r="K101" s="255"/>
      <c r="L101" s="255"/>
      <c r="M101" s="257"/>
      <c r="N101" s="255"/>
      <c r="O101" s="255"/>
      <c r="P101" s="256"/>
      <c r="Q101" s="255"/>
      <c r="R101" s="255"/>
      <c r="S101" s="255"/>
      <c r="T101" s="255"/>
      <c r="U101" s="255"/>
      <c r="V101" s="258"/>
      <c r="W101" s="259"/>
      <c r="X101" s="1039"/>
      <c r="Y101" s="255"/>
      <c r="Z101" s="255"/>
      <c r="AA101" s="255"/>
      <c r="AB101" s="255"/>
      <c r="AC101" s="255"/>
      <c r="AD101" s="255"/>
      <c r="AE101" s="255"/>
      <c r="AF101" s="264"/>
      <c r="AG101" s="264"/>
      <c r="AH101" s="264"/>
      <c r="AI101" s="264"/>
      <c r="AJ101" s="264"/>
      <c r="AK101" s="264"/>
      <c r="AL101" s="264"/>
      <c r="AM101" s="264"/>
      <c r="AN101" s="264"/>
      <c r="AO101" s="264"/>
      <c r="AP101" s="264"/>
      <c r="AQ101" s="264"/>
      <c r="AR101" s="264"/>
      <c r="AS101" s="264"/>
      <c r="AT101" s="264"/>
      <c r="AU101" s="264"/>
      <c r="AV101" s="264"/>
      <c r="AW101" s="264"/>
      <c r="AX101" s="264"/>
      <c r="AY101" s="264"/>
      <c r="AZ101" s="264"/>
      <c r="BA101" s="264"/>
      <c r="BB101" s="264"/>
      <c r="BC101" s="264"/>
      <c r="BD101" s="264"/>
      <c r="BE101" s="264"/>
      <c r="BF101" s="264"/>
      <c r="BG101" s="264"/>
      <c r="BH101" s="264"/>
      <c r="BI101" s="264"/>
      <c r="BJ101" s="264"/>
      <c r="BK101" s="264"/>
      <c r="BL101" s="264"/>
      <c r="BM101" s="264"/>
      <c r="BN101" s="264"/>
      <c r="BO101" s="264"/>
      <c r="BP101" s="264"/>
      <c r="BQ101" s="264"/>
      <c r="BR101" s="264"/>
      <c r="BS101" s="264"/>
      <c r="BT101" s="264"/>
      <c r="BU101" s="264"/>
      <c r="BV101" s="264"/>
      <c r="BW101" s="264"/>
      <c r="BX101" s="264"/>
      <c r="BY101" s="264"/>
      <c r="BZ101" s="264"/>
      <c r="CA101" s="264"/>
      <c r="CB101" s="264"/>
      <c r="CC101" s="264"/>
      <c r="CD101" s="264"/>
      <c r="CE101" s="264"/>
      <c r="CF101" s="264"/>
      <c r="CG101" s="264"/>
      <c r="CH101" s="264"/>
      <c r="CI101" s="264"/>
    </row>
    <row r="102" spans="1:87" customFormat="1">
      <c r="A102" s="254"/>
      <c r="B102" s="255"/>
      <c r="C102" s="255"/>
      <c r="D102" s="256"/>
      <c r="E102" s="256"/>
      <c r="F102" s="256"/>
      <c r="G102" s="255"/>
      <c r="H102" s="255"/>
      <c r="I102" s="255"/>
      <c r="J102" s="255"/>
      <c r="K102" s="255"/>
      <c r="L102" s="262"/>
      <c r="M102" s="255"/>
      <c r="N102" s="255"/>
      <c r="O102" s="255"/>
      <c r="P102" s="255"/>
      <c r="Q102" s="255"/>
      <c r="R102" s="255"/>
      <c r="S102" s="255"/>
      <c r="T102" s="255"/>
      <c r="U102" s="255"/>
      <c r="V102" s="255"/>
      <c r="W102" s="259"/>
      <c r="X102" s="1039"/>
      <c r="Y102" s="255"/>
      <c r="Z102" s="255"/>
      <c r="AA102" s="255"/>
      <c r="AB102" s="255"/>
      <c r="AC102" s="255"/>
      <c r="AD102" s="255"/>
      <c r="AE102" s="260"/>
      <c r="AF102" s="264"/>
      <c r="AG102" s="264"/>
      <c r="AH102" s="264"/>
      <c r="AI102" s="264"/>
      <c r="AJ102" s="264"/>
      <c r="AK102" s="264"/>
      <c r="AL102" s="264"/>
      <c r="AM102" s="264"/>
      <c r="AN102" s="264"/>
      <c r="AO102" s="264"/>
      <c r="AP102" s="264"/>
      <c r="AQ102" s="264"/>
      <c r="AR102" s="264"/>
      <c r="AS102" s="264"/>
      <c r="AT102" s="264"/>
      <c r="AU102" s="264"/>
      <c r="AV102" s="264"/>
      <c r="AW102" s="264"/>
      <c r="AX102" s="264"/>
      <c r="AY102" s="264"/>
      <c r="AZ102" s="264"/>
      <c r="BA102" s="264"/>
      <c r="BB102" s="264"/>
      <c r="BC102" s="264"/>
      <c r="BD102" s="264"/>
      <c r="BE102" s="264"/>
      <c r="BF102" s="264"/>
      <c r="BG102" s="264"/>
      <c r="BH102" s="264"/>
      <c r="BI102" s="264"/>
      <c r="BJ102" s="264"/>
      <c r="BK102" s="264"/>
      <c r="BL102" s="264"/>
      <c r="BM102" s="264"/>
      <c r="BN102" s="264"/>
      <c r="BO102" s="264"/>
      <c r="BP102" s="264"/>
      <c r="BQ102" s="264"/>
      <c r="BR102" s="264"/>
      <c r="BS102" s="264"/>
      <c r="BT102" s="264"/>
      <c r="BU102" s="264"/>
      <c r="BV102" s="264"/>
      <c r="BW102" s="264"/>
      <c r="BX102" s="264"/>
      <c r="BY102" s="264"/>
      <c r="BZ102" s="264"/>
      <c r="CA102" s="264"/>
      <c r="CB102" s="264"/>
      <c r="CC102" s="264"/>
      <c r="CD102" s="264"/>
      <c r="CE102" s="264"/>
      <c r="CF102" s="264"/>
      <c r="CG102" s="264"/>
      <c r="CH102" s="264"/>
      <c r="CI102" s="264"/>
    </row>
    <row r="103" spans="1:87" customFormat="1">
      <c r="A103" s="254"/>
      <c r="B103" s="255"/>
      <c r="C103" s="255"/>
      <c r="D103" s="256"/>
      <c r="E103" s="255"/>
      <c r="F103" s="255"/>
      <c r="G103" s="255"/>
      <c r="H103" s="255"/>
      <c r="I103" s="255"/>
      <c r="J103" s="255"/>
      <c r="K103" s="255"/>
      <c r="L103" s="255"/>
      <c r="M103" s="257"/>
      <c r="N103" s="255"/>
      <c r="O103" s="255"/>
      <c r="P103" s="256"/>
      <c r="Q103" s="255"/>
      <c r="R103" s="255"/>
      <c r="S103" s="255"/>
      <c r="T103" s="255"/>
      <c r="U103" s="255"/>
      <c r="V103" s="258"/>
      <c r="W103" s="259"/>
      <c r="X103" s="1039"/>
      <c r="Y103" s="255"/>
      <c r="Z103" s="255"/>
      <c r="AA103" s="255"/>
      <c r="AB103" s="255"/>
      <c r="AC103" s="255"/>
      <c r="AD103" s="255"/>
      <c r="AE103" s="255"/>
      <c r="AF103" s="264"/>
      <c r="AG103" s="264"/>
      <c r="AH103" s="264"/>
      <c r="AI103" s="264"/>
      <c r="AJ103" s="264"/>
      <c r="AK103" s="264"/>
      <c r="AL103" s="264"/>
      <c r="AM103" s="264"/>
      <c r="AN103" s="264"/>
      <c r="AO103" s="264"/>
      <c r="AP103" s="264"/>
      <c r="AQ103" s="264"/>
      <c r="AR103" s="264"/>
      <c r="AS103" s="264"/>
      <c r="AT103" s="264"/>
      <c r="AU103" s="264"/>
      <c r="AV103" s="264"/>
      <c r="AW103" s="264"/>
      <c r="AX103" s="264"/>
      <c r="AY103" s="264"/>
      <c r="AZ103" s="264"/>
      <c r="BA103" s="264"/>
      <c r="BB103" s="264"/>
      <c r="BC103" s="264"/>
      <c r="BD103" s="264"/>
      <c r="BE103" s="264"/>
      <c r="BF103" s="264"/>
      <c r="BG103" s="264"/>
      <c r="BH103" s="264"/>
      <c r="BI103" s="264"/>
      <c r="BJ103" s="264"/>
      <c r="BK103" s="264"/>
      <c r="BL103" s="264"/>
      <c r="BM103" s="264"/>
      <c r="BN103" s="264"/>
      <c r="BO103" s="264"/>
      <c r="BP103" s="264"/>
      <c r="BQ103" s="264"/>
      <c r="BR103" s="264"/>
      <c r="BS103" s="264"/>
      <c r="BT103" s="264"/>
      <c r="BU103" s="264"/>
      <c r="BV103" s="264"/>
      <c r="BW103" s="264"/>
      <c r="BX103" s="264"/>
      <c r="BY103" s="264"/>
      <c r="BZ103" s="264"/>
      <c r="CA103" s="264"/>
      <c r="CB103" s="264"/>
      <c r="CC103" s="264"/>
      <c r="CD103" s="264"/>
      <c r="CE103" s="264"/>
      <c r="CF103" s="264"/>
      <c r="CG103" s="264"/>
      <c r="CH103" s="264"/>
      <c r="CI103" s="264"/>
    </row>
    <row r="104" spans="1:87" customFormat="1">
      <c r="A104" s="254"/>
      <c r="B104" s="256"/>
      <c r="C104" s="255"/>
      <c r="D104" s="255"/>
      <c r="E104" s="255"/>
      <c r="F104" s="255"/>
      <c r="G104" s="255"/>
      <c r="H104" s="255"/>
      <c r="I104" s="255"/>
      <c r="J104" s="255"/>
      <c r="K104" s="255"/>
      <c r="L104" s="262"/>
      <c r="M104" s="255"/>
      <c r="N104" s="255"/>
      <c r="O104" s="255"/>
      <c r="P104" s="255"/>
      <c r="Q104" s="255"/>
      <c r="R104" s="256"/>
      <c r="S104" s="255"/>
      <c r="T104" s="255"/>
      <c r="U104" s="255"/>
      <c r="V104" s="258"/>
      <c r="W104" s="259"/>
      <c r="X104" s="1039"/>
      <c r="Y104" s="255"/>
      <c r="Z104" s="255"/>
      <c r="AA104" s="255"/>
      <c r="AB104" s="255"/>
      <c r="AC104" s="255"/>
      <c r="AD104" s="255"/>
      <c r="AE104" s="260"/>
      <c r="AF104" s="264"/>
      <c r="AG104" s="264"/>
      <c r="AH104" s="264"/>
      <c r="AI104" s="264"/>
      <c r="AJ104" s="264"/>
      <c r="AK104" s="264"/>
      <c r="AL104" s="264"/>
      <c r="AM104" s="264"/>
      <c r="AN104" s="264"/>
      <c r="AO104" s="264"/>
      <c r="AP104" s="264"/>
      <c r="AQ104" s="264"/>
      <c r="AR104" s="264"/>
      <c r="AS104" s="264"/>
      <c r="AT104" s="264"/>
      <c r="AU104" s="264"/>
      <c r="AV104" s="264"/>
      <c r="AW104" s="264"/>
      <c r="AX104" s="264"/>
      <c r="AY104" s="264"/>
      <c r="AZ104" s="264"/>
      <c r="BA104" s="264"/>
      <c r="BB104" s="264"/>
      <c r="BC104" s="264"/>
      <c r="BD104" s="264"/>
      <c r="BE104" s="264"/>
      <c r="BF104" s="264"/>
      <c r="BG104" s="264"/>
      <c r="BH104" s="264"/>
      <c r="BI104" s="264"/>
      <c r="BJ104" s="264"/>
      <c r="BK104" s="264"/>
      <c r="BL104" s="264"/>
      <c r="BM104" s="264"/>
      <c r="BN104" s="264"/>
      <c r="BO104" s="264"/>
      <c r="BP104" s="264"/>
      <c r="BQ104" s="264"/>
      <c r="BR104" s="264"/>
      <c r="BS104" s="264"/>
      <c r="BT104" s="264"/>
      <c r="BU104" s="264"/>
      <c r="BV104" s="264"/>
      <c r="BW104" s="264"/>
      <c r="BX104" s="264"/>
      <c r="BY104" s="264"/>
      <c r="BZ104" s="264"/>
      <c r="CA104" s="264"/>
      <c r="CB104" s="264"/>
      <c r="CC104" s="264"/>
      <c r="CD104" s="264"/>
      <c r="CE104" s="264"/>
      <c r="CF104" s="264"/>
      <c r="CG104" s="264"/>
      <c r="CH104" s="264"/>
      <c r="CI104" s="264"/>
    </row>
    <row r="105" spans="1:87" customFormat="1">
      <c r="A105" s="254"/>
      <c r="B105" s="255"/>
      <c r="C105" s="255"/>
      <c r="D105" s="256"/>
      <c r="E105" s="255"/>
      <c r="F105" s="255"/>
      <c r="G105" s="255"/>
      <c r="H105" s="255"/>
      <c r="I105" s="255"/>
      <c r="J105" s="255"/>
      <c r="K105" s="255"/>
      <c r="L105" s="255"/>
      <c r="M105" s="257"/>
      <c r="N105" s="255"/>
      <c r="O105" s="255"/>
      <c r="P105" s="256"/>
      <c r="Q105" s="255"/>
      <c r="R105" s="255"/>
      <c r="S105" s="255"/>
      <c r="T105" s="255"/>
      <c r="U105" s="255"/>
      <c r="V105" s="258"/>
      <c r="W105" s="259"/>
      <c r="X105" s="1039"/>
      <c r="Y105" s="255"/>
      <c r="Z105" s="255"/>
      <c r="AA105" s="255"/>
      <c r="AB105" s="255"/>
      <c r="AC105" s="255"/>
      <c r="AD105" s="255"/>
      <c r="AE105" s="255"/>
      <c r="AF105" s="264"/>
      <c r="AG105" s="264"/>
      <c r="AH105" s="264"/>
      <c r="AI105" s="264"/>
      <c r="AJ105" s="264"/>
      <c r="AK105" s="264"/>
      <c r="AL105" s="264"/>
      <c r="AM105" s="264"/>
      <c r="AN105" s="264"/>
      <c r="AO105" s="264"/>
      <c r="AP105" s="264"/>
      <c r="AQ105" s="264"/>
      <c r="AR105" s="264"/>
      <c r="AS105" s="264"/>
      <c r="AT105" s="264"/>
      <c r="AU105" s="264"/>
      <c r="AV105" s="264"/>
      <c r="AW105" s="264"/>
      <c r="AX105" s="264"/>
      <c r="AY105" s="264"/>
      <c r="AZ105" s="264"/>
      <c r="BA105" s="264"/>
      <c r="BB105" s="264"/>
      <c r="BC105" s="264"/>
      <c r="BD105" s="264"/>
      <c r="BE105" s="264"/>
      <c r="BF105" s="264"/>
      <c r="BG105" s="264"/>
      <c r="BH105" s="264"/>
      <c r="BI105" s="264"/>
      <c r="BJ105" s="264"/>
      <c r="BK105" s="264"/>
      <c r="BL105" s="264"/>
      <c r="BM105" s="264"/>
      <c r="BN105" s="264"/>
      <c r="BO105" s="264"/>
      <c r="BP105" s="264"/>
      <c r="BQ105" s="264"/>
      <c r="BR105" s="264"/>
      <c r="BS105" s="264"/>
      <c r="BT105" s="264"/>
      <c r="BU105" s="264"/>
      <c r="BV105" s="264"/>
      <c r="BW105" s="264"/>
      <c r="BX105" s="264"/>
      <c r="BY105" s="264"/>
      <c r="BZ105" s="264"/>
      <c r="CA105" s="264"/>
      <c r="CB105" s="264"/>
      <c r="CC105" s="264"/>
      <c r="CD105" s="264"/>
      <c r="CE105" s="264"/>
      <c r="CF105" s="264"/>
      <c r="CG105" s="264"/>
      <c r="CH105" s="264"/>
      <c r="CI105" s="264"/>
    </row>
    <row r="106" spans="1:87" customFormat="1">
      <c r="A106" s="254"/>
      <c r="B106" s="255"/>
      <c r="C106" s="255"/>
      <c r="D106" s="256"/>
      <c r="E106" s="256"/>
      <c r="F106" s="256"/>
      <c r="G106" s="255"/>
      <c r="H106" s="255"/>
      <c r="I106" s="255"/>
      <c r="J106" s="255"/>
      <c r="K106" s="255"/>
      <c r="L106" s="262"/>
      <c r="M106" s="255"/>
      <c r="N106" s="255"/>
      <c r="O106" s="257"/>
      <c r="P106" s="255"/>
      <c r="Q106" s="255"/>
      <c r="R106" s="256"/>
      <c r="S106" s="255"/>
      <c r="T106" s="255"/>
      <c r="U106" s="255"/>
      <c r="V106" s="258"/>
      <c r="W106" s="259"/>
      <c r="X106" s="1039"/>
      <c r="Y106" s="255"/>
      <c r="Z106" s="255"/>
      <c r="AA106" s="255"/>
      <c r="AB106" s="256"/>
      <c r="AC106" s="255"/>
      <c r="AD106" s="255"/>
      <c r="AE106" s="260"/>
      <c r="AF106" s="264"/>
      <c r="AG106" s="264"/>
      <c r="AH106" s="264"/>
      <c r="AI106" s="264"/>
      <c r="AJ106" s="264"/>
      <c r="AK106" s="264"/>
      <c r="AL106" s="264"/>
      <c r="AM106" s="264"/>
      <c r="AN106" s="264"/>
      <c r="AO106" s="264"/>
      <c r="AP106" s="264"/>
      <c r="AQ106" s="264"/>
      <c r="AR106" s="264"/>
      <c r="AS106" s="264"/>
      <c r="AT106" s="264"/>
      <c r="AU106" s="264"/>
      <c r="AV106" s="264"/>
      <c r="AW106" s="264"/>
      <c r="AX106" s="264"/>
      <c r="AY106" s="264"/>
      <c r="AZ106" s="264"/>
      <c r="BA106" s="264"/>
      <c r="BB106" s="264"/>
      <c r="BC106" s="264"/>
      <c r="BD106" s="264"/>
      <c r="BE106" s="264"/>
      <c r="BF106" s="264"/>
      <c r="BG106" s="264"/>
      <c r="BH106" s="264"/>
      <c r="BI106" s="264"/>
      <c r="BJ106" s="264"/>
      <c r="BK106" s="264"/>
      <c r="BL106" s="264"/>
      <c r="BM106" s="264"/>
      <c r="BN106" s="264"/>
      <c r="BO106" s="264"/>
      <c r="BP106" s="264"/>
      <c r="BQ106" s="264"/>
      <c r="BR106" s="264"/>
      <c r="BS106" s="264"/>
      <c r="BT106" s="264"/>
      <c r="BU106" s="264"/>
      <c r="BV106" s="264"/>
      <c r="BW106" s="264"/>
      <c r="BX106" s="264"/>
      <c r="BY106" s="264"/>
      <c r="BZ106" s="264"/>
      <c r="CA106" s="264"/>
      <c r="CB106" s="264"/>
      <c r="CC106" s="264"/>
      <c r="CD106" s="264"/>
      <c r="CE106" s="264"/>
      <c r="CF106" s="264"/>
      <c r="CG106" s="264"/>
      <c r="CH106" s="264"/>
      <c r="CI106" s="264"/>
    </row>
    <row r="107" spans="1:87" customFormat="1">
      <c r="A107" s="254"/>
      <c r="B107" s="255"/>
      <c r="C107" s="255"/>
      <c r="D107" s="256"/>
      <c r="E107" s="255"/>
      <c r="F107" s="255"/>
      <c r="G107" s="255"/>
      <c r="H107" s="255"/>
      <c r="I107" s="255"/>
      <c r="J107" s="255"/>
      <c r="K107" s="255"/>
      <c r="L107" s="255"/>
      <c r="M107" s="257"/>
      <c r="N107" s="255"/>
      <c r="O107" s="255"/>
      <c r="P107" s="256"/>
      <c r="Q107" s="255"/>
      <c r="R107" s="255"/>
      <c r="S107" s="255"/>
      <c r="T107" s="255"/>
      <c r="U107" s="255"/>
      <c r="V107" s="258"/>
      <c r="W107" s="259"/>
      <c r="X107" s="1039"/>
      <c r="Y107" s="255"/>
      <c r="Z107" s="255"/>
      <c r="AA107" s="255"/>
      <c r="AB107" s="255"/>
      <c r="AC107" s="255"/>
      <c r="AD107" s="255"/>
      <c r="AE107" s="255"/>
      <c r="AF107" s="264"/>
      <c r="AG107" s="264"/>
      <c r="AH107" s="264"/>
      <c r="AI107" s="264"/>
      <c r="AJ107" s="264"/>
      <c r="AK107" s="264"/>
      <c r="AL107" s="264"/>
      <c r="AM107" s="264"/>
      <c r="AN107" s="264"/>
      <c r="AO107" s="264"/>
      <c r="AP107" s="264"/>
      <c r="AQ107" s="264"/>
      <c r="AR107" s="264"/>
      <c r="AS107" s="264"/>
      <c r="AT107" s="264"/>
      <c r="AU107" s="264"/>
      <c r="AV107" s="264"/>
      <c r="AW107" s="264"/>
      <c r="AX107" s="264"/>
      <c r="AY107" s="264"/>
      <c r="AZ107" s="264"/>
      <c r="BA107" s="264"/>
      <c r="BB107" s="264"/>
      <c r="BC107" s="264"/>
      <c r="BD107" s="264"/>
      <c r="BE107" s="264"/>
      <c r="BF107" s="264"/>
      <c r="BG107" s="264"/>
      <c r="BH107" s="264"/>
      <c r="BI107" s="264"/>
      <c r="BJ107" s="264"/>
      <c r="BK107" s="264"/>
      <c r="BL107" s="264"/>
      <c r="BM107" s="264"/>
      <c r="BN107" s="264"/>
      <c r="BO107" s="264"/>
      <c r="BP107" s="264"/>
      <c r="BQ107" s="264"/>
      <c r="BR107" s="264"/>
      <c r="BS107" s="264"/>
      <c r="BT107" s="264"/>
      <c r="BU107" s="264"/>
      <c r="BV107" s="264"/>
      <c r="BW107" s="264"/>
      <c r="BX107" s="264"/>
      <c r="BY107" s="264"/>
      <c r="BZ107" s="264"/>
      <c r="CA107" s="264"/>
      <c r="CB107" s="264"/>
      <c r="CC107" s="264"/>
      <c r="CD107" s="264"/>
      <c r="CE107" s="264"/>
      <c r="CF107" s="264"/>
      <c r="CG107" s="264"/>
      <c r="CH107" s="264"/>
      <c r="CI107" s="264"/>
    </row>
    <row r="108" spans="1:87" customFormat="1">
      <c r="A108" s="254"/>
      <c r="B108" s="255"/>
      <c r="C108" s="255"/>
      <c r="D108" s="255"/>
      <c r="E108" s="272"/>
      <c r="F108" s="255"/>
      <c r="G108" s="255"/>
      <c r="H108" s="255"/>
      <c r="I108" s="255"/>
      <c r="J108" s="255"/>
      <c r="K108" s="255"/>
      <c r="L108" s="262"/>
      <c r="M108" s="255"/>
      <c r="N108" s="255"/>
      <c r="O108" s="255"/>
      <c r="P108" s="255"/>
      <c r="Q108" s="255"/>
      <c r="R108" s="256"/>
      <c r="S108" s="255"/>
      <c r="T108" s="255"/>
      <c r="U108" s="257"/>
      <c r="V108" s="255"/>
      <c r="W108" s="259"/>
      <c r="X108" s="1039"/>
      <c r="Y108" s="255"/>
      <c r="Z108" s="255"/>
      <c r="AA108" s="255"/>
      <c r="AB108" s="255"/>
      <c r="AC108" s="255"/>
      <c r="AD108" s="255"/>
      <c r="AE108" s="260"/>
      <c r="AF108" s="264"/>
      <c r="AG108" s="264"/>
      <c r="AH108" s="264"/>
      <c r="AI108" s="264"/>
      <c r="AJ108" s="264"/>
      <c r="AK108" s="264"/>
      <c r="AL108" s="264"/>
      <c r="AM108" s="264"/>
      <c r="AN108" s="264"/>
      <c r="AO108" s="264"/>
      <c r="AP108" s="264"/>
      <c r="AQ108" s="264"/>
      <c r="AR108" s="264"/>
      <c r="AS108" s="264"/>
      <c r="AT108" s="264"/>
      <c r="AU108" s="264"/>
      <c r="AV108" s="264"/>
      <c r="AW108" s="264"/>
      <c r="AX108" s="264"/>
      <c r="AY108" s="264"/>
      <c r="AZ108" s="264"/>
      <c r="BA108" s="264"/>
      <c r="BB108" s="264"/>
      <c r="BC108" s="264"/>
      <c r="BD108" s="264"/>
      <c r="BE108" s="264"/>
      <c r="BF108" s="264"/>
      <c r="BG108" s="264"/>
      <c r="BH108" s="264"/>
      <c r="BI108" s="264"/>
      <c r="BJ108" s="264"/>
      <c r="BK108" s="264"/>
      <c r="BL108" s="264"/>
      <c r="BM108" s="264"/>
      <c r="BN108" s="264"/>
      <c r="BO108" s="264"/>
      <c r="BP108" s="264"/>
      <c r="BQ108" s="264"/>
      <c r="BR108" s="264"/>
      <c r="BS108" s="264"/>
      <c r="BT108" s="264"/>
      <c r="BU108" s="264"/>
      <c r="BV108" s="264"/>
      <c r="BW108" s="264"/>
      <c r="BX108" s="264"/>
      <c r="BY108" s="264"/>
      <c r="BZ108" s="264"/>
      <c r="CA108" s="264"/>
      <c r="CB108" s="264"/>
      <c r="CC108" s="264"/>
      <c r="CD108" s="264"/>
      <c r="CE108" s="264"/>
      <c r="CF108" s="264"/>
      <c r="CG108" s="264"/>
      <c r="CH108" s="264"/>
      <c r="CI108" s="264"/>
    </row>
    <row r="109" spans="1:87" customFormat="1">
      <c r="A109" s="254"/>
      <c r="B109" s="255"/>
      <c r="C109" s="255"/>
      <c r="D109" s="256"/>
      <c r="E109" s="255"/>
      <c r="F109" s="255"/>
      <c r="G109" s="255"/>
      <c r="H109" s="255"/>
      <c r="I109" s="255"/>
      <c r="J109" s="255"/>
      <c r="K109" s="255"/>
      <c r="L109" s="255"/>
      <c r="M109" s="257"/>
      <c r="N109" s="255"/>
      <c r="O109" s="255"/>
      <c r="P109" s="256"/>
      <c r="Q109" s="255"/>
      <c r="R109" s="255"/>
      <c r="S109" s="255"/>
      <c r="T109" s="255"/>
      <c r="U109" s="255"/>
      <c r="V109" s="258"/>
      <c r="W109" s="259"/>
      <c r="X109" s="1039"/>
      <c r="Y109" s="255"/>
      <c r="Z109" s="255"/>
      <c r="AA109" s="255"/>
      <c r="AB109" s="255"/>
      <c r="AC109" s="255"/>
      <c r="AD109" s="255"/>
      <c r="AE109" s="255"/>
      <c r="AF109" s="264"/>
      <c r="AG109" s="264"/>
      <c r="AH109" s="264"/>
      <c r="AI109" s="264"/>
      <c r="AJ109" s="264"/>
      <c r="AK109" s="264"/>
      <c r="AL109" s="264"/>
      <c r="AM109" s="264"/>
      <c r="AN109" s="264"/>
      <c r="AO109" s="264"/>
      <c r="AP109" s="264"/>
      <c r="AQ109" s="264"/>
      <c r="AR109" s="264"/>
      <c r="AS109" s="264"/>
      <c r="AT109" s="264"/>
      <c r="AU109" s="264"/>
      <c r="AV109" s="264"/>
      <c r="AW109" s="264"/>
      <c r="AX109" s="264"/>
      <c r="AY109" s="264"/>
      <c r="AZ109" s="264"/>
      <c r="BA109" s="264"/>
      <c r="BB109" s="264"/>
      <c r="BC109" s="264"/>
      <c r="BD109" s="264"/>
      <c r="BE109" s="264"/>
      <c r="BF109" s="264"/>
      <c r="BG109" s="264"/>
      <c r="BH109" s="264"/>
      <c r="BI109" s="264"/>
      <c r="BJ109" s="264"/>
      <c r="BK109" s="264"/>
      <c r="BL109" s="264"/>
      <c r="BM109" s="264"/>
      <c r="BN109" s="264"/>
      <c r="BO109" s="264"/>
      <c r="BP109" s="264"/>
      <c r="BQ109" s="264"/>
      <c r="BR109" s="264"/>
      <c r="BS109" s="264"/>
      <c r="BT109" s="264"/>
      <c r="BU109" s="264"/>
      <c r="BV109" s="264"/>
      <c r="BW109" s="264"/>
      <c r="BX109" s="264"/>
      <c r="BY109" s="264"/>
      <c r="BZ109" s="264"/>
      <c r="CA109" s="264"/>
      <c r="CB109" s="264"/>
      <c r="CC109" s="264"/>
      <c r="CD109" s="264"/>
      <c r="CE109" s="264"/>
      <c r="CF109" s="264"/>
      <c r="CG109" s="264"/>
      <c r="CH109" s="264"/>
      <c r="CI109" s="264"/>
    </row>
    <row r="110" spans="1:87" customFormat="1">
      <c r="A110" s="254"/>
      <c r="B110" s="255"/>
      <c r="C110" s="255"/>
      <c r="D110" s="255"/>
      <c r="E110" s="255"/>
      <c r="F110" s="255"/>
      <c r="G110" s="255"/>
      <c r="H110" s="255"/>
      <c r="I110" s="255"/>
      <c r="J110" s="255"/>
      <c r="K110" s="255"/>
      <c r="L110" s="262"/>
      <c r="M110" s="255"/>
      <c r="N110" s="255"/>
      <c r="O110" s="255"/>
      <c r="P110" s="255"/>
      <c r="Q110" s="255"/>
      <c r="R110" s="255"/>
      <c r="S110" s="256"/>
      <c r="T110" s="255"/>
      <c r="U110" s="255"/>
      <c r="V110" s="263"/>
      <c r="W110" s="259"/>
      <c r="X110" s="1039"/>
      <c r="Y110" s="255"/>
      <c r="Z110" s="255"/>
      <c r="AA110" s="255"/>
      <c r="AB110" s="255"/>
      <c r="AC110" s="255"/>
      <c r="AD110" s="255"/>
      <c r="AE110" s="260"/>
      <c r="AF110" s="264"/>
      <c r="AG110" s="264"/>
      <c r="AH110" s="264"/>
      <c r="AI110" s="264"/>
      <c r="AJ110" s="264"/>
      <c r="AK110" s="264"/>
      <c r="AL110" s="264"/>
      <c r="AM110" s="264"/>
      <c r="AN110" s="264"/>
      <c r="AO110" s="264"/>
      <c r="AP110" s="264"/>
      <c r="AQ110" s="264"/>
      <c r="AR110" s="264"/>
      <c r="AS110" s="264"/>
      <c r="AT110" s="264"/>
      <c r="AU110" s="264"/>
      <c r="AV110" s="264"/>
      <c r="AW110" s="264"/>
      <c r="AX110" s="264"/>
      <c r="AY110" s="264"/>
      <c r="AZ110" s="264"/>
      <c r="BA110" s="264"/>
      <c r="BB110" s="264"/>
      <c r="BC110" s="264"/>
      <c r="BD110" s="264"/>
      <c r="BE110" s="264"/>
      <c r="BF110" s="264"/>
      <c r="BG110" s="264"/>
      <c r="BH110" s="264"/>
      <c r="BI110" s="264"/>
      <c r="BJ110" s="264"/>
      <c r="BK110" s="264"/>
      <c r="BL110" s="264"/>
      <c r="BM110" s="264"/>
      <c r="BN110" s="264"/>
      <c r="BO110" s="264"/>
      <c r="BP110" s="264"/>
      <c r="BQ110" s="264"/>
      <c r="BR110" s="264"/>
      <c r="BS110" s="264"/>
      <c r="BT110" s="264"/>
      <c r="BU110" s="264"/>
      <c r="BV110" s="264"/>
      <c r="BW110" s="264"/>
      <c r="BX110" s="264"/>
      <c r="BY110" s="264"/>
      <c r="BZ110" s="264"/>
      <c r="CA110" s="264"/>
      <c r="CB110" s="264"/>
      <c r="CC110" s="264"/>
      <c r="CD110" s="264"/>
      <c r="CE110" s="264"/>
      <c r="CF110" s="264"/>
      <c r="CG110" s="264"/>
      <c r="CH110" s="264"/>
      <c r="CI110" s="264"/>
    </row>
    <row r="111" spans="1:87" customFormat="1">
      <c r="A111" s="254"/>
      <c r="B111" s="255"/>
      <c r="C111" s="255"/>
      <c r="D111" s="256"/>
      <c r="E111" s="255"/>
      <c r="F111" s="255"/>
      <c r="G111" s="255"/>
      <c r="H111" s="255"/>
      <c r="I111" s="255"/>
      <c r="J111" s="255"/>
      <c r="K111" s="255"/>
      <c r="L111" s="255"/>
      <c r="M111" s="257"/>
      <c r="N111" s="255"/>
      <c r="O111" s="255"/>
      <c r="P111" s="256"/>
      <c r="Q111" s="255"/>
      <c r="R111" s="255"/>
      <c r="S111" s="255"/>
      <c r="T111" s="255"/>
      <c r="U111" s="255"/>
      <c r="V111" s="258"/>
      <c r="W111" s="259"/>
      <c r="X111" s="1039"/>
      <c r="Y111" s="255"/>
      <c r="Z111" s="255"/>
      <c r="AA111" s="255"/>
      <c r="AB111" s="255"/>
      <c r="AC111" s="255"/>
      <c r="AD111" s="255"/>
      <c r="AE111" s="255"/>
      <c r="AF111" s="264"/>
      <c r="AG111" s="264"/>
      <c r="AH111" s="264"/>
      <c r="AI111" s="264"/>
      <c r="AJ111" s="264"/>
      <c r="AK111" s="264"/>
      <c r="AL111" s="264"/>
      <c r="AM111" s="264"/>
      <c r="AN111" s="264"/>
      <c r="AO111" s="264"/>
      <c r="AP111" s="264"/>
      <c r="AQ111" s="264"/>
      <c r="AR111" s="264"/>
      <c r="AS111" s="264"/>
      <c r="AT111" s="264"/>
      <c r="AU111" s="264"/>
      <c r="AV111" s="264"/>
      <c r="AW111" s="264"/>
      <c r="AX111" s="264"/>
      <c r="AY111" s="264"/>
      <c r="AZ111" s="264"/>
      <c r="BA111" s="264"/>
      <c r="BB111" s="264"/>
      <c r="BC111" s="264"/>
      <c r="BD111" s="264"/>
      <c r="BE111" s="264"/>
      <c r="BF111" s="264"/>
      <c r="BG111" s="264"/>
      <c r="BH111" s="264"/>
      <c r="BI111" s="264"/>
      <c r="BJ111" s="264"/>
      <c r="BK111" s="264"/>
      <c r="BL111" s="264"/>
      <c r="BM111" s="264"/>
      <c r="BN111" s="264"/>
      <c r="BO111" s="264"/>
      <c r="BP111" s="264"/>
      <c r="BQ111" s="264"/>
      <c r="BR111" s="264"/>
      <c r="BS111" s="264"/>
      <c r="BT111" s="264"/>
      <c r="BU111" s="264"/>
      <c r="BV111" s="264"/>
      <c r="BW111" s="264"/>
      <c r="BX111" s="264"/>
      <c r="BY111" s="264"/>
      <c r="BZ111" s="264"/>
      <c r="CA111" s="264"/>
      <c r="CB111" s="264"/>
      <c r="CC111" s="264"/>
      <c r="CD111" s="264"/>
      <c r="CE111" s="264"/>
      <c r="CF111" s="264"/>
      <c r="CG111" s="264"/>
      <c r="CH111" s="264"/>
      <c r="CI111" s="264"/>
    </row>
    <row r="112" spans="1:87" customFormat="1">
      <c r="A112" s="263"/>
      <c r="B112" s="255"/>
      <c r="C112" s="255"/>
      <c r="D112" s="255"/>
      <c r="E112" s="255"/>
      <c r="F112" s="256"/>
      <c r="G112" s="255"/>
      <c r="H112" s="256"/>
      <c r="I112" s="255"/>
      <c r="J112" s="255"/>
      <c r="K112" s="255"/>
      <c r="L112" s="262"/>
      <c r="M112" s="255"/>
      <c r="N112" s="255"/>
      <c r="O112" s="255"/>
      <c r="P112" s="255"/>
      <c r="Q112" s="255"/>
      <c r="R112" s="255"/>
      <c r="S112" s="256"/>
      <c r="T112" s="255"/>
      <c r="U112" s="255"/>
      <c r="V112" s="258"/>
      <c r="W112" s="259"/>
      <c r="X112" s="1039"/>
      <c r="Y112" s="255"/>
      <c r="Z112" s="255"/>
      <c r="AA112" s="255"/>
      <c r="AB112" s="255"/>
      <c r="AC112" s="255"/>
      <c r="AD112" s="255"/>
      <c r="AE112" s="260"/>
      <c r="AF112" s="264"/>
      <c r="AG112" s="264"/>
      <c r="AH112" s="264"/>
      <c r="AI112" s="264"/>
      <c r="AJ112" s="264"/>
      <c r="AK112" s="264"/>
      <c r="AL112" s="264"/>
      <c r="AM112" s="264"/>
      <c r="AN112" s="264"/>
      <c r="AO112" s="264"/>
      <c r="AP112" s="264"/>
      <c r="AQ112" s="264"/>
      <c r="AR112" s="264"/>
      <c r="AS112" s="264"/>
      <c r="AT112" s="264"/>
      <c r="AU112" s="264"/>
      <c r="AV112" s="264"/>
      <c r="AW112" s="264"/>
      <c r="AX112" s="264"/>
      <c r="AY112" s="264"/>
      <c r="AZ112" s="264"/>
      <c r="BA112" s="264"/>
      <c r="BB112" s="264"/>
      <c r="BC112" s="264"/>
      <c r="BD112" s="264"/>
      <c r="BE112" s="264"/>
      <c r="BF112" s="264"/>
      <c r="BG112" s="264"/>
      <c r="BH112" s="264"/>
      <c r="BI112" s="264"/>
      <c r="BJ112" s="264"/>
      <c r="BK112" s="264"/>
      <c r="BL112" s="264"/>
      <c r="BM112" s="264"/>
      <c r="BN112" s="264"/>
      <c r="BO112" s="264"/>
      <c r="BP112" s="264"/>
      <c r="BQ112" s="264"/>
      <c r="BR112" s="264"/>
      <c r="BS112" s="264"/>
      <c r="BT112" s="264"/>
      <c r="BU112" s="264"/>
      <c r="BV112" s="264"/>
      <c r="BW112" s="264"/>
      <c r="BX112" s="264"/>
      <c r="BY112" s="264"/>
      <c r="BZ112" s="264"/>
      <c r="CA112" s="264"/>
      <c r="CB112" s="264"/>
      <c r="CC112" s="264"/>
      <c r="CD112" s="264"/>
      <c r="CE112" s="264"/>
      <c r="CF112" s="264"/>
      <c r="CG112" s="264"/>
      <c r="CH112" s="264"/>
      <c r="CI112" s="264"/>
    </row>
    <row r="113" spans="1:87" customFormat="1">
      <c r="A113" s="254"/>
      <c r="B113" s="255"/>
      <c r="C113" s="255"/>
      <c r="D113" s="256"/>
      <c r="E113" s="255"/>
      <c r="F113" s="255"/>
      <c r="G113" s="255"/>
      <c r="H113" s="255"/>
      <c r="I113" s="255"/>
      <c r="J113" s="255"/>
      <c r="K113" s="255"/>
      <c r="L113" s="255"/>
      <c r="M113" s="257"/>
      <c r="N113" s="255"/>
      <c r="O113" s="255"/>
      <c r="P113" s="256"/>
      <c r="Q113" s="255"/>
      <c r="R113" s="255"/>
      <c r="S113" s="255"/>
      <c r="T113" s="255"/>
      <c r="U113" s="255"/>
      <c r="V113" s="258"/>
      <c r="W113" s="259"/>
      <c r="X113" s="1039"/>
      <c r="Y113" s="255"/>
      <c r="Z113" s="255"/>
      <c r="AA113" s="255"/>
      <c r="AB113" s="255"/>
      <c r="AC113" s="255"/>
      <c r="AD113" s="255"/>
      <c r="AE113" s="255"/>
      <c r="AF113" s="264"/>
      <c r="AG113" s="264"/>
      <c r="AH113" s="264"/>
      <c r="AI113" s="264"/>
      <c r="AJ113" s="264"/>
      <c r="AK113" s="264"/>
      <c r="AL113" s="264"/>
      <c r="AM113" s="264"/>
      <c r="AN113" s="264"/>
      <c r="AO113" s="264"/>
      <c r="AP113" s="264"/>
      <c r="AQ113" s="264"/>
      <c r="AR113" s="264"/>
      <c r="AS113" s="264"/>
      <c r="AT113" s="264"/>
      <c r="AU113" s="264"/>
      <c r="AV113" s="264"/>
      <c r="AW113" s="264"/>
      <c r="AX113" s="264"/>
      <c r="AY113" s="264"/>
      <c r="AZ113" s="264"/>
      <c r="BA113" s="264"/>
      <c r="BB113" s="264"/>
      <c r="BC113" s="264"/>
      <c r="BD113" s="264"/>
      <c r="BE113" s="264"/>
      <c r="BF113" s="264"/>
      <c r="BG113" s="264"/>
      <c r="BH113" s="264"/>
      <c r="BI113" s="264"/>
      <c r="BJ113" s="264"/>
      <c r="BK113" s="264"/>
      <c r="BL113" s="264"/>
      <c r="BM113" s="264"/>
      <c r="BN113" s="264"/>
      <c r="BO113" s="264"/>
      <c r="BP113" s="264"/>
      <c r="BQ113" s="264"/>
      <c r="BR113" s="264"/>
      <c r="BS113" s="264"/>
      <c r="BT113" s="264"/>
      <c r="BU113" s="264"/>
      <c r="BV113" s="264"/>
      <c r="BW113" s="264"/>
      <c r="BX113" s="264"/>
      <c r="BY113" s="264"/>
      <c r="BZ113" s="264"/>
      <c r="CA113" s="264"/>
      <c r="CB113" s="264"/>
      <c r="CC113" s="264"/>
      <c r="CD113" s="264"/>
      <c r="CE113" s="264"/>
      <c r="CF113" s="264"/>
      <c r="CG113" s="264"/>
      <c r="CH113" s="264"/>
      <c r="CI113" s="264"/>
    </row>
    <row r="114" spans="1:87" customFormat="1">
      <c r="A114" s="254"/>
      <c r="B114" s="255"/>
      <c r="C114" s="255"/>
      <c r="D114" s="256"/>
      <c r="E114" s="256"/>
      <c r="F114" s="256"/>
      <c r="G114" s="255"/>
      <c r="H114" s="256"/>
      <c r="I114" s="255"/>
      <c r="J114" s="255"/>
      <c r="K114" s="255"/>
      <c r="L114" s="262"/>
      <c r="M114" s="255"/>
      <c r="N114" s="255"/>
      <c r="O114" s="255"/>
      <c r="P114" s="255"/>
      <c r="Q114" s="255"/>
      <c r="R114" s="256"/>
      <c r="S114" s="255"/>
      <c r="T114" s="255"/>
      <c r="U114" s="255"/>
      <c r="V114" s="258"/>
      <c r="W114" s="259"/>
      <c r="X114" s="1039"/>
      <c r="Y114" s="255"/>
      <c r="Z114" s="255"/>
      <c r="AA114" s="255"/>
      <c r="AB114" s="255"/>
      <c r="AC114" s="255"/>
      <c r="AD114" s="255"/>
      <c r="AE114" s="260"/>
      <c r="AF114" s="264"/>
      <c r="AG114" s="264"/>
      <c r="AH114" s="264"/>
      <c r="AI114" s="264"/>
      <c r="AJ114" s="264"/>
      <c r="AK114" s="264"/>
      <c r="AL114" s="264"/>
      <c r="AM114" s="264"/>
      <c r="AN114" s="264"/>
      <c r="AO114" s="264"/>
      <c r="AP114" s="264"/>
      <c r="AQ114" s="264"/>
      <c r="AR114" s="264"/>
      <c r="AS114" s="264"/>
      <c r="AT114" s="264"/>
      <c r="AU114" s="264"/>
      <c r="AV114" s="264"/>
      <c r="AW114" s="264"/>
      <c r="AX114" s="264"/>
      <c r="AY114" s="264"/>
      <c r="AZ114" s="264"/>
      <c r="BA114" s="264"/>
      <c r="BB114" s="264"/>
      <c r="BC114" s="264"/>
      <c r="BD114" s="264"/>
      <c r="BE114" s="264"/>
      <c r="BF114" s="264"/>
      <c r="BG114" s="264"/>
      <c r="BH114" s="264"/>
      <c r="BI114" s="264"/>
      <c r="BJ114" s="264"/>
      <c r="BK114" s="264"/>
      <c r="BL114" s="264"/>
      <c r="BM114" s="264"/>
      <c r="BN114" s="264"/>
      <c r="BO114" s="264"/>
      <c r="BP114" s="264"/>
      <c r="BQ114" s="264"/>
      <c r="BR114" s="264"/>
      <c r="BS114" s="264"/>
      <c r="BT114" s="264"/>
      <c r="BU114" s="264"/>
      <c r="BV114" s="264"/>
      <c r="BW114" s="264"/>
      <c r="BX114" s="264"/>
      <c r="BY114" s="264"/>
      <c r="BZ114" s="264"/>
      <c r="CA114" s="264"/>
      <c r="CB114" s="264"/>
      <c r="CC114" s="264"/>
      <c r="CD114" s="264"/>
      <c r="CE114" s="264"/>
      <c r="CF114" s="264"/>
      <c r="CG114" s="264"/>
      <c r="CH114" s="264"/>
      <c r="CI114" s="264"/>
    </row>
    <row r="115" spans="1:87" customFormat="1">
      <c r="A115" s="254"/>
      <c r="B115" s="255"/>
      <c r="C115" s="255"/>
      <c r="D115" s="256"/>
      <c r="E115" s="255"/>
      <c r="F115" s="255"/>
      <c r="G115" s="255"/>
      <c r="H115" s="255"/>
      <c r="I115" s="255"/>
      <c r="J115" s="255"/>
      <c r="K115" s="255"/>
      <c r="L115" s="255"/>
      <c r="M115" s="257"/>
      <c r="N115" s="255"/>
      <c r="O115" s="255"/>
      <c r="P115" s="256"/>
      <c r="Q115" s="255"/>
      <c r="R115" s="255"/>
      <c r="S115" s="255"/>
      <c r="T115" s="255"/>
      <c r="U115" s="255"/>
      <c r="V115" s="258"/>
      <c r="W115" s="259"/>
      <c r="X115" s="1039"/>
      <c r="Y115" s="255"/>
      <c r="Z115" s="255"/>
      <c r="AA115" s="255"/>
      <c r="AB115" s="255"/>
      <c r="AC115" s="255"/>
      <c r="AD115" s="255"/>
      <c r="AE115" s="255"/>
      <c r="AF115" s="264"/>
      <c r="AG115" s="264"/>
      <c r="AH115" s="264"/>
      <c r="AI115" s="264"/>
      <c r="AJ115" s="264"/>
      <c r="AK115" s="264"/>
      <c r="AL115" s="264"/>
      <c r="AM115" s="264"/>
      <c r="AN115" s="264"/>
      <c r="AO115" s="264"/>
      <c r="AP115" s="264"/>
      <c r="AQ115" s="264"/>
      <c r="AR115" s="264"/>
      <c r="AS115" s="264"/>
      <c r="AT115" s="264"/>
      <c r="AU115" s="264"/>
      <c r="AV115" s="264"/>
      <c r="AW115" s="264"/>
      <c r="AX115" s="264"/>
      <c r="AY115" s="264"/>
      <c r="AZ115" s="264"/>
      <c r="BA115" s="264"/>
      <c r="BB115" s="264"/>
      <c r="BC115" s="264"/>
      <c r="BD115" s="264"/>
      <c r="BE115" s="264"/>
      <c r="BF115" s="264"/>
      <c r="BG115" s="264"/>
      <c r="BH115" s="264"/>
      <c r="BI115" s="264"/>
      <c r="BJ115" s="264"/>
      <c r="BK115" s="264"/>
      <c r="BL115" s="264"/>
      <c r="BM115" s="264"/>
      <c r="BN115" s="264"/>
      <c r="BO115" s="264"/>
      <c r="BP115" s="264"/>
      <c r="BQ115" s="264"/>
      <c r="BR115" s="264"/>
      <c r="BS115" s="264"/>
      <c r="BT115" s="264"/>
      <c r="BU115" s="264"/>
      <c r="BV115" s="264"/>
      <c r="BW115" s="264"/>
      <c r="BX115" s="264"/>
      <c r="BY115" s="264"/>
      <c r="BZ115" s="264"/>
      <c r="CA115" s="264"/>
      <c r="CB115" s="264"/>
      <c r="CC115" s="264"/>
      <c r="CD115" s="264"/>
      <c r="CE115" s="264"/>
      <c r="CF115" s="264"/>
      <c r="CG115" s="264"/>
      <c r="CH115" s="264"/>
      <c r="CI115" s="264"/>
    </row>
    <row r="116" spans="1:87" customFormat="1">
      <c r="A116" s="254"/>
      <c r="B116" s="255"/>
      <c r="C116" s="255"/>
      <c r="D116" s="256"/>
      <c r="E116" s="277"/>
      <c r="F116" s="256"/>
      <c r="G116" s="255"/>
      <c r="H116" s="262"/>
      <c r="I116" s="255"/>
      <c r="J116" s="255"/>
      <c r="K116" s="255"/>
      <c r="L116" s="262"/>
      <c r="M116" s="255"/>
      <c r="N116" s="255"/>
      <c r="O116" s="255"/>
      <c r="P116" s="256"/>
      <c r="Q116" s="255"/>
      <c r="R116" s="256"/>
      <c r="S116" s="255"/>
      <c r="T116" s="255"/>
      <c r="U116" s="255"/>
      <c r="V116" s="258"/>
      <c r="W116" s="259"/>
      <c r="X116" s="1039"/>
      <c r="Y116" s="255"/>
      <c r="Z116" s="255"/>
      <c r="AA116" s="255"/>
      <c r="AB116" s="255"/>
      <c r="AC116" s="255"/>
      <c r="AD116" s="255"/>
      <c r="AE116" s="260"/>
      <c r="AF116" s="264"/>
      <c r="AG116" s="264"/>
      <c r="AH116" s="264"/>
      <c r="AI116" s="264"/>
      <c r="AJ116" s="264"/>
      <c r="AK116" s="264"/>
      <c r="AL116" s="264"/>
      <c r="AM116" s="264"/>
      <c r="AN116" s="264"/>
      <c r="AO116" s="264"/>
      <c r="AP116" s="264"/>
      <c r="AQ116" s="264"/>
      <c r="AR116" s="264"/>
      <c r="AS116" s="264"/>
      <c r="AT116" s="264"/>
      <c r="AU116" s="264"/>
      <c r="AV116" s="264"/>
      <c r="AW116" s="264"/>
      <c r="AX116" s="264"/>
      <c r="AY116" s="264"/>
      <c r="AZ116" s="264"/>
      <c r="BA116" s="264"/>
      <c r="BB116" s="264"/>
      <c r="BC116" s="264"/>
      <c r="BD116" s="264"/>
      <c r="BE116" s="264"/>
      <c r="BF116" s="264"/>
      <c r="BG116" s="264"/>
      <c r="BH116" s="264"/>
      <c r="BI116" s="264"/>
      <c r="BJ116" s="264"/>
      <c r="BK116" s="264"/>
      <c r="BL116" s="264"/>
      <c r="BM116" s="264"/>
      <c r="BN116" s="264"/>
      <c r="BO116" s="264"/>
      <c r="BP116" s="264"/>
      <c r="BQ116" s="264"/>
      <c r="BR116" s="264"/>
      <c r="BS116" s="264"/>
      <c r="BT116" s="264"/>
      <c r="BU116" s="264"/>
      <c r="BV116" s="264"/>
      <c r="BW116" s="264"/>
      <c r="BX116" s="264"/>
      <c r="BY116" s="264"/>
      <c r="BZ116" s="264"/>
      <c r="CA116" s="264"/>
      <c r="CB116" s="264"/>
      <c r="CC116" s="264"/>
      <c r="CD116" s="264"/>
      <c r="CE116" s="264"/>
      <c r="CF116" s="264"/>
      <c r="CG116" s="264"/>
      <c r="CH116" s="264"/>
      <c r="CI116" s="264"/>
    </row>
    <row r="117" spans="1:87" customFormat="1">
      <c r="A117" s="254"/>
      <c r="B117" s="255"/>
      <c r="C117" s="255"/>
      <c r="D117" s="256"/>
      <c r="E117" s="255"/>
      <c r="F117" s="255"/>
      <c r="G117" s="255"/>
      <c r="H117" s="255"/>
      <c r="I117" s="255"/>
      <c r="J117" s="255"/>
      <c r="K117" s="255"/>
      <c r="L117" s="255"/>
      <c r="M117" s="257"/>
      <c r="N117" s="255"/>
      <c r="O117" s="255"/>
      <c r="P117" s="256"/>
      <c r="Q117" s="255"/>
      <c r="R117" s="255"/>
      <c r="S117" s="255"/>
      <c r="T117" s="255"/>
      <c r="U117" s="255"/>
      <c r="V117" s="258"/>
      <c r="W117" s="259"/>
      <c r="X117" s="1039"/>
      <c r="Y117" s="255"/>
      <c r="Z117" s="255"/>
      <c r="AA117" s="255"/>
      <c r="AB117" s="255"/>
      <c r="AC117" s="255"/>
      <c r="AD117" s="255"/>
      <c r="AE117" s="255"/>
      <c r="AF117" s="264"/>
      <c r="AG117" s="264"/>
      <c r="AH117" s="264"/>
      <c r="AI117" s="264"/>
      <c r="AJ117" s="264"/>
      <c r="AK117" s="264"/>
      <c r="AL117" s="264"/>
      <c r="AM117" s="264"/>
      <c r="AN117" s="264"/>
      <c r="AO117" s="264"/>
      <c r="AP117" s="264"/>
      <c r="AQ117" s="264"/>
      <c r="AR117" s="264"/>
      <c r="AS117" s="264"/>
      <c r="AT117" s="264"/>
      <c r="AU117" s="264"/>
      <c r="AV117" s="264"/>
      <c r="AW117" s="264"/>
      <c r="AX117" s="264"/>
      <c r="AY117" s="264"/>
      <c r="AZ117" s="264"/>
      <c r="BA117" s="264"/>
      <c r="BB117" s="264"/>
      <c r="BC117" s="264"/>
      <c r="BD117" s="264"/>
      <c r="BE117" s="264"/>
      <c r="BF117" s="264"/>
      <c r="BG117" s="264"/>
      <c r="BH117" s="264"/>
      <c r="BI117" s="264"/>
      <c r="BJ117" s="264"/>
      <c r="BK117" s="264"/>
      <c r="BL117" s="264"/>
      <c r="BM117" s="264"/>
      <c r="BN117" s="264"/>
      <c r="BO117" s="264"/>
      <c r="BP117" s="264"/>
      <c r="BQ117" s="264"/>
      <c r="BR117" s="264"/>
      <c r="BS117" s="264"/>
      <c r="BT117" s="264"/>
      <c r="BU117" s="264"/>
      <c r="BV117" s="264"/>
      <c r="BW117" s="264"/>
      <c r="BX117" s="264"/>
      <c r="BY117" s="264"/>
      <c r="BZ117" s="264"/>
      <c r="CA117" s="264"/>
      <c r="CB117" s="264"/>
      <c r="CC117" s="264"/>
      <c r="CD117" s="264"/>
      <c r="CE117" s="264"/>
      <c r="CF117" s="264"/>
      <c r="CG117" s="264"/>
      <c r="CH117" s="264"/>
      <c r="CI117" s="264"/>
    </row>
    <row r="118" spans="1:87" customFormat="1">
      <c r="A118" s="278"/>
      <c r="B118" s="257"/>
      <c r="C118" s="255"/>
      <c r="D118" s="266"/>
      <c r="E118" s="274"/>
      <c r="F118" s="266"/>
      <c r="G118" s="255"/>
      <c r="H118" s="266"/>
      <c r="I118" s="257"/>
      <c r="J118" s="257"/>
      <c r="K118" s="257"/>
      <c r="L118" s="262"/>
      <c r="M118" s="257"/>
      <c r="N118" s="255"/>
      <c r="O118" s="257"/>
      <c r="P118" s="266"/>
      <c r="Q118" s="266"/>
      <c r="R118" s="266"/>
      <c r="S118" s="255"/>
      <c r="T118" s="255"/>
      <c r="U118" s="257"/>
      <c r="V118" s="258"/>
      <c r="W118" s="259"/>
      <c r="X118" s="1039"/>
      <c r="Y118" s="255"/>
      <c r="Z118" s="255"/>
      <c r="AA118" s="255"/>
      <c r="AB118" s="255"/>
      <c r="AC118" s="255"/>
      <c r="AD118" s="255"/>
      <c r="AE118" s="260"/>
      <c r="AF118" s="264"/>
      <c r="AG118" s="264"/>
      <c r="AH118" s="264"/>
      <c r="AI118" s="264"/>
      <c r="AJ118" s="264"/>
      <c r="AK118" s="264"/>
      <c r="AL118" s="264"/>
      <c r="AM118" s="264"/>
      <c r="AN118" s="264"/>
      <c r="AO118" s="264"/>
      <c r="AP118" s="264"/>
      <c r="AQ118" s="264"/>
      <c r="AR118" s="264"/>
      <c r="AS118" s="264"/>
      <c r="AT118" s="264"/>
      <c r="AU118" s="264"/>
      <c r="AV118" s="264"/>
      <c r="AW118" s="264"/>
      <c r="AX118" s="264"/>
      <c r="AY118" s="264"/>
      <c r="AZ118" s="264"/>
      <c r="BA118" s="264"/>
      <c r="BB118" s="264"/>
      <c r="BC118" s="264"/>
      <c r="BD118" s="264"/>
      <c r="BE118" s="264"/>
      <c r="BF118" s="264"/>
      <c r="BG118" s="264"/>
      <c r="BH118" s="264"/>
      <c r="BI118" s="264"/>
      <c r="BJ118" s="264"/>
      <c r="BK118" s="264"/>
      <c r="BL118" s="264"/>
      <c r="BM118" s="264"/>
      <c r="BN118" s="264"/>
      <c r="BO118" s="264"/>
      <c r="BP118" s="264"/>
      <c r="BQ118" s="264"/>
      <c r="BR118" s="264"/>
      <c r="BS118" s="264"/>
      <c r="BT118" s="264"/>
      <c r="BU118" s="264"/>
      <c r="BV118" s="264"/>
      <c r="BW118" s="264"/>
      <c r="BX118" s="264"/>
      <c r="BY118" s="264"/>
      <c r="BZ118" s="264"/>
      <c r="CA118" s="264"/>
      <c r="CB118" s="264"/>
      <c r="CC118" s="264"/>
      <c r="CD118" s="264"/>
      <c r="CE118" s="264"/>
      <c r="CF118" s="264"/>
      <c r="CG118" s="264"/>
      <c r="CH118" s="264"/>
      <c r="CI118" s="264"/>
    </row>
    <row r="119" spans="1:87" customFormat="1">
      <c r="A119" s="254"/>
      <c r="B119" s="255"/>
      <c r="C119" s="255"/>
      <c r="D119" s="256"/>
      <c r="E119" s="255"/>
      <c r="F119" s="255"/>
      <c r="G119" s="255"/>
      <c r="H119" s="255"/>
      <c r="I119" s="255"/>
      <c r="J119" s="255"/>
      <c r="K119" s="255"/>
      <c r="L119" s="255"/>
      <c r="M119" s="257"/>
      <c r="N119" s="255"/>
      <c r="O119" s="255"/>
      <c r="P119" s="256"/>
      <c r="Q119" s="255"/>
      <c r="R119" s="255"/>
      <c r="S119" s="255"/>
      <c r="T119" s="255"/>
      <c r="U119" s="255"/>
      <c r="V119" s="258"/>
      <c r="W119" s="259"/>
      <c r="X119" s="1039"/>
      <c r="Y119" s="255"/>
      <c r="Z119" s="255"/>
      <c r="AA119" s="255"/>
      <c r="AB119" s="255"/>
      <c r="AC119" s="255"/>
      <c r="AD119" s="255"/>
      <c r="AE119" s="255"/>
      <c r="AF119" s="264"/>
      <c r="AG119" s="264"/>
      <c r="AH119" s="264"/>
      <c r="AI119" s="264"/>
      <c r="AJ119" s="264"/>
      <c r="AK119" s="264"/>
      <c r="AL119" s="264"/>
      <c r="AM119" s="264"/>
      <c r="AN119" s="264"/>
      <c r="AO119" s="264"/>
      <c r="AP119" s="264"/>
      <c r="AQ119" s="264"/>
      <c r="AR119" s="264"/>
      <c r="AS119" s="264"/>
      <c r="AT119" s="264"/>
      <c r="AU119" s="264"/>
      <c r="AV119" s="264"/>
      <c r="AW119" s="264"/>
      <c r="AX119" s="264"/>
      <c r="AY119" s="264"/>
      <c r="AZ119" s="264"/>
      <c r="BA119" s="264"/>
      <c r="BB119" s="264"/>
      <c r="BC119" s="264"/>
      <c r="BD119" s="264"/>
      <c r="BE119" s="264"/>
      <c r="BF119" s="264"/>
      <c r="BG119" s="264"/>
      <c r="BH119" s="264"/>
      <c r="BI119" s="264"/>
      <c r="BJ119" s="264"/>
      <c r="BK119" s="264"/>
      <c r="BL119" s="264"/>
      <c r="BM119" s="264"/>
      <c r="BN119" s="264"/>
      <c r="BO119" s="264"/>
      <c r="BP119" s="264"/>
      <c r="BQ119" s="264"/>
      <c r="BR119" s="264"/>
      <c r="BS119" s="264"/>
      <c r="BT119" s="264"/>
      <c r="BU119" s="264"/>
      <c r="BV119" s="264"/>
      <c r="BW119" s="264"/>
      <c r="BX119" s="264"/>
      <c r="BY119" s="264"/>
      <c r="BZ119" s="264"/>
      <c r="CA119" s="264"/>
      <c r="CB119" s="264"/>
      <c r="CC119" s="264"/>
      <c r="CD119" s="264"/>
      <c r="CE119" s="264"/>
      <c r="CF119" s="264"/>
      <c r="CG119" s="264"/>
      <c r="CH119" s="264"/>
      <c r="CI119" s="264"/>
    </row>
    <row r="120" spans="1:87" customFormat="1">
      <c r="A120" s="278"/>
      <c r="B120" s="257"/>
      <c r="C120" s="255"/>
      <c r="D120" s="266"/>
      <c r="E120" s="274"/>
      <c r="F120" s="266"/>
      <c r="G120" s="255"/>
      <c r="H120" s="266"/>
      <c r="I120" s="257"/>
      <c r="J120" s="257"/>
      <c r="K120" s="257"/>
      <c r="L120" s="262"/>
      <c r="M120" s="257"/>
      <c r="N120" s="255"/>
      <c r="O120" s="257"/>
      <c r="P120" s="266"/>
      <c r="Q120" s="257"/>
      <c r="R120" s="257"/>
      <c r="S120" s="255"/>
      <c r="T120" s="255"/>
      <c r="U120" s="257"/>
      <c r="V120" s="258"/>
      <c r="W120" s="259"/>
      <c r="X120" s="1039"/>
      <c r="Y120" s="255"/>
      <c r="Z120" s="255"/>
      <c r="AA120" s="255"/>
      <c r="AB120" s="255"/>
      <c r="AC120" s="255"/>
      <c r="AD120" s="255"/>
      <c r="AE120" s="260"/>
      <c r="AF120" s="264"/>
      <c r="AG120" s="264"/>
      <c r="AH120" s="264"/>
      <c r="AI120" s="264"/>
      <c r="AJ120" s="264"/>
      <c r="AK120" s="264"/>
      <c r="AL120" s="264"/>
      <c r="AM120" s="264"/>
      <c r="AN120" s="264"/>
      <c r="AO120" s="264"/>
      <c r="AP120" s="264"/>
      <c r="AQ120" s="264"/>
      <c r="AR120" s="264"/>
      <c r="AS120" s="264"/>
      <c r="AT120" s="264"/>
      <c r="AU120" s="264"/>
      <c r="AV120" s="264"/>
      <c r="AW120" s="264"/>
      <c r="AX120" s="264"/>
      <c r="AY120" s="264"/>
      <c r="AZ120" s="264"/>
      <c r="BA120" s="264"/>
      <c r="BB120" s="264"/>
      <c r="BC120" s="264"/>
      <c r="BD120" s="264"/>
      <c r="BE120" s="264"/>
      <c r="BF120" s="264"/>
      <c r="BG120" s="264"/>
      <c r="BH120" s="264"/>
      <c r="BI120" s="264"/>
      <c r="BJ120" s="264"/>
      <c r="BK120" s="264"/>
      <c r="BL120" s="264"/>
      <c r="BM120" s="264"/>
      <c r="BN120" s="264"/>
      <c r="BO120" s="264"/>
      <c r="BP120" s="264"/>
      <c r="BQ120" s="264"/>
      <c r="BR120" s="264"/>
      <c r="BS120" s="264"/>
      <c r="BT120" s="264"/>
      <c r="BU120" s="264"/>
      <c r="BV120" s="264"/>
      <c r="BW120" s="264"/>
      <c r="BX120" s="264"/>
      <c r="BY120" s="264"/>
      <c r="BZ120" s="264"/>
      <c r="CA120" s="264"/>
      <c r="CB120" s="264"/>
      <c r="CC120" s="264"/>
      <c r="CD120" s="264"/>
      <c r="CE120" s="264"/>
      <c r="CF120" s="264"/>
      <c r="CG120" s="264"/>
      <c r="CH120" s="264"/>
      <c r="CI120" s="264"/>
    </row>
    <row r="121" spans="1:87" customFormat="1">
      <c r="A121" s="254"/>
      <c r="B121" s="255"/>
      <c r="C121" s="255"/>
      <c r="D121" s="256"/>
      <c r="E121" s="255"/>
      <c r="F121" s="255"/>
      <c r="G121" s="255"/>
      <c r="H121" s="255"/>
      <c r="I121" s="255"/>
      <c r="J121" s="255"/>
      <c r="K121" s="255"/>
      <c r="L121" s="255"/>
      <c r="M121" s="257"/>
      <c r="N121" s="255"/>
      <c r="O121" s="255"/>
      <c r="P121" s="256"/>
      <c r="Q121" s="255"/>
      <c r="R121" s="255"/>
      <c r="S121" s="255"/>
      <c r="T121" s="255"/>
      <c r="U121" s="255"/>
      <c r="V121" s="258"/>
      <c r="W121" s="259"/>
      <c r="X121" s="1039"/>
      <c r="Y121" s="255"/>
      <c r="Z121" s="255"/>
      <c r="AA121" s="255"/>
      <c r="AB121" s="255"/>
      <c r="AC121" s="255"/>
      <c r="AD121" s="255"/>
      <c r="AE121" s="255"/>
      <c r="AF121" s="264"/>
      <c r="AG121" s="264"/>
      <c r="AH121" s="264"/>
      <c r="AI121" s="264"/>
      <c r="AJ121" s="264"/>
      <c r="AK121" s="264"/>
      <c r="AL121" s="264"/>
      <c r="AM121" s="264"/>
      <c r="AN121" s="264"/>
      <c r="AO121" s="264"/>
      <c r="AP121" s="264"/>
      <c r="AQ121" s="264"/>
      <c r="AR121" s="264"/>
      <c r="AS121" s="264"/>
      <c r="AT121" s="264"/>
      <c r="AU121" s="264"/>
      <c r="AV121" s="264"/>
      <c r="AW121" s="264"/>
      <c r="AX121" s="264"/>
      <c r="AY121" s="264"/>
      <c r="AZ121" s="264"/>
      <c r="BA121" s="264"/>
      <c r="BB121" s="264"/>
      <c r="BC121" s="264"/>
      <c r="BD121" s="264"/>
      <c r="BE121" s="264"/>
      <c r="BF121" s="264"/>
      <c r="BG121" s="264"/>
      <c r="BH121" s="264"/>
      <c r="BI121" s="264"/>
      <c r="BJ121" s="264"/>
      <c r="BK121" s="264"/>
      <c r="BL121" s="264"/>
      <c r="BM121" s="264"/>
      <c r="BN121" s="264"/>
      <c r="BO121" s="264"/>
      <c r="BP121" s="264"/>
      <c r="BQ121" s="264"/>
      <c r="BR121" s="264"/>
      <c r="BS121" s="264"/>
      <c r="BT121" s="264"/>
      <c r="BU121" s="264"/>
      <c r="BV121" s="264"/>
      <c r="BW121" s="264"/>
      <c r="BX121" s="264"/>
      <c r="BY121" s="264"/>
      <c r="BZ121" s="264"/>
      <c r="CA121" s="264"/>
      <c r="CB121" s="264"/>
      <c r="CC121" s="264"/>
      <c r="CD121" s="264"/>
      <c r="CE121" s="264"/>
      <c r="CF121" s="264"/>
      <c r="CG121" s="264"/>
      <c r="CH121" s="264"/>
      <c r="CI121" s="264"/>
    </row>
    <row r="122" spans="1:87" customFormat="1">
      <c r="A122" s="254"/>
      <c r="B122" s="255"/>
      <c r="C122" s="255"/>
      <c r="D122" s="256"/>
      <c r="E122" s="255"/>
      <c r="F122" s="255"/>
      <c r="G122" s="255"/>
      <c r="H122" s="255"/>
      <c r="I122" s="255"/>
      <c r="J122" s="255"/>
      <c r="K122" s="255"/>
      <c r="L122" s="255"/>
      <c r="M122" s="257"/>
      <c r="N122" s="255"/>
      <c r="O122" s="255"/>
      <c r="P122" s="256"/>
      <c r="Q122" s="255"/>
      <c r="R122" s="255"/>
      <c r="S122" s="255"/>
      <c r="T122" s="255"/>
      <c r="U122" s="255"/>
      <c r="V122" s="258"/>
      <c r="W122" s="259"/>
      <c r="X122" s="1039"/>
      <c r="Y122" s="255"/>
      <c r="Z122" s="255"/>
      <c r="AA122" s="255"/>
      <c r="AB122" s="255"/>
      <c r="AC122" s="255"/>
      <c r="AD122" s="255"/>
      <c r="AE122" s="255"/>
      <c r="AF122" s="264"/>
      <c r="AG122" s="264"/>
      <c r="AH122" s="264"/>
      <c r="AI122" s="264"/>
      <c r="AJ122" s="264"/>
      <c r="AK122" s="264"/>
      <c r="AL122" s="264"/>
      <c r="AM122" s="264"/>
      <c r="AN122" s="264"/>
      <c r="AO122" s="264"/>
      <c r="AP122" s="264"/>
      <c r="AQ122" s="264"/>
      <c r="AR122" s="264"/>
      <c r="AS122" s="264"/>
      <c r="AT122" s="264"/>
      <c r="AU122" s="264"/>
      <c r="AV122" s="264"/>
      <c r="AW122" s="264"/>
      <c r="AX122" s="264"/>
      <c r="AY122" s="264"/>
      <c r="AZ122" s="264"/>
      <c r="BA122" s="264"/>
      <c r="BB122" s="264"/>
      <c r="BC122" s="264"/>
      <c r="BD122" s="264"/>
      <c r="BE122" s="264"/>
      <c r="BF122" s="264"/>
      <c r="BG122" s="264"/>
      <c r="BH122" s="264"/>
      <c r="BI122" s="264"/>
      <c r="BJ122" s="264"/>
      <c r="BK122" s="264"/>
      <c r="BL122" s="264"/>
      <c r="BM122" s="264"/>
      <c r="BN122" s="264"/>
      <c r="BO122" s="264"/>
      <c r="BP122" s="264"/>
      <c r="BQ122" s="264"/>
      <c r="BR122" s="264"/>
      <c r="BS122" s="264"/>
      <c r="BT122" s="264"/>
      <c r="BU122" s="264"/>
      <c r="BV122" s="264"/>
      <c r="BW122" s="264"/>
      <c r="BX122" s="264"/>
      <c r="BY122" s="264"/>
      <c r="BZ122" s="264"/>
      <c r="CA122" s="264"/>
      <c r="CB122" s="264"/>
      <c r="CC122" s="264"/>
      <c r="CD122" s="264"/>
      <c r="CE122" s="264"/>
      <c r="CF122" s="264"/>
      <c r="CG122" s="264"/>
      <c r="CH122" s="264"/>
      <c r="CI122" s="264"/>
    </row>
    <row r="123" spans="1:87" customFormat="1">
      <c r="A123" s="254"/>
      <c r="B123" s="255"/>
      <c r="C123" s="255"/>
      <c r="D123" s="256"/>
      <c r="E123" s="255"/>
      <c r="F123" s="255"/>
      <c r="G123" s="255"/>
      <c r="H123" s="255"/>
      <c r="I123" s="255"/>
      <c r="J123" s="255"/>
      <c r="K123" s="255"/>
      <c r="L123" s="255"/>
      <c r="M123" s="257"/>
      <c r="N123" s="255"/>
      <c r="O123" s="255"/>
      <c r="P123" s="256"/>
      <c r="Q123" s="255"/>
      <c r="R123" s="255"/>
      <c r="S123" s="255"/>
      <c r="T123" s="255"/>
      <c r="U123" s="255"/>
      <c r="V123" s="258"/>
      <c r="W123" s="259"/>
      <c r="X123" s="1039"/>
      <c r="Y123" s="255"/>
      <c r="Z123" s="255"/>
      <c r="AA123" s="255"/>
      <c r="AB123" s="255"/>
      <c r="AC123" s="255"/>
      <c r="AD123" s="255"/>
      <c r="AE123" s="255"/>
      <c r="AF123" s="264"/>
      <c r="AG123" s="264"/>
      <c r="AH123" s="264"/>
      <c r="AI123" s="264"/>
      <c r="AJ123" s="264"/>
      <c r="AK123" s="264"/>
      <c r="AL123" s="264"/>
      <c r="AM123" s="264"/>
      <c r="AN123" s="264"/>
      <c r="AO123" s="264"/>
      <c r="AP123" s="264"/>
      <c r="AQ123" s="264"/>
      <c r="AR123" s="264"/>
      <c r="AS123" s="264"/>
      <c r="AT123" s="264"/>
      <c r="AU123" s="264"/>
      <c r="AV123" s="264"/>
      <c r="AW123" s="264"/>
      <c r="AX123" s="264"/>
      <c r="AY123" s="264"/>
      <c r="AZ123" s="264"/>
      <c r="BA123" s="264"/>
      <c r="BB123" s="264"/>
      <c r="BC123" s="264"/>
      <c r="BD123" s="264"/>
      <c r="BE123" s="264"/>
      <c r="BF123" s="264"/>
      <c r="BG123" s="264"/>
      <c r="BH123" s="264"/>
      <c r="BI123" s="264"/>
      <c r="BJ123" s="264"/>
      <c r="BK123" s="264"/>
      <c r="BL123" s="264"/>
      <c r="BM123" s="264"/>
      <c r="BN123" s="264"/>
      <c r="BO123" s="264"/>
      <c r="BP123" s="264"/>
      <c r="BQ123" s="264"/>
      <c r="BR123" s="264"/>
      <c r="BS123" s="264"/>
      <c r="BT123" s="264"/>
      <c r="BU123" s="264"/>
      <c r="BV123" s="264"/>
      <c r="BW123" s="264"/>
      <c r="BX123" s="264"/>
      <c r="BY123" s="264"/>
      <c r="BZ123" s="264"/>
      <c r="CA123" s="264"/>
      <c r="CB123" s="264"/>
      <c r="CC123" s="264"/>
      <c r="CD123" s="264"/>
      <c r="CE123" s="264"/>
      <c r="CF123" s="264"/>
      <c r="CG123" s="264"/>
      <c r="CH123" s="264"/>
      <c r="CI123" s="264"/>
    </row>
    <row r="124" spans="1:87" customFormat="1">
      <c r="A124" s="278"/>
      <c r="B124" s="257"/>
      <c r="C124" s="256"/>
      <c r="D124" s="266"/>
      <c r="E124" s="274"/>
      <c r="F124" s="266"/>
      <c r="G124" s="255"/>
      <c r="H124" s="266"/>
      <c r="I124" s="257"/>
      <c r="J124" s="257"/>
      <c r="K124" s="257"/>
      <c r="L124" s="255"/>
      <c r="M124" s="266"/>
      <c r="N124" s="255"/>
      <c r="O124" s="257"/>
      <c r="P124" s="257"/>
      <c r="Q124" s="266"/>
      <c r="R124" s="266"/>
      <c r="S124" s="257"/>
      <c r="T124" s="266"/>
      <c r="U124" s="257"/>
      <c r="V124" s="258"/>
      <c r="W124" s="259"/>
      <c r="X124" s="1039"/>
      <c r="Y124" s="255"/>
      <c r="Z124" s="255"/>
      <c r="AA124" s="255"/>
      <c r="AB124" s="255"/>
      <c r="AC124" s="255"/>
      <c r="AD124" s="255"/>
      <c r="AE124" s="260"/>
      <c r="AF124" s="264"/>
      <c r="AG124" s="264"/>
      <c r="AH124" s="264"/>
      <c r="AI124" s="264"/>
      <c r="AJ124" s="264"/>
      <c r="AK124" s="264"/>
      <c r="AL124" s="264"/>
      <c r="AM124" s="264"/>
      <c r="AN124" s="264"/>
      <c r="AO124" s="264"/>
      <c r="AP124" s="264"/>
      <c r="AQ124" s="264"/>
      <c r="AR124" s="264"/>
      <c r="AS124" s="264"/>
      <c r="AT124" s="264"/>
      <c r="AU124" s="264"/>
      <c r="AV124" s="264"/>
      <c r="AW124" s="264"/>
      <c r="AX124" s="264"/>
      <c r="AY124" s="264"/>
      <c r="AZ124" s="264"/>
      <c r="BA124" s="264"/>
      <c r="BB124" s="264"/>
      <c r="BC124" s="264"/>
      <c r="BD124" s="264"/>
      <c r="BE124" s="264"/>
      <c r="BF124" s="264"/>
      <c r="BG124" s="264"/>
      <c r="BH124" s="264"/>
      <c r="BI124" s="264"/>
      <c r="BJ124" s="264"/>
      <c r="BK124" s="264"/>
      <c r="BL124" s="264"/>
      <c r="BM124" s="264"/>
      <c r="BN124" s="264"/>
      <c r="BO124" s="264"/>
      <c r="BP124" s="264"/>
      <c r="BQ124" s="264"/>
      <c r="BR124" s="264"/>
      <c r="BS124" s="264"/>
      <c r="BT124" s="264"/>
      <c r="BU124" s="264"/>
      <c r="BV124" s="264"/>
      <c r="BW124" s="264"/>
      <c r="BX124" s="264"/>
      <c r="BY124" s="264"/>
      <c r="BZ124" s="264"/>
      <c r="CA124" s="264"/>
      <c r="CB124" s="264"/>
      <c r="CC124" s="264"/>
      <c r="CD124" s="264"/>
      <c r="CE124" s="264"/>
      <c r="CF124" s="264"/>
      <c r="CG124" s="264"/>
      <c r="CH124" s="264"/>
      <c r="CI124" s="264"/>
    </row>
    <row r="125" spans="1:87" customFormat="1">
      <c r="A125" s="254"/>
      <c r="B125" s="255"/>
      <c r="C125" s="255"/>
      <c r="D125" s="256"/>
      <c r="E125" s="255"/>
      <c r="F125" s="255"/>
      <c r="G125" s="255"/>
      <c r="H125" s="255"/>
      <c r="I125" s="255"/>
      <c r="J125" s="255"/>
      <c r="K125" s="255"/>
      <c r="L125" s="255"/>
      <c r="M125" s="257"/>
      <c r="N125" s="255"/>
      <c r="O125" s="255"/>
      <c r="P125" s="256"/>
      <c r="Q125" s="255"/>
      <c r="R125" s="255"/>
      <c r="S125" s="255"/>
      <c r="T125" s="255"/>
      <c r="U125" s="255"/>
      <c r="V125" s="258"/>
      <c r="W125" s="259"/>
      <c r="X125" s="1039"/>
      <c r="Y125" s="255"/>
      <c r="Z125" s="255"/>
      <c r="AA125" s="255"/>
      <c r="AB125" s="255"/>
      <c r="AC125" s="255"/>
      <c r="AD125" s="255"/>
      <c r="AE125" s="255"/>
      <c r="AF125" s="264"/>
      <c r="AG125" s="264"/>
      <c r="AH125" s="264"/>
      <c r="AI125" s="264"/>
      <c r="AJ125" s="264"/>
      <c r="AK125" s="264"/>
      <c r="AL125" s="264"/>
      <c r="AM125" s="264"/>
      <c r="AN125" s="264"/>
      <c r="AO125" s="264"/>
      <c r="AP125" s="264"/>
      <c r="AQ125" s="264"/>
      <c r="AR125" s="264"/>
      <c r="AS125" s="264"/>
      <c r="AT125" s="264"/>
      <c r="AU125" s="264"/>
      <c r="AV125" s="264"/>
      <c r="AW125" s="264"/>
      <c r="AX125" s="264"/>
      <c r="AY125" s="264"/>
      <c r="AZ125" s="264"/>
      <c r="BA125" s="264"/>
      <c r="BB125" s="264"/>
      <c r="BC125" s="264"/>
      <c r="BD125" s="264"/>
      <c r="BE125" s="264"/>
      <c r="BF125" s="264"/>
      <c r="BG125" s="264"/>
      <c r="BH125" s="264"/>
      <c r="BI125" s="264"/>
      <c r="BJ125" s="264"/>
      <c r="BK125" s="264"/>
      <c r="BL125" s="264"/>
      <c r="BM125" s="264"/>
      <c r="BN125" s="264"/>
      <c r="BO125" s="264"/>
      <c r="BP125" s="264"/>
      <c r="BQ125" s="264"/>
      <c r="BR125" s="264"/>
      <c r="BS125" s="264"/>
      <c r="BT125" s="264"/>
      <c r="BU125" s="264"/>
      <c r="BV125" s="264"/>
      <c r="BW125" s="264"/>
      <c r="BX125" s="264"/>
      <c r="BY125" s="264"/>
      <c r="BZ125" s="264"/>
      <c r="CA125" s="264"/>
      <c r="CB125" s="264"/>
      <c r="CC125" s="264"/>
      <c r="CD125" s="264"/>
      <c r="CE125" s="264"/>
      <c r="CF125" s="264"/>
      <c r="CG125" s="264"/>
      <c r="CH125" s="264"/>
      <c r="CI125" s="264"/>
    </row>
    <row r="126" spans="1:87" customFormat="1">
      <c r="A126" s="278"/>
      <c r="B126" s="257"/>
      <c r="C126" s="255"/>
      <c r="D126" s="266"/>
      <c r="E126" s="274"/>
      <c r="F126" s="266"/>
      <c r="G126" s="255"/>
      <c r="H126" s="266"/>
      <c r="I126" s="257"/>
      <c r="J126" s="257"/>
      <c r="K126" s="257"/>
      <c r="L126" s="262"/>
      <c r="M126" s="257"/>
      <c r="N126" s="255"/>
      <c r="O126" s="257"/>
      <c r="P126" s="257"/>
      <c r="Q126" s="257"/>
      <c r="R126" s="257"/>
      <c r="S126" s="257"/>
      <c r="T126" s="257"/>
      <c r="U126" s="257"/>
      <c r="V126" s="258"/>
      <c r="W126" s="267"/>
      <c r="X126" s="1040"/>
      <c r="Y126" s="257"/>
      <c r="Z126" s="257"/>
      <c r="AA126" s="257"/>
      <c r="AB126" s="257"/>
      <c r="AC126" s="257"/>
      <c r="AD126" s="257"/>
      <c r="AE126" s="260"/>
      <c r="AF126" s="264"/>
      <c r="AG126" s="264"/>
      <c r="AH126" s="264"/>
      <c r="AI126" s="264"/>
      <c r="AJ126" s="264"/>
      <c r="AK126" s="264"/>
      <c r="AL126" s="264"/>
      <c r="AM126" s="264"/>
      <c r="AN126" s="264"/>
      <c r="AO126" s="264"/>
      <c r="AP126" s="264"/>
      <c r="AQ126" s="264"/>
      <c r="AR126" s="264"/>
      <c r="AS126" s="264"/>
      <c r="AT126" s="264"/>
      <c r="AU126" s="264"/>
      <c r="AV126" s="264"/>
      <c r="AW126" s="264"/>
      <c r="AX126" s="264"/>
      <c r="AY126" s="264"/>
      <c r="AZ126" s="264"/>
      <c r="BA126" s="264"/>
      <c r="BB126" s="264"/>
      <c r="BC126" s="264"/>
      <c r="BD126" s="264"/>
      <c r="BE126" s="264"/>
      <c r="BF126" s="264"/>
      <c r="BG126" s="264"/>
      <c r="BH126" s="264"/>
      <c r="BI126" s="264"/>
      <c r="BJ126" s="264"/>
      <c r="BK126" s="264"/>
      <c r="BL126" s="264"/>
      <c r="BM126" s="264"/>
      <c r="BN126" s="264"/>
      <c r="BO126" s="264"/>
      <c r="BP126" s="264"/>
      <c r="BQ126" s="264"/>
      <c r="BR126" s="264"/>
      <c r="BS126" s="264"/>
      <c r="BT126" s="264"/>
      <c r="BU126" s="264"/>
      <c r="BV126" s="264"/>
      <c r="BW126" s="264"/>
      <c r="BX126" s="264"/>
      <c r="BY126" s="264"/>
      <c r="BZ126" s="264"/>
      <c r="CA126" s="264"/>
      <c r="CB126" s="264"/>
      <c r="CC126" s="264"/>
      <c r="CD126" s="264"/>
      <c r="CE126" s="264"/>
      <c r="CF126" s="264"/>
      <c r="CG126" s="264"/>
      <c r="CH126" s="264"/>
      <c r="CI126" s="264"/>
    </row>
    <row r="127" spans="1:87" customFormat="1">
      <c r="A127" s="254"/>
      <c r="B127" s="255"/>
      <c r="C127" s="255"/>
      <c r="D127" s="256"/>
      <c r="E127" s="255"/>
      <c r="F127" s="255"/>
      <c r="G127" s="255"/>
      <c r="H127" s="255"/>
      <c r="I127" s="255"/>
      <c r="J127" s="255"/>
      <c r="K127" s="255"/>
      <c r="L127" s="255"/>
      <c r="M127" s="257"/>
      <c r="N127" s="255"/>
      <c r="O127" s="255"/>
      <c r="P127" s="256"/>
      <c r="Q127" s="255"/>
      <c r="R127" s="255"/>
      <c r="S127" s="255"/>
      <c r="T127" s="255"/>
      <c r="U127" s="255"/>
      <c r="V127" s="258"/>
      <c r="W127" s="259"/>
      <c r="X127" s="1039"/>
      <c r="Y127" s="255"/>
      <c r="Z127" s="255"/>
      <c r="AA127" s="255"/>
      <c r="AB127" s="255"/>
      <c r="AC127" s="255"/>
      <c r="AD127" s="255"/>
      <c r="AE127" s="255"/>
      <c r="AF127" s="264"/>
      <c r="AG127" s="264"/>
      <c r="AH127" s="264"/>
      <c r="AI127" s="264"/>
      <c r="AJ127" s="264"/>
      <c r="AK127" s="264"/>
      <c r="AL127" s="264"/>
      <c r="AM127" s="264"/>
      <c r="AN127" s="264"/>
      <c r="AO127" s="264"/>
      <c r="AP127" s="264"/>
      <c r="AQ127" s="264"/>
      <c r="AR127" s="264"/>
      <c r="AS127" s="264"/>
      <c r="AT127" s="264"/>
      <c r="AU127" s="264"/>
      <c r="AV127" s="264"/>
      <c r="AW127" s="264"/>
      <c r="AX127" s="264"/>
      <c r="AY127" s="264"/>
      <c r="AZ127" s="264"/>
      <c r="BA127" s="264"/>
      <c r="BB127" s="264"/>
      <c r="BC127" s="264"/>
      <c r="BD127" s="264"/>
      <c r="BE127" s="264"/>
      <c r="BF127" s="264"/>
      <c r="BG127" s="264"/>
      <c r="BH127" s="264"/>
      <c r="BI127" s="264"/>
      <c r="BJ127" s="264"/>
      <c r="BK127" s="264"/>
      <c r="BL127" s="264"/>
      <c r="BM127" s="264"/>
      <c r="BN127" s="264"/>
      <c r="BO127" s="264"/>
      <c r="BP127" s="264"/>
      <c r="BQ127" s="264"/>
      <c r="BR127" s="264"/>
      <c r="BS127" s="264"/>
      <c r="BT127" s="264"/>
      <c r="BU127" s="264"/>
      <c r="BV127" s="264"/>
      <c r="BW127" s="264"/>
      <c r="BX127" s="264"/>
      <c r="BY127" s="264"/>
      <c r="BZ127" s="264"/>
      <c r="CA127" s="264"/>
      <c r="CB127" s="264"/>
      <c r="CC127" s="264"/>
      <c r="CD127" s="264"/>
      <c r="CE127" s="264"/>
      <c r="CF127" s="264"/>
      <c r="CG127" s="264"/>
      <c r="CH127" s="264"/>
      <c r="CI127" s="264"/>
    </row>
    <row r="128" spans="1:87" customFormat="1">
      <c r="A128" s="278"/>
      <c r="B128" s="257"/>
      <c r="C128" s="255"/>
      <c r="D128" s="266"/>
      <c r="E128" s="274"/>
      <c r="F128" s="266"/>
      <c r="G128" s="255"/>
      <c r="H128" s="266"/>
      <c r="I128" s="257"/>
      <c r="J128" s="257"/>
      <c r="K128" s="257"/>
      <c r="L128" s="262"/>
      <c r="M128" s="257"/>
      <c r="N128" s="255"/>
      <c r="O128" s="257"/>
      <c r="P128" s="257"/>
      <c r="Q128" s="257"/>
      <c r="R128" s="257"/>
      <c r="S128" s="257"/>
      <c r="T128" s="257"/>
      <c r="U128" s="257"/>
      <c r="V128" s="258"/>
      <c r="W128" s="267"/>
      <c r="X128" s="1040"/>
      <c r="Y128" s="257"/>
      <c r="Z128" s="257"/>
      <c r="AA128" s="257"/>
      <c r="AB128" s="257"/>
      <c r="AC128" s="257"/>
      <c r="AD128" s="257"/>
      <c r="AE128" s="260"/>
      <c r="AF128" s="264"/>
      <c r="AG128" s="264"/>
      <c r="AH128" s="264"/>
      <c r="AI128" s="264"/>
      <c r="AJ128" s="264"/>
      <c r="AK128" s="264"/>
      <c r="AL128" s="264"/>
      <c r="AM128" s="264"/>
      <c r="AN128" s="264"/>
      <c r="AO128" s="264"/>
      <c r="AP128" s="264"/>
      <c r="AQ128" s="264"/>
      <c r="AR128" s="264"/>
      <c r="AS128" s="264"/>
      <c r="AT128" s="264"/>
      <c r="AU128" s="264"/>
      <c r="AV128" s="264"/>
      <c r="AW128" s="264"/>
      <c r="AX128" s="264"/>
      <c r="AY128" s="264"/>
      <c r="AZ128" s="264"/>
      <c r="BA128" s="264"/>
      <c r="BB128" s="264"/>
      <c r="BC128" s="264"/>
      <c r="BD128" s="264"/>
      <c r="BE128" s="264"/>
      <c r="BF128" s="264"/>
      <c r="BG128" s="264"/>
      <c r="BH128" s="264"/>
      <c r="BI128" s="264"/>
      <c r="BJ128" s="264"/>
      <c r="BK128" s="264"/>
      <c r="BL128" s="264"/>
      <c r="BM128" s="264"/>
      <c r="BN128" s="264"/>
      <c r="BO128" s="264"/>
      <c r="BP128" s="264"/>
      <c r="BQ128" s="264"/>
      <c r="BR128" s="264"/>
      <c r="BS128" s="264"/>
      <c r="BT128" s="264"/>
      <c r="BU128" s="264"/>
      <c r="BV128" s="264"/>
      <c r="BW128" s="264"/>
      <c r="BX128" s="264"/>
      <c r="BY128" s="264"/>
      <c r="BZ128" s="264"/>
      <c r="CA128" s="264"/>
      <c r="CB128" s="264"/>
      <c r="CC128" s="264"/>
      <c r="CD128" s="264"/>
      <c r="CE128" s="264"/>
      <c r="CF128" s="264"/>
      <c r="CG128" s="264"/>
      <c r="CH128" s="264"/>
      <c r="CI128" s="264"/>
    </row>
    <row r="129" spans="1:87" customFormat="1">
      <c r="A129" s="254"/>
      <c r="B129" s="255"/>
      <c r="C129" s="255"/>
      <c r="D129" s="256"/>
      <c r="E129" s="255"/>
      <c r="F129" s="255"/>
      <c r="G129" s="255"/>
      <c r="H129" s="255"/>
      <c r="I129" s="255"/>
      <c r="J129" s="255"/>
      <c r="K129" s="255"/>
      <c r="L129" s="255"/>
      <c r="M129" s="257"/>
      <c r="N129" s="255"/>
      <c r="O129" s="255"/>
      <c r="P129" s="256"/>
      <c r="Q129" s="255"/>
      <c r="R129" s="255"/>
      <c r="S129" s="255"/>
      <c r="T129" s="255"/>
      <c r="U129" s="255"/>
      <c r="V129" s="258"/>
      <c r="W129" s="259"/>
      <c r="X129" s="1039"/>
      <c r="Y129" s="255"/>
      <c r="Z129" s="255"/>
      <c r="AA129" s="255"/>
      <c r="AB129" s="255"/>
      <c r="AC129" s="255"/>
      <c r="AD129" s="255"/>
      <c r="AE129" s="255"/>
      <c r="AF129" s="264"/>
      <c r="AG129" s="264"/>
      <c r="AH129" s="264"/>
      <c r="AI129" s="264"/>
      <c r="AJ129" s="264"/>
      <c r="AK129" s="264"/>
      <c r="AL129" s="264"/>
      <c r="AM129" s="264"/>
      <c r="AN129" s="264"/>
      <c r="AO129" s="264"/>
      <c r="AP129" s="264"/>
      <c r="AQ129" s="264"/>
      <c r="AR129" s="264"/>
      <c r="AS129" s="264"/>
      <c r="AT129" s="264"/>
      <c r="AU129" s="264"/>
      <c r="AV129" s="264"/>
      <c r="AW129" s="264"/>
      <c r="AX129" s="264"/>
      <c r="AY129" s="264"/>
      <c r="AZ129" s="264"/>
      <c r="BA129" s="264"/>
      <c r="BB129" s="264"/>
      <c r="BC129" s="264"/>
      <c r="BD129" s="264"/>
      <c r="BE129" s="264"/>
      <c r="BF129" s="264"/>
      <c r="BG129" s="264"/>
      <c r="BH129" s="264"/>
      <c r="BI129" s="264"/>
      <c r="BJ129" s="264"/>
      <c r="BK129" s="264"/>
      <c r="BL129" s="264"/>
      <c r="BM129" s="264"/>
      <c r="BN129" s="264"/>
      <c r="BO129" s="264"/>
      <c r="BP129" s="264"/>
      <c r="BQ129" s="264"/>
      <c r="BR129" s="264"/>
      <c r="BS129" s="264"/>
      <c r="BT129" s="264"/>
      <c r="BU129" s="264"/>
      <c r="BV129" s="264"/>
      <c r="BW129" s="264"/>
      <c r="BX129" s="264"/>
      <c r="BY129" s="264"/>
      <c r="BZ129" s="264"/>
      <c r="CA129" s="264"/>
      <c r="CB129" s="264"/>
      <c r="CC129" s="264"/>
      <c r="CD129" s="264"/>
      <c r="CE129" s="264"/>
      <c r="CF129" s="264"/>
      <c r="CG129" s="264"/>
      <c r="CH129" s="264"/>
      <c r="CI129" s="264"/>
    </row>
    <row r="130" spans="1:87" customFormat="1">
      <c r="A130" s="254"/>
      <c r="B130" s="255"/>
      <c r="C130" s="255"/>
      <c r="D130" s="255"/>
      <c r="E130" s="256"/>
      <c r="F130" s="255"/>
      <c r="G130" s="255"/>
      <c r="H130" s="255"/>
      <c r="I130" s="255"/>
      <c r="J130" s="257"/>
      <c r="K130" s="255"/>
      <c r="L130" s="257"/>
      <c r="M130" s="257"/>
      <c r="N130" s="255"/>
      <c r="O130" s="255"/>
      <c r="P130" s="255"/>
      <c r="Q130" s="256"/>
      <c r="R130" s="255"/>
      <c r="S130" s="255"/>
      <c r="T130" s="255"/>
      <c r="U130" s="255"/>
      <c r="V130" s="258"/>
      <c r="W130" s="259"/>
      <c r="X130" s="1039"/>
      <c r="Y130" s="255"/>
      <c r="Z130" s="255"/>
      <c r="AA130" s="255"/>
      <c r="AB130" s="255"/>
      <c r="AC130" s="255"/>
      <c r="AD130" s="255"/>
      <c r="AE130" s="260"/>
      <c r="AF130" s="264"/>
      <c r="AG130" s="264"/>
      <c r="AH130" s="264"/>
      <c r="AI130" s="264"/>
      <c r="AJ130" s="264"/>
      <c r="AK130" s="264"/>
      <c r="AL130" s="264"/>
      <c r="AM130" s="264"/>
      <c r="AN130" s="264"/>
      <c r="AO130" s="264"/>
      <c r="AP130" s="264"/>
      <c r="AQ130" s="264"/>
      <c r="AR130" s="264"/>
      <c r="AS130" s="264"/>
      <c r="AT130" s="264"/>
      <c r="AU130" s="264"/>
      <c r="AV130" s="264"/>
      <c r="AW130" s="264"/>
      <c r="AX130" s="264"/>
      <c r="AY130" s="264"/>
      <c r="AZ130" s="264"/>
      <c r="BA130" s="264"/>
      <c r="BB130" s="264"/>
      <c r="BC130" s="264"/>
      <c r="BD130" s="264"/>
      <c r="BE130" s="264"/>
      <c r="BF130" s="264"/>
      <c r="BG130" s="264"/>
      <c r="BH130" s="264"/>
      <c r="BI130" s="264"/>
      <c r="BJ130" s="264"/>
      <c r="BK130" s="264"/>
      <c r="BL130" s="264"/>
      <c r="BM130" s="264"/>
      <c r="BN130" s="264"/>
      <c r="BO130" s="264"/>
      <c r="BP130" s="264"/>
      <c r="BQ130" s="264"/>
      <c r="BR130" s="264"/>
      <c r="BS130" s="264"/>
      <c r="BT130" s="264"/>
      <c r="BU130" s="264"/>
      <c r="BV130" s="264"/>
      <c r="BW130" s="264"/>
      <c r="BX130" s="264"/>
      <c r="BY130" s="264"/>
      <c r="BZ130" s="264"/>
      <c r="CA130" s="264"/>
      <c r="CB130" s="264"/>
      <c r="CC130" s="264"/>
      <c r="CD130" s="264"/>
      <c r="CE130" s="264"/>
      <c r="CF130" s="264"/>
      <c r="CG130" s="264"/>
      <c r="CH130" s="264"/>
      <c r="CI130" s="264"/>
    </row>
    <row r="131" spans="1:87" customFormat="1">
      <c r="A131" s="254"/>
      <c r="B131" s="255"/>
      <c r="C131" s="255"/>
      <c r="D131" s="256"/>
      <c r="E131" s="255"/>
      <c r="F131" s="255"/>
      <c r="G131" s="255"/>
      <c r="H131" s="255"/>
      <c r="I131" s="255"/>
      <c r="J131" s="255"/>
      <c r="K131" s="255"/>
      <c r="L131" s="255"/>
      <c r="M131" s="257"/>
      <c r="N131" s="255"/>
      <c r="O131" s="255"/>
      <c r="P131" s="256"/>
      <c r="Q131" s="255"/>
      <c r="R131" s="255"/>
      <c r="S131" s="255"/>
      <c r="T131" s="255"/>
      <c r="U131" s="255"/>
      <c r="V131" s="258"/>
      <c r="W131" s="259"/>
      <c r="X131" s="1039"/>
      <c r="Y131" s="255"/>
      <c r="Z131" s="255"/>
      <c r="AA131" s="255"/>
      <c r="AB131" s="255"/>
      <c r="AC131" s="255"/>
      <c r="AD131" s="255"/>
      <c r="AE131" s="255"/>
      <c r="AF131" s="264"/>
      <c r="AG131" s="264"/>
      <c r="AH131" s="264"/>
      <c r="AI131" s="264"/>
      <c r="AJ131" s="264"/>
      <c r="AK131" s="264"/>
      <c r="AL131" s="264"/>
      <c r="AM131" s="264"/>
      <c r="AN131" s="264"/>
      <c r="AO131" s="264"/>
      <c r="AP131" s="264"/>
      <c r="AQ131" s="264"/>
      <c r="AR131" s="264"/>
      <c r="AS131" s="264"/>
      <c r="AT131" s="264"/>
      <c r="AU131" s="264"/>
      <c r="AV131" s="264"/>
      <c r="AW131" s="264"/>
      <c r="AX131" s="264"/>
      <c r="AY131" s="264"/>
      <c r="AZ131" s="264"/>
      <c r="BA131" s="264"/>
      <c r="BB131" s="264"/>
      <c r="BC131" s="264"/>
      <c r="BD131" s="264"/>
      <c r="BE131" s="264"/>
      <c r="BF131" s="264"/>
      <c r="BG131" s="264"/>
      <c r="BH131" s="264"/>
      <c r="BI131" s="264"/>
      <c r="BJ131" s="264"/>
      <c r="BK131" s="264"/>
      <c r="BL131" s="264"/>
      <c r="BM131" s="264"/>
      <c r="BN131" s="264"/>
      <c r="BO131" s="264"/>
      <c r="BP131" s="264"/>
      <c r="BQ131" s="264"/>
      <c r="BR131" s="264"/>
      <c r="BS131" s="264"/>
      <c r="BT131" s="264"/>
      <c r="BU131" s="264"/>
      <c r="BV131" s="264"/>
      <c r="BW131" s="264"/>
      <c r="BX131" s="264"/>
      <c r="BY131" s="264"/>
      <c r="BZ131" s="264"/>
      <c r="CA131" s="264"/>
      <c r="CB131" s="264"/>
      <c r="CC131" s="264"/>
      <c r="CD131" s="264"/>
      <c r="CE131" s="264"/>
      <c r="CF131" s="264"/>
      <c r="CG131" s="264"/>
      <c r="CH131" s="264"/>
      <c r="CI131" s="264"/>
    </row>
    <row r="132" spans="1:87" customFormat="1">
      <c r="A132" s="254"/>
      <c r="B132" s="255"/>
      <c r="C132" s="255"/>
      <c r="D132" s="256"/>
      <c r="E132" s="255"/>
      <c r="F132" s="255"/>
      <c r="G132" s="255"/>
      <c r="H132" s="255"/>
      <c r="I132" s="255"/>
      <c r="J132" s="255"/>
      <c r="K132" s="255"/>
      <c r="L132" s="255"/>
      <c r="M132" s="257"/>
      <c r="N132" s="255"/>
      <c r="O132" s="255"/>
      <c r="P132" s="256"/>
      <c r="Q132" s="255"/>
      <c r="R132" s="255"/>
      <c r="S132" s="255"/>
      <c r="T132" s="255"/>
      <c r="U132" s="255"/>
      <c r="V132" s="258"/>
      <c r="W132" s="259"/>
      <c r="X132" s="1039"/>
      <c r="Y132" s="255"/>
      <c r="Z132" s="255"/>
      <c r="AA132" s="255"/>
      <c r="AB132" s="255"/>
      <c r="AC132" s="255"/>
      <c r="AD132" s="255"/>
      <c r="AE132" s="255"/>
      <c r="AF132" s="264"/>
      <c r="AG132" s="264"/>
      <c r="AH132" s="264"/>
      <c r="AI132" s="264"/>
      <c r="AJ132" s="264"/>
      <c r="AK132" s="264"/>
      <c r="AL132" s="264"/>
      <c r="AM132" s="264"/>
      <c r="AN132" s="264"/>
      <c r="AO132" s="264"/>
      <c r="AP132" s="264"/>
      <c r="AQ132" s="264"/>
      <c r="AR132" s="264"/>
      <c r="AS132" s="264"/>
      <c r="AT132" s="264"/>
      <c r="AU132" s="264"/>
      <c r="AV132" s="264"/>
      <c r="AW132" s="264"/>
      <c r="AX132" s="264"/>
      <c r="AY132" s="264"/>
      <c r="AZ132" s="264"/>
      <c r="BA132" s="264"/>
      <c r="BB132" s="264"/>
      <c r="BC132" s="264"/>
      <c r="BD132" s="264"/>
      <c r="BE132" s="264"/>
      <c r="BF132" s="264"/>
      <c r="BG132" s="264"/>
      <c r="BH132" s="264"/>
      <c r="BI132" s="264"/>
      <c r="BJ132" s="264"/>
      <c r="BK132" s="264"/>
      <c r="BL132" s="264"/>
      <c r="BM132" s="264"/>
      <c r="BN132" s="264"/>
      <c r="BO132" s="264"/>
      <c r="BP132" s="264"/>
      <c r="BQ132" s="264"/>
      <c r="BR132" s="264"/>
      <c r="BS132" s="264"/>
      <c r="BT132" s="264"/>
      <c r="BU132" s="264"/>
      <c r="BV132" s="264"/>
      <c r="BW132" s="264"/>
      <c r="BX132" s="264"/>
      <c r="BY132" s="264"/>
      <c r="BZ132" s="264"/>
      <c r="CA132" s="264"/>
      <c r="CB132" s="264"/>
      <c r="CC132" s="264"/>
      <c r="CD132" s="264"/>
      <c r="CE132" s="264"/>
      <c r="CF132" s="264"/>
      <c r="CG132" s="264"/>
      <c r="CH132" s="264"/>
      <c r="CI132" s="264"/>
    </row>
    <row r="133" spans="1:87" customFormat="1">
      <c r="A133" s="254"/>
      <c r="B133" s="255"/>
      <c r="C133" s="255"/>
      <c r="D133" s="255"/>
      <c r="E133" s="255"/>
      <c r="F133" s="256"/>
      <c r="G133" s="255"/>
      <c r="H133" s="255"/>
      <c r="I133" s="255"/>
      <c r="J133" s="255"/>
      <c r="K133" s="255"/>
      <c r="L133" s="262"/>
      <c r="M133" s="255"/>
      <c r="N133" s="255"/>
      <c r="O133" s="255"/>
      <c r="P133" s="255"/>
      <c r="Q133" s="255"/>
      <c r="R133" s="256"/>
      <c r="S133" s="255"/>
      <c r="T133" s="255"/>
      <c r="U133" s="255"/>
      <c r="V133" s="279"/>
      <c r="W133" s="259"/>
      <c r="X133" s="1039"/>
      <c r="Y133" s="255"/>
      <c r="Z133" s="255"/>
      <c r="AA133" s="255"/>
      <c r="AB133" s="255"/>
      <c r="AC133" s="255"/>
      <c r="AD133" s="255"/>
      <c r="AE133" s="260"/>
      <c r="AF133" s="264"/>
      <c r="AG133" s="264"/>
      <c r="AH133" s="264"/>
      <c r="AI133" s="264"/>
      <c r="AJ133" s="264"/>
      <c r="AK133" s="264"/>
      <c r="AL133" s="264"/>
      <c r="AM133" s="264"/>
      <c r="AN133" s="264"/>
      <c r="AO133" s="264"/>
      <c r="AP133" s="264"/>
      <c r="AQ133" s="264"/>
      <c r="AR133" s="264"/>
      <c r="AS133" s="264"/>
      <c r="AT133" s="264"/>
      <c r="AU133" s="264"/>
      <c r="AV133" s="264"/>
      <c r="AW133" s="264"/>
      <c r="AX133" s="264"/>
      <c r="AY133" s="264"/>
      <c r="AZ133" s="264"/>
      <c r="BA133" s="264"/>
      <c r="BB133" s="264"/>
      <c r="BC133" s="264"/>
      <c r="BD133" s="264"/>
      <c r="BE133" s="264"/>
      <c r="BF133" s="264"/>
      <c r="BG133" s="264"/>
      <c r="BH133" s="264"/>
      <c r="BI133" s="264"/>
      <c r="BJ133" s="264"/>
      <c r="BK133" s="264"/>
      <c r="BL133" s="264"/>
      <c r="BM133" s="264"/>
      <c r="BN133" s="264"/>
      <c r="BO133" s="264"/>
      <c r="BP133" s="264"/>
      <c r="BQ133" s="264"/>
      <c r="BR133" s="264"/>
      <c r="BS133" s="264"/>
      <c r="BT133" s="264"/>
      <c r="BU133" s="264"/>
      <c r="BV133" s="264"/>
      <c r="BW133" s="264"/>
      <c r="BX133" s="264"/>
      <c r="BY133" s="264"/>
      <c r="BZ133" s="264"/>
      <c r="CA133" s="264"/>
      <c r="CB133" s="264"/>
      <c r="CC133" s="264"/>
      <c r="CD133" s="264"/>
      <c r="CE133" s="264"/>
      <c r="CF133" s="264"/>
      <c r="CG133" s="264"/>
      <c r="CH133" s="264"/>
      <c r="CI133" s="264"/>
    </row>
    <row r="134" spans="1:87" customFormat="1">
      <c r="A134" s="254"/>
      <c r="B134" s="255"/>
      <c r="C134" s="255"/>
      <c r="D134" s="256"/>
      <c r="E134" s="255"/>
      <c r="F134" s="255"/>
      <c r="G134" s="255"/>
      <c r="H134" s="255"/>
      <c r="I134" s="255"/>
      <c r="J134" s="255"/>
      <c r="K134" s="255"/>
      <c r="L134" s="255"/>
      <c r="M134" s="257"/>
      <c r="N134" s="255"/>
      <c r="O134" s="255"/>
      <c r="P134" s="256"/>
      <c r="Q134" s="255"/>
      <c r="R134" s="255"/>
      <c r="S134" s="255"/>
      <c r="T134" s="255"/>
      <c r="U134" s="255"/>
      <c r="V134" s="258"/>
      <c r="W134" s="259"/>
      <c r="X134" s="1039"/>
      <c r="Y134" s="255"/>
      <c r="Z134" s="255"/>
      <c r="AA134" s="255"/>
      <c r="AB134" s="255"/>
      <c r="AC134" s="255"/>
      <c r="AD134" s="255"/>
      <c r="AE134" s="255"/>
      <c r="AF134" s="264"/>
      <c r="AG134" s="264"/>
      <c r="AH134" s="264"/>
      <c r="AI134" s="264"/>
      <c r="AJ134" s="264"/>
      <c r="AK134" s="264"/>
      <c r="AL134" s="264"/>
      <c r="AM134" s="264"/>
      <c r="AN134" s="264"/>
      <c r="AO134" s="264"/>
      <c r="AP134" s="264"/>
      <c r="AQ134" s="264"/>
      <c r="AR134" s="264"/>
      <c r="AS134" s="264"/>
      <c r="AT134" s="264"/>
      <c r="AU134" s="264"/>
      <c r="AV134" s="264"/>
      <c r="AW134" s="264"/>
      <c r="AX134" s="264"/>
      <c r="AY134" s="264"/>
      <c r="AZ134" s="264"/>
      <c r="BA134" s="264"/>
      <c r="BB134" s="264"/>
      <c r="BC134" s="264"/>
      <c r="BD134" s="264"/>
      <c r="BE134" s="264"/>
      <c r="BF134" s="264"/>
      <c r="BG134" s="264"/>
      <c r="BH134" s="264"/>
      <c r="BI134" s="264"/>
      <c r="BJ134" s="264"/>
      <c r="BK134" s="264"/>
      <c r="BL134" s="264"/>
      <c r="BM134" s="264"/>
      <c r="BN134" s="264"/>
      <c r="BO134" s="264"/>
      <c r="BP134" s="264"/>
      <c r="BQ134" s="264"/>
      <c r="BR134" s="264"/>
      <c r="BS134" s="264"/>
      <c r="BT134" s="264"/>
      <c r="BU134" s="264"/>
      <c r="BV134" s="264"/>
      <c r="BW134" s="264"/>
      <c r="BX134" s="264"/>
      <c r="BY134" s="264"/>
      <c r="BZ134" s="264"/>
      <c r="CA134" s="264"/>
      <c r="CB134" s="264"/>
      <c r="CC134" s="264"/>
      <c r="CD134" s="264"/>
      <c r="CE134" s="264"/>
      <c r="CF134" s="264"/>
      <c r="CG134" s="264"/>
      <c r="CH134" s="264"/>
      <c r="CI134" s="264"/>
    </row>
    <row r="135" spans="1:87" customFormat="1">
      <c r="A135" s="254"/>
      <c r="B135" s="255"/>
      <c r="C135" s="255"/>
      <c r="D135" s="256"/>
      <c r="E135" s="256"/>
      <c r="F135" s="256"/>
      <c r="G135" s="255"/>
      <c r="H135" s="255"/>
      <c r="I135" s="255"/>
      <c r="J135" s="255"/>
      <c r="K135" s="255"/>
      <c r="L135" s="262"/>
      <c r="M135" s="255"/>
      <c r="N135" s="255"/>
      <c r="O135" s="255"/>
      <c r="P135" s="255"/>
      <c r="Q135" s="255"/>
      <c r="R135" s="255"/>
      <c r="S135" s="255"/>
      <c r="T135" s="255"/>
      <c r="U135" s="255"/>
      <c r="V135" s="255"/>
      <c r="W135" s="259"/>
      <c r="X135" s="1039"/>
      <c r="Y135" s="255"/>
      <c r="Z135" s="255"/>
      <c r="AA135" s="255"/>
      <c r="AB135" s="255"/>
      <c r="AC135" s="255"/>
      <c r="AD135" s="255"/>
      <c r="AE135" s="260"/>
      <c r="AF135" s="264"/>
      <c r="AG135" s="264"/>
      <c r="AH135" s="264"/>
      <c r="AI135" s="264"/>
      <c r="AJ135" s="264"/>
      <c r="AK135" s="264"/>
      <c r="AL135" s="264"/>
      <c r="AM135" s="264"/>
      <c r="AN135" s="264"/>
      <c r="AO135" s="264"/>
      <c r="AP135" s="264"/>
      <c r="AQ135" s="264"/>
      <c r="AR135" s="264"/>
      <c r="AS135" s="264"/>
      <c r="AT135" s="264"/>
      <c r="AU135" s="264"/>
      <c r="AV135" s="264"/>
      <c r="AW135" s="264"/>
      <c r="AX135" s="264"/>
      <c r="AY135" s="264"/>
      <c r="AZ135" s="264"/>
      <c r="BA135" s="264"/>
      <c r="BB135" s="264"/>
      <c r="BC135" s="264"/>
      <c r="BD135" s="264"/>
      <c r="BE135" s="264"/>
      <c r="BF135" s="264"/>
      <c r="BG135" s="264"/>
      <c r="BH135" s="264"/>
      <c r="BI135" s="264"/>
      <c r="BJ135" s="264"/>
      <c r="BK135" s="264"/>
      <c r="BL135" s="264"/>
      <c r="BM135" s="264"/>
      <c r="BN135" s="264"/>
      <c r="BO135" s="264"/>
      <c r="BP135" s="264"/>
      <c r="BQ135" s="264"/>
      <c r="BR135" s="264"/>
      <c r="BS135" s="264"/>
      <c r="BT135" s="264"/>
      <c r="BU135" s="264"/>
      <c r="BV135" s="264"/>
      <c r="BW135" s="264"/>
      <c r="BX135" s="264"/>
      <c r="BY135" s="264"/>
      <c r="BZ135" s="264"/>
      <c r="CA135" s="264"/>
      <c r="CB135" s="264"/>
      <c r="CC135" s="264"/>
      <c r="CD135" s="264"/>
      <c r="CE135" s="264"/>
      <c r="CF135" s="264"/>
      <c r="CG135" s="264"/>
      <c r="CH135" s="264"/>
      <c r="CI135" s="264"/>
    </row>
    <row r="136" spans="1:87" customFormat="1">
      <c r="A136" s="254"/>
      <c r="B136" s="255"/>
      <c r="C136" s="255"/>
      <c r="D136" s="256"/>
      <c r="E136" s="255"/>
      <c r="F136" s="255"/>
      <c r="G136" s="255"/>
      <c r="H136" s="255"/>
      <c r="I136" s="255"/>
      <c r="J136" s="255"/>
      <c r="K136" s="255"/>
      <c r="L136" s="255"/>
      <c r="M136" s="257"/>
      <c r="N136" s="255"/>
      <c r="O136" s="255"/>
      <c r="P136" s="256"/>
      <c r="Q136" s="255"/>
      <c r="R136" s="255"/>
      <c r="S136" s="255"/>
      <c r="T136" s="255"/>
      <c r="U136" s="255"/>
      <c r="V136" s="258"/>
      <c r="W136" s="259"/>
      <c r="X136" s="1039"/>
      <c r="Y136" s="255"/>
      <c r="Z136" s="255"/>
      <c r="AA136" s="255"/>
      <c r="AB136" s="255"/>
      <c r="AC136" s="255"/>
      <c r="AD136" s="255"/>
      <c r="AE136" s="255"/>
      <c r="AF136" s="264"/>
      <c r="AG136" s="264"/>
      <c r="AH136" s="264"/>
      <c r="AI136" s="264"/>
      <c r="AJ136" s="264"/>
      <c r="AK136" s="264"/>
      <c r="AL136" s="264"/>
      <c r="AM136" s="264"/>
      <c r="AN136" s="264"/>
      <c r="AO136" s="264"/>
      <c r="AP136" s="264"/>
      <c r="AQ136" s="264"/>
      <c r="AR136" s="264"/>
      <c r="AS136" s="264"/>
      <c r="AT136" s="264"/>
      <c r="AU136" s="264"/>
      <c r="AV136" s="264"/>
      <c r="AW136" s="264"/>
      <c r="AX136" s="264"/>
      <c r="AY136" s="264"/>
      <c r="AZ136" s="264"/>
      <c r="BA136" s="264"/>
      <c r="BB136" s="264"/>
      <c r="BC136" s="264"/>
      <c r="BD136" s="264"/>
      <c r="BE136" s="264"/>
      <c r="BF136" s="264"/>
      <c r="BG136" s="264"/>
      <c r="BH136" s="264"/>
      <c r="BI136" s="264"/>
      <c r="BJ136" s="264"/>
      <c r="BK136" s="264"/>
      <c r="BL136" s="264"/>
      <c r="BM136" s="264"/>
      <c r="BN136" s="264"/>
      <c r="BO136" s="264"/>
      <c r="BP136" s="264"/>
      <c r="BQ136" s="264"/>
      <c r="BR136" s="264"/>
      <c r="BS136" s="264"/>
      <c r="BT136" s="264"/>
      <c r="BU136" s="264"/>
      <c r="BV136" s="264"/>
      <c r="BW136" s="264"/>
      <c r="BX136" s="264"/>
      <c r="BY136" s="264"/>
      <c r="BZ136" s="264"/>
      <c r="CA136" s="264"/>
      <c r="CB136" s="264"/>
      <c r="CC136" s="264"/>
      <c r="CD136" s="264"/>
      <c r="CE136" s="264"/>
      <c r="CF136" s="264"/>
      <c r="CG136" s="264"/>
      <c r="CH136" s="264"/>
      <c r="CI136" s="264"/>
    </row>
    <row r="137" spans="1:87" customFormat="1">
      <c r="A137" s="254"/>
      <c r="B137" s="255"/>
      <c r="C137" s="255"/>
      <c r="D137" s="255"/>
      <c r="E137" s="275"/>
      <c r="F137" s="255"/>
      <c r="G137" s="255"/>
      <c r="H137" s="255"/>
      <c r="I137" s="255"/>
      <c r="J137" s="255"/>
      <c r="K137" s="255"/>
      <c r="L137" s="262"/>
      <c r="M137" s="255"/>
      <c r="N137" s="255"/>
      <c r="O137" s="255"/>
      <c r="P137" s="255"/>
      <c r="Q137" s="255"/>
      <c r="R137" s="256"/>
      <c r="S137" s="255"/>
      <c r="T137" s="255"/>
      <c r="U137" s="257"/>
      <c r="V137" s="258"/>
      <c r="W137" s="259"/>
      <c r="X137" s="1039"/>
      <c r="Y137" s="255"/>
      <c r="Z137" s="255"/>
      <c r="AA137" s="255"/>
      <c r="AB137" s="255"/>
      <c r="AC137" s="255"/>
      <c r="AD137" s="255"/>
      <c r="AE137" s="260"/>
      <c r="AF137" s="264"/>
      <c r="AG137" s="264"/>
      <c r="AH137" s="264"/>
      <c r="AI137" s="264"/>
      <c r="AJ137" s="264"/>
      <c r="AK137" s="264"/>
      <c r="AL137" s="264"/>
      <c r="AM137" s="264"/>
      <c r="AN137" s="264"/>
      <c r="AO137" s="264"/>
      <c r="AP137" s="264"/>
      <c r="AQ137" s="264"/>
      <c r="AR137" s="264"/>
      <c r="AS137" s="264"/>
      <c r="AT137" s="264"/>
      <c r="AU137" s="264"/>
      <c r="AV137" s="264"/>
      <c r="AW137" s="264"/>
      <c r="AX137" s="264"/>
      <c r="AY137" s="264"/>
      <c r="AZ137" s="264"/>
      <c r="BA137" s="264"/>
      <c r="BB137" s="264"/>
      <c r="BC137" s="264"/>
      <c r="BD137" s="264"/>
      <c r="BE137" s="264"/>
      <c r="BF137" s="264"/>
      <c r="BG137" s="264"/>
      <c r="BH137" s="264"/>
      <c r="BI137" s="264"/>
      <c r="BJ137" s="264"/>
      <c r="BK137" s="264"/>
      <c r="BL137" s="264"/>
      <c r="BM137" s="264"/>
      <c r="BN137" s="264"/>
      <c r="BO137" s="264"/>
      <c r="BP137" s="264"/>
      <c r="BQ137" s="264"/>
      <c r="BR137" s="264"/>
      <c r="BS137" s="264"/>
      <c r="BT137" s="264"/>
      <c r="BU137" s="264"/>
      <c r="BV137" s="264"/>
      <c r="BW137" s="264"/>
      <c r="BX137" s="264"/>
      <c r="BY137" s="264"/>
      <c r="BZ137" s="264"/>
      <c r="CA137" s="264"/>
      <c r="CB137" s="264"/>
      <c r="CC137" s="264"/>
      <c r="CD137" s="264"/>
      <c r="CE137" s="264"/>
      <c r="CF137" s="264"/>
      <c r="CG137" s="264"/>
      <c r="CH137" s="264"/>
      <c r="CI137" s="264"/>
    </row>
    <row r="138" spans="1:87" customFormat="1">
      <c r="A138" s="254"/>
      <c r="B138" s="255"/>
      <c r="C138" s="255"/>
      <c r="D138" s="256"/>
      <c r="E138" s="255"/>
      <c r="F138" s="255"/>
      <c r="G138" s="255"/>
      <c r="H138" s="255"/>
      <c r="I138" s="255"/>
      <c r="J138" s="255"/>
      <c r="K138" s="255"/>
      <c r="L138" s="255"/>
      <c r="M138" s="257"/>
      <c r="N138" s="255"/>
      <c r="O138" s="255"/>
      <c r="P138" s="256"/>
      <c r="Q138" s="255"/>
      <c r="R138" s="255"/>
      <c r="S138" s="255"/>
      <c r="T138" s="255"/>
      <c r="U138" s="255"/>
      <c r="V138" s="258"/>
      <c r="W138" s="259"/>
      <c r="X138" s="1039"/>
      <c r="Y138" s="255"/>
      <c r="Z138" s="255"/>
      <c r="AA138" s="255"/>
      <c r="AB138" s="255"/>
      <c r="AC138" s="255"/>
      <c r="AD138" s="255"/>
      <c r="AE138" s="255"/>
      <c r="AF138" s="264"/>
      <c r="AG138" s="264"/>
      <c r="AH138" s="264"/>
      <c r="AI138" s="264"/>
      <c r="AJ138" s="264"/>
      <c r="AK138" s="264"/>
      <c r="AL138" s="264"/>
      <c r="AM138" s="264"/>
      <c r="AN138" s="264"/>
      <c r="AO138" s="264"/>
      <c r="AP138" s="264"/>
      <c r="AQ138" s="264"/>
      <c r="AR138" s="264"/>
      <c r="AS138" s="264"/>
      <c r="AT138" s="264"/>
      <c r="AU138" s="264"/>
      <c r="AV138" s="264"/>
      <c r="AW138" s="264"/>
      <c r="AX138" s="264"/>
      <c r="AY138" s="264"/>
      <c r="AZ138" s="264"/>
      <c r="BA138" s="264"/>
      <c r="BB138" s="264"/>
      <c r="BC138" s="264"/>
      <c r="BD138" s="264"/>
      <c r="BE138" s="264"/>
      <c r="BF138" s="264"/>
      <c r="BG138" s="264"/>
      <c r="BH138" s="264"/>
      <c r="BI138" s="264"/>
      <c r="BJ138" s="264"/>
      <c r="BK138" s="264"/>
      <c r="BL138" s="264"/>
      <c r="BM138" s="264"/>
      <c r="BN138" s="264"/>
      <c r="BO138" s="264"/>
      <c r="BP138" s="264"/>
      <c r="BQ138" s="264"/>
      <c r="BR138" s="264"/>
      <c r="BS138" s="264"/>
      <c r="BT138" s="264"/>
      <c r="BU138" s="264"/>
      <c r="BV138" s="264"/>
      <c r="BW138" s="264"/>
      <c r="BX138" s="264"/>
      <c r="BY138" s="264"/>
      <c r="BZ138" s="264"/>
      <c r="CA138" s="264"/>
      <c r="CB138" s="264"/>
      <c r="CC138" s="264"/>
      <c r="CD138" s="264"/>
      <c r="CE138" s="264"/>
      <c r="CF138" s="264"/>
      <c r="CG138" s="264"/>
      <c r="CH138" s="264"/>
      <c r="CI138" s="264"/>
    </row>
    <row r="139" spans="1:87" customFormat="1">
      <c r="A139" s="254"/>
      <c r="B139" s="255"/>
      <c r="C139" s="255"/>
      <c r="D139" s="255"/>
      <c r="E139" s="275"/>
      <c r="F139" s="255"/>
      <c r="G139" s="255"/>
      <c r="H139" s="255"/>
      <c r="I139" s="255"/>
      <c r="J139" s="255"/>
      <c r="K139" s="255"/>
      <c r="L139" s="262"/>
      <c r="M139" s="255"/>
      <c r="N139" s="255"/>
      <c r="O139" s="255"/>
      <c r="P139" s="255"/>
      <c r="Q139" s="255"/>
      <c r="R139" s="256"/>
      <c r="S139" s="255"/>
      <c r="T139" s="255"/>
      <c r="U139" s="255"/>
      <c r="V139" s="258"/>
      <c r="W139" s="259"/>
      <c r="X139" s="1039"/>
      <c r="Y139" s="255"/>
      <c r="Z139" s="255"/>
      <c r="AA139" s="255"/>
      <c r="AB139" s="255"/>
      <c r="AC139" s="255"/>
      <c r="AD139" s="255"/>
      <c r="AE139" s="260"/>
      <c r="AF139" s="264"/>
      <c r="AG139" s="264"/>
      <c r="AH139" s="264"/>
      <c r="AI139" s="264"/>
      <c r="AJ139" s="264"/>
      <c r="AK139" s="264"/>
      <c r="AL139" s="264"/>
      <c r="AM139" s="264"/>
      <c r="AN139" s="264"/>
      <c r="AO139" s="264"/>
      <c r="AP139" s="264"/>
      <c r="AQ139" s="264"/>
      <c r="AR139" s="264"/>
      <c r="AS139" s="264"/>
      <c r="AT139" s="264"/>
      <c r="AU139" s="264"/>
      <c r="AV139" s="264"/>
      <c r="AW139" s="264"/>
      <c r="AX139" s="264"/>
      <c r="AY139" s="264"/>
      <c r="AZ139" s="264"/>
      <c r="BA139" s="264"/>
      <c r="BB139" s="264"/>
      <c r="BC139" s="264"/>
      <c r="BD139" s="264"/>
      <c r="BE139" s="264"/>
      <c r="BF139" s="264"/>
      <c r="BG139" s="264"/>
      <c r="BH139" s="264"/>
      <c r="BI139" s="264"/>
      <c r="BJ139" s="264"/>
      <c r="BK139" s="264"/>
      <c r="BL139" s="264"/>
      <c r="BM139" s="264"/>
      <c r="BN139" s="264"/>
      <c r="BO139" s="264"/>
      <c r="BP139" s="264"/>
      <c r="BQ139" s="264"/>
      <c r="BR139" s="264"/>
      <c r="BS139" s="264"/>
      <c r="BT139" s="264"/>
      <c r="BU139" s="264"/>
      <c r="BV139" s="264"/>
      <c r="BW139" s="264"/>
      <c r="BX139" s="264"/>
      <c r="BY139" s="264"/>
      <c r="BZ139" s="264"/>
      <c r="CA139" s="264"/>
      <c r="CB139" s="264"/>
      <c r="CC139" s="264"/>
      <c r="CD139" s="264"/>
      <c r="CE139" s="264"/>
      <c r="CF139" s="264"/>
      <c r="CG139" s="264"/>
      <c r="CH139" s="264"/>
      <c r="CI139" s="264"/>
    </row>
    <row r="140" spans="1:87" customFormat="1">
      <c r="A140" s="254"/>
      <c r="B140" s="255"/>
      <c r="C140" s="255"/>
      <c r="D140" s="256"/>
      <c r="E140" s="255"/>
      <c r="F140" s="255"/>
      <c r="G140" s="255"/>
      <c r="H140" s="255"/>
      <c r="I140" s="255"/>
      <c r="J140" s="255"/>
      <c r="K140" s="255"/>
      <c r="L140" s="255"/>
      <c r="M140" s="257"/>
      <c r="N140" s="255"/>
      <c r="O140" s="255"/>
      <c r="P140" s="256"/>
      <c r="Q140" s="255"/>
      <c r="R140" s="255"/>
      <c r="S140" s="255"/>
      <c r="T140" s="255"/>
      <c r="U140" s="255"/>
      <c r="V140" s="258"/>
      <c r="W140" s="259"/>
      <c r="X140" s="1039"/>
      <c r="Y140" s="255"/>
      <c r="Z140" s="255"/>
      <c r="AA140" s="255"/>
      <c r="AB140" s="255"/>
      <c r="AC140" s="255"/>
      <c r="AD140" s="255"/>
      <c r="AE140" s="255"/>
      <c r="AF140" s="264"/>
      <c r="AG140" s="264"/>
      <c r="AH140" s="264"/>
      <c r="AI140" s="264"/>
      <c r="AJ140" s="264"/>
      <c r="AK140" s="264"/>
      <c r="AL140" s="264"/>
      <c r="AM140" s="264"/>
      <c r="AN140" s="264"/>
      <c r="AO140" s="264"/>
      <c r="AP140" s="264"/>
      <c r="AQ140" s="264"/>
      <c r="AR140" s="264"/>
      <c r="AS140" s="264"/>
      <c r="AT140" s="264"/>
      <c r="AU140" s="264"/>
      <c r="AV140" s="264"/>
      <c r="AW140" s="264"/>
      <c r="AX140" s="264"/>
      <c r="AY140" s="264"/>
      <c r="AZ140" s="264"/>
      <c r="BA140" s="264"/>
      <c r="BB140" s="264"/>
      <c r="BC140" s="264"/>
      <c r="BD140" s="264"/>
      <c r="BE140" s="264"/>
      <c r="BF140" s="264"/>
      <c r="BG140" s="264"/>
      <c r="BH140" s="264"/>
      <c r="BI140" s="264"/>
      <c r="BJ140" s="264"/>
      <c r="BK140" s="264"/>
      <c r="BL140" s="264"/>
      <c r="BM140" s="264"/>
      <c r="BN140" s="264"/>
      <c r="BO140" s="264"/>
      <c r="BP140" s="264"/>
      <c r="BQ140" s="264"/>
      <c r="BR140" s="264"/>
      <c r="BS140" s="264"/>
      <c r="BT140" s="264"/>
      <c r="BU140" s="264"/>
      <c r="BV140" s="264"/>
      <c r="BW140" s="264"/>
      <c r="BX140" s="264"/>
      <c r="BY140" s="264"/>
      <c r="BZ140" s="264"/>
      <c r="CA140" s="264"/>
      <c r="CB140" s="264"/>
      <c r="CC140" s="264"/>
      <c r="CD140" s="264"/>
      <c r="CE140" s="264"/>
      <c r="CF140" s="264"/>
      <c r="CG140" s="264"/>
      <c r="CH140" s="264"/>
      <c r="CI140" s="264"/>
    </row>
    <row r="141" spans="1:87" customFormat="1">
      <c r="A141" s="254"/>
      <c r="B141" s="255"/>
      <c r="C141" s="255"/>
      <c r="D141" s="256"/>
      <c r="E141" s="275"/>
      <c r="F141" s="256"/>
      <c r="G141" s="255"/>
      <c r="H141" s="256"/>
      <c r="I141" s="255"/>
      <c r="J141" s="255"/>
      <c r="K141" s="255"/>
      <c r="L141" s="262"/>
      <c r="M141" s="256"/>
      <c r="N141" s="255"/>
      <c r="O141" s="255"/>
      <c r="P141" s="256"/>
      <c r="Q141" s="256"/>
      <c r="R141" s="256"/>
      <c r="S141" s="255"/>
      <c r="T141" s="255"/>
      <c r="U141" s="255"/>
      <c r="V141" s="255"/>
      <c r="W141" s="259"/>
      <c r="X141" s="1039"/>
      <c r="Y141" s="255"/>
      <c r="Z141" s="255"/>
      <c r="AA141" s="255"/>
      <c r="AB141" s="255"/>
      <c r="AC141" s="255"/>
      <c r="AD141" s="255"/>
      <c r="AE141" s="260"/>
      <c r="AF141" s="264"/>
      <c r="AG141" s="264"/>
      <c r="AH141" s="264"/>
      <c r="AI141" s="264"/>
      <c r="AJ141" s="264"/>
      <c r="AK141" s="264"/>
      <c r="AL141" s="264"/>
      <c r="AM141" s="264"/>
      <c r="AN141" s="264"/>
      <c r="AO141" s="264"/>
      <c r="AP141" s="264"/>
      <c r="AQ141" s="264"/>
      <c r="AR141" s="264"/>
      <c r="AS141" s="264"/>
      <c r="AT141" s="264"/>
      <c r="AU141" s="264"/>
      <c r="AV141" s="264"/>
      <c r="AW141" s="264"/>
      <c r="AX141" s="264"/>
      <c r="AY141" s="264"/>
      <c r="AZ141" s="264"/>
      <c r="BA141" s="264"/>
      <c r="BB141" s="264"/>
      <c r="BC141" s="264"/>
      <c r="BD141" s="264"/>
      <c r="BE141" s="264"/>
      <c r="BF141" s="264"/>
      <c r="BG141" s="264"/>
      <c r="BH141" s="264"/>
      <c r="BI141" s="264"/>
      <c r="BJ141" s="264"/>
      <c r="BK141" s="264"/>
      <c r="BL141" s="264"/>
      <c r="BM141" s="264"/>
      <c r="BN141" s="264"/>
      <c r="BO141" s="264"/>
      <c r="BP141" s="264"/>
      <c r="BQ141" s="264"/>
      <c r="BR141" s="264"/>
      <c r="BS141" s="264"/>
      <c r="BT141" s="264"/>
      <c r="BU141" s="264"/>
      <c r="BV141" s="264"/>
      <c r="BW141" s="264"/>
      <c r="BX141" s="264"/>
      <c r="BY141" s="264"/>
      <c r="BZ141" s="264"/>
      <c r="CA141" s="264"/>
      <c r="CB141" s="264"/>
      <c r="CC141" s="264"/>
      <c r="CD141" s="264"/>
      <c r="CE141" s="264"/>
      <c r="CF141" s="264"/>
      <c r="CG141" s="264"/>
      <c r="CH141" s="264"/>
      <c r="CI141" s="264"/>
    </row>
    <row r="142" spans="1:87" customFormat="1">
      <c r="A142" s="254"/>
      <c r="B142" s="255"/>
      <c r="C142" s="255"/>
      <c r="D142" s="256"/>
      <c r="E142" s="255"/>
      <c r="F142" s="255"/>
      <c r="G142" s="255"/>
      <c r="H142" s="255"/>
      <c r="I142" s="255"/>
      <c r="J142" s="255"/>
      <c r="K142" s="255"/>
      <c r="L142" s="255"/>
      <c r="M142" s="257"/>
      <c r="N142" s="255"/>
      <c r="O142" s="255"/>
      <c r="P142" s="256"/>
      <c r="Q142" s="255"/>
      <c r="R142" s="255"/>
      <c r="S142" s="255"/>
      <c r="T142" s="255"/>
      <c r="U142" s="255"/>
      <c r="V142" s="258"/>
      <c r="W142" s="259"/>
      <c r="X142" s="1039"/>
      <c r="Y142" s="255"/>
      <c r="Z142" s="255"/>
      <c r="AA142" s="255"/>
      <c r="AB142" s="255"/>
      <c r="AC142" s="255"/>
      <c r="AD142" s="255"/>
      <c r="AE142" s="255"/>
      <c r="AF142" s="264"/>
      <c r="AG142" s="264"/>
      <c r="AH142" s="264"/>
      <c r="AI142" s="264"/>
      <c r="AJ142" s="264"/>
      <c r="AK142" s="264"/>
      <c r="AL142" s="264"/>
      <c r="AM142" s="264"/>
      <c r="AN142" s="264"/>
      <c r="AO142" s="264"/>
      <c r="AP142" s="264"/>
      <c r="AQ142" s="264"/>
      <c r="AR142" s="264"/>
      <c r="AS142" s="264"/>
      <c r="AT142" s="264"/>
      <c r="AU142" s="264"/>
      <c r="AV142" s="264"/>
      <c r="AW142" s="264"/>
      <c r="AX142" s="264"/>
      <c r="AY142" s="264"/>
      <c r="AZ142" s="264"/>
      <c r="BA142" s="264"/>
      <c r="BB142" s="264"/>
      <c r="BC142" s="264"/>
      <c r="BD142" s="264"/>
      <c r="BE142" s="264"/>
      <c r="BF142" s="264"/>
      <c r="BG142" s="264"/>
      <c r="BH142" s="264"/>
      <c r="BI142" s="264"/>
      <c r="BJ142" s="264"/>
      <c r="BK142" s="264"/>
      <c r="BL142" s="264"/>
      <c r="BM142" s="264"/>
      <c r="BN142" s="264"/>
      <c r="BO142" s="264"/>
      <c r="BP142" s="264"/>
      <c r="BQ142" s="264"/>
      <c r="BR142" s="264"/>
      <c r="BS142" s="264"/>
      <c r="BT142" s="264"/>
      <c r="BU142" s="264"/>
      <c r="BV142" s="264"/>
      <c r="BW142" s="264"/>
      <c r="BX142" s="264"/>
      <c r="BY142" s="264"/>
      <c r="BZ142" s="264"/>
      <c r="CA142" s="264"/>
      <c r="CB142" s="264"/>
      <c r="CC142" s="264"/>
      <c r="CD142" s="264"/>
      <c r="CE142" s="264"/>
      <c r="CF142" s="264"/>
      <c r="CG142" s="264"/>
      <c r="CH142" s="264"/>
      <c r="CI142" s="264"/>
    </row>
    <row r="143" spans="1:87" customFormat="1">
      <c r="A143" s="254"/>
      <c r="B143" s="255"/>
      <c r="C143" s="255"/>
      <c r="D143" s="256"/>
      <c r="E143" s="275"/>
      <c r="F143" s="256"/>
      <c r="G143" s="272"/>
      <c r="H143" s="256"/>
      <c r="I143" s="255"/>
      <c r="J143" s="255"/>
      <c r="K143" s="255"/>
      <c r="L143" s="262"/>
      <c r="M143" s="255"/>
      <c r="N143" s="255"/>
      <c r="O143" s="255"/>
      <c r="P143" s="255"/>
      <c r="Q143" s="255"/>
      <c r="R143" s="256"/>
      <c r="S143" s="255"/>
      <c r="T143" s="255"/>
      <c r="U143" s="255"/>
      <c r="V143" s="279"/>
      <c r="W143" s="259"/>
      <c r="X143" s="1039"/>
      <c r="Y143" s="255"/>
      <c r="Z143" s="255"/>
      <c r="AA143" s="255"/>
      <c r="AB143" s="255"/>
      <c r="AC143" s="255"/>
      <c r="AD143" s="255"/>
      <c r="AE143" s="260"/>
      <c r="AF143" s="264"/>
      <c r="AG143" s="264"/>
      <c r="AH143" s="264"/>
      <c r="AI143" s="264"/>
      <c r="AJ143" s="264"/>
      <c r="AK143" s="264"/>
      <c r="AL143" s="264"/>
      <c r="AM143" s="264"/>
      <c r="AN143" s="264"/>
      <c r="AO143" s="264"/>
      <c r="AP143" s="264"/>
      <c r="AQ143" s="264"/>
      <c r="AR143" s="264"/>
      <c r="AS143" s="264"/>
      <c r="AT143" s="264"/>
      <c r="AU143" s="264"/>
      <c r="AV143" s="264"/>
      <c r="AW143" s="264"/>
      <c r="AX143" s="264"/>
      <c r="AY143" s="264"/>
      <c r="AZ143" s="264"/>
      <c r="BA143" s="264"/>
      <c r="BB143" s="264"/>
      <c r="BC143" s="264"/>
      <c r="BD143" s="264"/>
      <c r="BE143" s="264"/>
      <c r="BF143" s="264"/>
      <c r="BG143" s="264"/>
      <c r="BH143" s="264"/>
      <c r="BI143" s="264"/>
      <c r="BJ143" s="264"/>
      <c r="BK143" s="264"/>
      <c r="BL143" s="264"/>
      <c r="BM143" s="264"/>
      <c r="BN143" s="264"/>
      <c r="BO143" s="264"/>
      <c r="BP143" s="264"/>
      <c r="BQ143" s="264"/>
      <c r="BR143" s="264"/>
      <c r="BS143" s="264"/>
      <c r="BT143" s="264"/>
      <c r="BU143" s="264"/>
      <c r="BV143" s="264"/>
      <c r="BW143" s="264"/>
      <c r="BX143" s="264"/>
      <c r="BY143" s="264"/>
      <c r="BZ143" s="264"/>
      <c r="CA143" s="264"/>
      <c r="CB143" s="264"/>
      <c r="CC143" s="264"/>
      <c r="CD143" s="264"/>
      <c r="CE143" s="264"/>
      <c r="CF143" s="264"/>
      <c r="CG143" s="264"/>
      <c r="CH143" s="264"/>
      <c r="CI143" s="264"/>
    </row>
    <row r="144" spans="1:87" customFormat="1">
      <c r="A144" s="254"/>
      <c r="B144" s="255"/>
      <c r="C144" s="255"/>
      <c r="D144" s="256"/>
      <c r="E144" s="255"/>
      <c r="F144" s="255"/>
      <c r="G144" s="255"/>
      <c r="H144" s="255"/>
      <c r="I144" s="255"/>
      <c r="J144" s="255"/>
      <c r="K144" s="255"/>
      <c r="L144" s="255"/>
      <c r="M144" s="257"/>
      <c r="N144" s="255"/>
      <c r="O144" s="255"/>
      <c r="P144" s="256"/>
      <c r="Q144" s="255"/>
      <c r="R144" s="255"/>
      <c r="S144" s="255"/>
      <c r="T144" s="255"/>
      <c r="U144" s="255"/>
      <c r="V144" s="258"/>
      <c r="W144" s="259"/>
      <c r="X144" s="1039"/>
      <c r="Y144" s="255"/>
      <c r="Z144" s="255"/>
      <c r="AA144" s="255"/>
      <c r="AB144" s="255"/>
      <c r="AC144" s="255"/>
      <c r="AD144" s="255"/>
      <c r="AE144" s="255"/>
      <c r="AF144" s="264"/>
      <c r="AG144" s="264"/>
      <c r="AH144" s="264"/>
      <c r="AI144" s="264"/>
      <c r="AJ144" s="264"/>
      <c r="AK144" s="264"/>
      <c r="AL144" s="264"/>
      <c r="AM144" s="264"/>
      <c r="AN144" s="264"/>
      <c r="AO144" s="264"/>
      <c r="AP144" s="264"/>
      <c r="AQ144" s="264"/>
      <c r="AR144" s="264"/>
      <c r="AS144" s="264"/>
      <c r="AT144" s="264"/>
      <c r="AU144" s="264"/>
      <c r="AV144" s="264"/>
      <c r="AW144" s="264"/>
      <c r="AX144" s="264"/>
      <c r="AY144" s="264"/>
      <c r="AZ144" s="264"/>
      <c r="BA144" s="264"/>
      <c r="BB144" s="264"/>
      <c r="BC144" s="264"/>
      <c r="BD144" s="264"/>
      <c r="BE144" s="264"/>
      <c r="BF144" s="264"/>
      <c r="BG144" s="264"/>
      <c r="BH144" s="264"/>
      <c r="BI144" s="264"/>
      <c r="BJ144" s="264"/>
      <c r="BK144" s="264"/>
      <c r="BL144" s="264"/>
      <c r="BM144" s="264"/>
      <c r="BN144" s="264"/>
      <c r="BO144" s="264"/>
      <c r="BP144" s="264"/>
      <c r="BQ144" s="264"/>
      <c r="BR144" s="264"/>
      <c r="BS144" s="264"/>
      <c r="BT144" s="264"/>
      <c r="BU144" s="264"/>
      <c r="BV144" s="264"/>
      <c r="BW144" s="264"/>
      <c r="BX144" s="264"/>
      <c r="BY144" s="264"/>
      <c r="BZ144" s="264"/>
      <c r="CA144" s="264"/>
      <c r="CB144" s="264"/>
      <c r="CC144" s="264"/>
      <c r="CD144" s="264"/>
      <c r="CE144" s="264"/>
      <c r="CF144" s="264"/>
      <c r="CG144" s="264"/>
      <c r="CH144" s="264"/>
      <c r="CI144" s="264"/>
    </row>
    <row r="145" spans="1:87" customFormat="1">
      <c r="A145" s="280"/>
      <c r="B145" s="257"/>
      <c r="C145" s="266"/>
      <c r="D145" s="257"/>
      <c r="E145" s="257"/>
      <c r="F145" s="266"/>
      <c r="G145" s="272"/>
      <c r="H145" s="257"/>
      <c r="I145" s="257"/>
      <c r="J145" s="257"/>
      <c r="K145" s="257"/>
      <c r="L145" s="255"/>
      <c r="M145" s="257"/>
      <c r="N145" s="255"/>
      <c r="O145" s="257"/>
      <c r="P145" s="257"/>
      <c r="Q145" s="257"/>
      <c r="R145" s="255"/>
      <c r="S145" s="255"/>
      <c r="T145" s="255"/>
      <c r="U145" s="257"/>
      <c r="V145" s="258"/>
      <c r="W145" s="259"/>
      <c r="X145" s="1039"/>
      <c r="Y145" s="255"/>
      <c r="Z145" s="255"/>
      <c r="AA145" s="255"/>
      <c r="AB145" s="276"/>
      <c r="AC145" s="255"/>
      <c r="AD145" s="255"/>
      <c r="AE145" s="260"/>
      <c r="AF145" s="264"/>
      <c r="AG145" s="264"/>
      <c r="AH145" s="264"/>
      <c r="AI145" s="264"/>
      <c r="AJ145" s="264"/>
      <c r="AK145" s="264"/>
      <c r="AL145" s="264"/>
      <c r="AM145" s="264"/>
      <c r="AN145" s="264"/>
      <c r="AO145" s="264"/>
      <c r="AP145" s="264"/>
      <c r="AQ145" s="264"/>
      <c r="AR145" s="264"/>
      <c r="AS145" s="264"/>
      <c r="AT145" s="264"/>
      <c r="AU145" s="264"/>
      <c r="AV145" s="264"/>
      <c r="AW145" s="264"/>
      <c r="AX145" s="264"/>
      <c r="AY145" s="264"/>
      <c r="AZ145" s="264"/>
      <c r="BA145" s="264"/>
      <c r="BB145" s="264"/>
      <c r="BC145" s="264"/>
      <c r="BD145" s="264"/>
      <c r="BE145" s="264"/>
      <c r="BF145" s="264"/>
      <c r="BG145" s="264"/>
      <c r="BH145" s="264"/>
      <c r="BI145" s="264"/>
      <c r="BJ145" s="264"/>
      <c r="BK145" s="264"/>
      <c r="BL145" s="264"/>
      <c r="BM145" s="264"/>
      <c r="BN145" s="264"/>
      <c r="BO145" s="264"/>
      <c r="BP145" s="264"/>
      <c r="BQ145" s="264"/>
      <c r="BR145" s="264"/>
      <c r="BS145" s="264"/>
      <c r="BT145" s="264"/>
      <c r="BU145" s="264"/>
      <c r="BV145" s="264"/>
      <c r="BW145" s="264"/>
      <c r="BX145" s="264"/>
      <c r="BY145" s="264"/>
      <c r="BZ145" s="264"/>
      <c r="CA145" s="264"/>
      <c r="CB145" s="264"/>
      <c r="CC145" s="264"/>
      <c r="CD145" s="264"/>
      <c r="CE145" s="264"/>
      <c r="CF145" s="264"/>
      <c r="CG145" s="264"/>
      <c r="CH145" s="264"/>
      <c r="CI145" s="264"/>
    </row>
    <row r="146" spans="1:87" customFormat="1">
      <c r="A146" s="254"/>
      <c r="B146" s="255"/>
      <c r="C146" s="255"/>
      <c r="D146" s="256"/>
      <c r="E146" s="255"/>
      <c r="F146" s="255"/>
      <c r="G146" s="255"/>
      <c r="H146" s="255"/>
      <c r="I146" s="255"/>
      <c r="J146" s="255"/>
      <c r="K146" s="255"/>
      <c r="L146" s="255"/>
      <c r="M146" s="257"/>
      <c r="N146" s="255"/>
      <c r="O146" s="255"/>
      <c r="P146" s="256"/>
      <c r="Q146" s="255"/>
      <c r="R146" s="255"/>
      <c r="S146" s="255"/>
      <c r="T146" s="255"/>
      <c r="U146" s="255"/>
      <c r="V146" s="258"/>
      <c r="W146" s="259"/>
      <c r="X146" s="1039"/>
      <c r="Y146" s="255"/>
      <c r="Z146" s="255"/>
      <c r="AA146" s="255"/>
      <c r="AB146" s="255"/>
      <c r="AC146" s="255"/>
      <c r="AD146" s="255"/>
      <c r="AE146" s="255"/>
      <c r="AF146" s="264"/>
      <c r="AG146" s="264"/>
      <c r="AH146" s="264"/>
      <c r="AI146" s="264"/>
      <c r="AJ146" s="264"/>
      <c r="AK146" s="264"/>
      <c r="AL146" s="264"/>
      <c r="AM146" s="264"/>
      <c r="AN146" s="264"/>
      <c r="AO146" s="264"/>
      <c r="AP146" s="264"/>
      <c r="AQ146" s="264"/>
      <c r="AR146" s="264"/>
      <c r="AS146" s="264"/>
      <c r="AT146" s="264"/>
      <c r="AU146" s="264"/>
      <c r="AV146" s="264"/>
      <c r="AW146" s="264"/>
      <c r="AX146" s="264"/>
      <c r="AY146" s="264"/>
      <c r="AZ146" s="264"/>
      <c r="BA146" s="264"/>
      <c r="BB146" s="264"/>
      <c r="BC146" s="264"/>
      <c r="BD146" s="264"/>
      <c r="BE146" s="264"/>
      <c r="BF146" s="264"/>
      <c r="BG146" s="264"/>
      <c r="BH146" s="264"/>
      <c r="BI146" s="264"/>
      <c r="BJ146" s="264"/>
      <c r="BK146" s="264"/>
      <c r="BL146" s="264"/>
      <c r="BM146" s="264"/>
      <c r="BN146" s="264"/>
      <c r="BO146" s="264"/>
      <c r="BP146" s="264"/>
      <c r="BQ146" s="264"/>
      <c r="BR146" s="264"/>
      <c r="BS146" s="264"/>
      <c r="BT146" s="264"/>
      <c r="BU146" s="264"/>
      <c r="BV146" s="264"/>
      <c r="BW146" s="264"/>
      <c r="BX146" s="264"/>
      <c r="BY146" s="264"/>
      <c r="BZ146" s="264"/>
      <c r="CA146" s="264"/>
      <c r="CB146" s="264"/>
      <c r="CC146" s="264"/>
      <c r="CD146" s="264"/>
      <c r="CE146" s="264"/>
      <c r="CF146" s="264"/>
      <c r="CG146" s="264"/>
      <c r="CH146" s="264"/>
      <c r="CI146" s="264"/>
    </row>
    <row r="147" spans="1:87" customFormat="1">
      <c r="A147" s="280"/>
      <c r="B147" s="257"/>
      <c r="C147" s="266"/>
      <c r="D147" s="257"/>
      <c r="E147" s="274"/>
      <c r="F147" s="266"/>
      <c r="G147" s="272"/>
      <c r="H147" s="266"/>
      <c r="I147" s="257"/>
      <c r="J147" s="257"/>
      <c r="K147" s="257"/>
      <c r="L147" s="262"/>
      <c r="M147" s="257"/>
      <c r="N147" s="255"/>
      <c r="O147" s="257"/>
      <c r="P147" s="257"/>
      <c r="Q147" s="257"/>
      <c r="R147" s="256"/>
      <c r="S147" s="255"/>
      <c r="T147" s="255"/>
      <c r="U147" s="257"/>
      <c r="V147" s="258"/>
      <c r="W147" s="259"/>
      <c r="X147" s="1039"/>
      <c r="Y147" s="255"/>
      <c r="Z147" s="255"/>
      <c r="AA147" s="255"/>
      <c r="AB147" s="255"/>
      <c r="AC147" s="255"/>
      <c r="AD147" s="255"/>
      <c r="AE147" s="260"/>
      <c r="AF147" s="264"/>
      <c r="AG147" s="264"/>
      <c r="AH147" s="264"/>
      <c r="AI147" s="264"/>
      <c r="AJ147" s="264"/>
      <c r="AK147" s="264"/>
      <c r="AL147" s="264"/>
      <c r="AM147" s="264"/>
      <c r="AN147" s="264"/>
      <c r="AO147" s="264"/>
      <c r="AP147" s="264"/>
      <c r="AQ147" s="264"/>
      <c r="AR147" s="264"/>
      <c r="AS147" s="264"/>
      <c r="AT147" s="264"/>
      <c r="AU147" s="264"/>
      <c r="AV147" s="264"/>
      <c r="AW147" s="264"/>
      <c r="AX147" s="264"/>
      <c r="AY147" s="264"/>
      <c r="AZ147" s="264"/>
      <c r="BA147" s="264"/>
      <c r="BB147" s="264"/>
      <c r="BC147" s="264"/>
      <c r="BD147" s="264"/>
      <c r="BE147" s="264"/>
      <c r="BF147" s="264"/>
      <c r="BG147" s="264"/>
      <c r="BH147" s="264"/>
      <c r="BI147" s="264"/>
      <c r="BJ147" s="264"/>
      <c r="BK147" s="264"/>
      <c r="BL147" s="264"/>
      <c r="BM147" s="264"/>
      <c r="BN147" s="264"/>
      <c r="BO147" s="264"/>
      <c r="BP147" s="264"/>
      <c r="BQ147" s="264"/>
      <c r="BR147" s="264"/>
      <c r="BS147" s="264"/>
      <c r="BT147" s="264"/>
      <c r="BU147" s="264"/>
      <c r="BV147" s="264"/>
      <c r="BW147" s="264"/>
      <c r="BX147" s="264"/>
      <c r="BY147" s="264"/>
      <c r="BZ147" s="264"/>
      <c r="CA147" s="264"/>
      <c r="CB147" s="264"/>
      <c r="CC147" s="264"/>
      <c r="CD147" s="264"/>
      <c r="CE147" s="264"/>
      <c r="CF147" s="264"/>
      <c r="CG147" s="264"/>
      <c r="CH147" s="264"/>
      <c r="CI147" s="264"/>
    </row>
    <row r="148" spans="1:87" customFormat="1">
      <c r="A148" s="254"/>
      <c r="B148" s="255"/>
      <c r="C148" s="255"/>
      <c r="D148" s="256"/>
      <c r="E148" s="255"/>
      <c r="F148" s="255"/>
      <c r="G148" s="255"/>
      <c r="H148" s="255"/>
      <c r="I148" s="255"/>
      <c r="J148" s="255"/>
      <c r="K148" s="255"/>
      <c r="L148" s="255"/>
      <c r="M148" s="257"/>
      <c r="N148" s="255"/>
      <c r="O148" s="255"/>
      <c r="P148" s="256"/>
      <c r="Q148" s="255"/>
      <c r="R148" s="255"/>
      <c r="S148" s="255"/>
      <c r="T148" s="255"/>
      <c r="U148" s="255"/>
      <c r="V148" s="258"/>
      <c r="W148" s="259"/>
      <c r="X148" s="1039"/>
      <c r="Y148" s="255"/>
      <c r="Z148" s="255"/>
      <c r="AA148" s="255"/>
      <c r="AB148" s="255"/>
      <c r="AC148" s="255"/>
      <c r="AD148" s="255"/>
      <c r="AE148" s="255"/>
      <c r="AF148" s="264"/>
      <c r="AG148" s="264"/>
      <c r="AH148" s="264"/>
      <c r="AI148" s="264"/>
      <c r="AJ148" s="264"/>
      <c r="AK148" s="264"/>
      <c r="AL148" s="264"/>
      <c r="AM148" s="264"/>
      <c r="AN148" s="264"/>
      <c r="AO148" s="264"/>
      <c r="AP148" s="264"/>
      <c r="AQ148" s="264"/>
      <c r="AR148" s="264"/>
      <c r="AS148" s="264"/>
      <c r="AT148" s="264"/>
      <c r="AU148" s="264"/>
      <c r="AV148" s="264"/>
      <c r="AW148" s="264"/>
      <c r="AX148" s="264"/>
      <c r="AY148" s="264"/>
      <c r="AZ148" s="264"/>
      <c r="BA148" s="264"/>
      <c r="BB148" s="264"/>
      <c r="BC148" s="264"/>
      <c r="BD148" s="264"/>
      <c r="BE148" s="264"/>
      <c r="BF148" s="264"/>
      <c r="BG148" s="264"/>
      <c r="BH148" s="264"/>
      <c r="BI148" s="264"/>
      <c r="BJ148" s="264"/>
      <c r="BK148" s="264"/>
      <c r="BL148" s="264"/>
      <c r="BM148" s="264"/>
      <c r="BN148" s="264"/>
      <c r="BO148" s="264"/>
      <c r="BP148" s="264"/>
      <c r="BQ148" s="264"/>
      <c r="BR148" s="264"/>
      <c r="BS148" s="264"/>
      <c r="BT148" s="264"/>
      <c r="BU148" s="264"/>
      <c r="BV148" s="264"/>
      <c r="BW148" s="264"/>
      <c r="BX148" s="264"/>
      <c r="BY148" s="264"/>
      <c r="BZ148" s="264"/>
      <c r="CA148" s="264"/>
      <c r="CB148" s="264"/>
      <c r="CC148" s="264"/>
      <c r="CD148" s="264"/>
      <c r="CE148" s="264"/>
      <c r="CF148" s="264"/>
      <c r="CG148" s="264"/>
      <c r="CH148" s="264"/>
      <c r="CI148" s="264"/>
    </row>
    <row r="149" spans="1:87" customFormat="1">
      <c r="A149" s="280"/>
      <c r="B149" s="257"/>
      <c r="C149" s="266"/>
      <c r="D149" s="257"/>
      <c r="E149" s="274"/>
      <c r="F149" s="266"/>
      <c r="G149" s="272"/>
      <c r="H149" s="266"/>
      <c r="I149" s="257"/>
      <c r="J149" s="257"/>
      <c r="K149" s="257"/>
      <c r="L149" s="262"/>
      <c r="M149" s="257"/>
      <c r="N149" s="255"/>
      <c r="O149" s="257"/>
      <c r="P149" s="257"/>
      <c r="Q149" s="257"/>
      <c r="R149" s="255"/>
      <c r="S149" s="255"/>
      <c r="T149" s="255"/>
      <c r="U149" s="257"/>
      <c r="V149" s="278"/>
      <c r="W149" s="259"/>
      <c r="X149" s="1039"/>
      <c r="Y149" s="255"/>
      <c r="Z149" s="255"/>
      <c r="AA149" s="255"/>
      <c r="AB149" s="255"/>
      <c r="AC149" s="255"/>
      <c r="AD149" s="255"/>
      <c r="AE149" s="260"/>
      <c r="AF149" s="264"/>
      <c r="AG149" s="264"/>
      <c r="AH149" s="264"/>
      <c r="AI149" s="264"/>
      <c r="AJ149" s="264"/>
      <c r="AK149" s="264"/>
      <c r="AL149" s="264"/>
      <c r="AM149" s="264"/>
      <c r="AN149" s="264"/>
      <c r="AO149" s="264"/>
      <c r="AP149" s="264"/>
      <c r="AQ149" s="264"/>
      <c r="AR149" s="264"/>
      <c r="AS149" s="264"/>
      <c r="AT149" s="264"/>
      <c r="AU149" s="264"/>
      <c r="AV149" s="264"/>
      <c r="AW149" s="264"/>
      <c r="AX149" s="264"/>
      <c r="AY149" s="264"/>
      <c r="AZ149" s="264"/>
      <c r="BA149" s="264"/>
      <c r="BB149" s="264"/>
      <c r="BC149" s="264"/>
      <c r="BD149" s="264"/>
      <c r="BE149" s="264"/>
      <c r="BF149" s="264"/>
      <c r="BG149" s="264"/>
      <c r="BH149" s="264"/>
      <c r="BI149" s="264"/>
      <c r="BJ149" s="264"/>
      <c r="BK149" s="264"/>
      <c r="BL149" s="264"/>
      <c r="BM149" s="264"/>
      <c r="BN149" s="264"/>
      <c r="BO149" s="264"/>
      <c r="BP149" s="264"/>
      <c r="BQ149" s="264"/>
      <c r="BR149" s="264"/>
      <c r="BS149" s="264"/>
      <c r="BT149" s="264"/>
      <c r="BU149" s="264"/>
      <c r="BV149" s="264"/>
      <c r="BW149" s="264"/>
      <c r="BX149" s="264"/>
      <c r="BY149" s="264"/>
      <c r="BZ149" s="264"/>
      <c r="CA149" s="264"/>
      <c r="CB149" s="264"/>
      <c r="CC149" s="264"/>
      <c r="CD149" s="264"/>
      <c r="CE149" s="264"/>
      <c r="CF149" s="264"/>
      <c r="CG149" s="264"/>
      <c r="CH149" s="264"/>
      <c r="CI149" s="264"/>
    </row>
    <row r="150" spans="1:87" customFormat="1">
      <c r="A150" s="280"/>
      <c r="B150" s="280"/>
      <c r="C150" s="266"/>
      <c r="D150" s="257"/>
      <c r="E150" s="281"/>
      <c r="F150" s="266"/>
      <c r="G150" s="272"/>
      <c r="H150" s="266"/>
      <c r="I150" s="257"/>
      <c r="J150" s="257"/>
      <c r="K150" s="257"/>
      <c r="L150" s="262"/>
      <c r="M150" s="257"/>
      <c r="N150" s="255"/>
      <c r="O150" s="257"/>
      <c r="P150" s="257"/>
      <c r="Q150" s="257"/>
      <c r="R150" s="256"/>
      <c r="S150" s="255"/>
      <c r="T150" s="255"/>
      <c r="U150" s="257"/>
      <c r="V150" s="258"/>
      <c r="W150" s="259"/>
      <c r="X150" s="1039"/>
      <c r="Y150" s="255"/>
      <c r="Z150" s="255"/>
      <c r="AA150" s="255"/>
      <c r="AB150" s="255"/>
      <c r="AC150" s="255"/>
      <c r="AD150" s="255"/>
      <c r="AE150" s="260"/>
      <c r="AF150" s="264"/>
      <c r="AG150" s="264"/>
      <c r="AH150" s="264"/>
      <c r="AI150" s="264"/>
      <c r="AJ150" s="264"/>
      <c r="AK150" s="264"/>
      <c r="AL150" s="264"/>
      <c r="AM150" s="264"/>
      <c r="AN150" s="264"/>
      <c r="AO150" s="264"/>
      <c r="AP150" s="264"/>
      <c r="AQ150" s="264"/>
      <c r="AR150" s="264"/>
      <c r="AS150" s="264"/>
      <c r="AT150" s="264"/>
      <c r="AU150" s="264"/>
      <c r="AV150" s="264"/>
      <c r="AW150" s="264"/>
      <c r="AX150" s="264"/>
      <c r="AY150" s="264"/>
      <c r="AZ150" s="264"/>
      <c r="BA150" s="264"/>
      <c r="BB150" s="264"/>
      <c r="BC150" s="264"/>
      <c r="BD150" s="264"/>
      <c r="BE150" s="264"/>
      <c r="BF150" s="264"/>
      <c r="BG150" s="264"/>
      <c r="BH150" s="264"/>
      <c r="BI150" s="264"/>
      <c r="BJ150" s="264"/>
      <c r="BK150" s="264"/>
      <c r="BL150" s="264"/>
      <c r="BM150" s="264"/>
      <c r="BN150" s="264"/>
      <c r="BO150" s="264"/>
      <c r="BP150" s="264"/>
      <c r="BQ150" s="264"/>
      <c r="BR150" s="264"/>
      <c r="BS150" s="264"/>
      <c r="BT150" s="264"/>
      <c r="BU150" s="264"/>
      <c r="BV150" s="264"/>
      <c r="BW150" s="264"/>
      <c r="BX150" s="264"/>
      <c r="BY150" s="264"/>
      <c r="BZ150" s="264"/>
      <c r="CA150" s="264"/>
      <c r="CB150" s="264"/>
      <c r="CC150" s="264"/>
      <c r="CD150" s="264"/>
      <c r="CE150" s="264"/>
      <c r="CF150" s="264"/>
      <c r="CG150" s="264"/>
      <c r="CH150" s="264"/>
      <c r="CI150" s="264"/>
    </row>
    <row r="151" spans="1:87" s="191" customFormat="1">
      <c r="A151" s="254"/>
      <c r="B151" s="255"/>
      <c r="C151" s="255"/>
      <c r="D151" s="256"/>
      <c r="E151" s="255"/>
      <c r="F151" s="255"/>
      <c r="G151" s="255"/>
      <c r="H151" s="255"/>
      <c r="I151" s="255"/>
      <c r="J151" s="255"/>
      <c r="K151" s="255"/>
      <c r="L151" s="255"/>
      <c r="M151" s="257"/>
      <c r="N151" s="255"/>
      <c r="O151" s="255"/>
      <c r="P151" s="256"/>
      <c r="Q151" s="255"/>
      <c r="R151" s="255"/>
      <c r="S151" s="255"/>
      <c r="T151" s="255"/>
      <c r="U151" s="255"/>
      <c r="V151" s="258"/>
      <c r="W151" s="259"/>
      <c r="X151" s="1039"/>
      <c r="Y151" s="255"/>
      <c r="Z151" s="255"/>
      <c r="AA151" s="255"/>
      <c r="AB151" s="255"/>
      <c r="AC151" s="255"/>
      <c r="AD151" s="255"/>
      <c r="AE151" s="255"/>
      <c r="AF151" s="264"/>
      <c r="AG151" s="264"/>
      <c r="AH151" s="264"/>
      <c r="AI151" s="264"/>
      <c r="AJ151" s="264"/>
      <c r="AK151" s="264"/>
      <c r="AL151" s="264"/>
      <c r="AM151" s="264"/>
      <c r="AN151" s="264"/>
      <c r="AO151" s="264"/>
      <c r="AP151" s="264"/>
      <c r="AQ151" s="264"/>
      <c r="AR151" s="264"/>
      <c r="AS151" s="264"/>
      <c r="AT151" s="264"/>
      <c r="AU151" s="264"/>
      <c r="AV151" s="264"/>
      <c r="AW151" s="264"/>
      <c r="AX151" s="264"/>
      <c r="AY151" s="264"/>
      <c r="AZ151" s="264"/>
      <c r="BA151" s="264"/>
      <c r="BB151" s="264"/>
      <c r="BC151" s="264"/>
      <c r="BD151" s="264"/>
      <c r="BE151" s="264"/>
      <c r="BF151" s="264"/>
      <c r="BG151" s="264"/>
      <c r="BH151" s="264"/>
      <c r="BI151" s="264"/>
      <c r="BJ151" s="264"/>
      <c r="BK151" s="264"/>
      <c r="BL151" s="264"/>
      <c r="BM151" s="264"/>
      <c r="BN151" s="264"/>
      <c r="BO151" s="264"/>
      <c r="BP151" s="264"/>
      <c r="BQ151" s="264"/>
      <c r="BR151" s="264"/>
      <c r="BS151" s="264"/>
      <c r="BT151" s="264"/>
      <c r="BU151" s="264"/>
      <c r="BV151" s="264"/>
      <c r="BW151" s="264"/>
      <c r="BX151" s="264"/>
      <c r="BY151" s="264"/>
      <c r="BZ151" s="264"/>
      <c r="CA151" s="264"/>
      <c r="CB151" s="264"/>
      <c r="CC151" s="264"/>
      <c r="CD151" s="264"/>
      <c r="CE151" s="264"/>
      <c r="CF151" s="264"/>
      <c r="CG151" s="264"/>
      <c r="CH151" s="264"/>
      <c r="CI151" s="264"/>
    </row>
    <row r="152" spans="1:87" s="192" customFormat="1">
      <c r="A152" s="254"/>
      <c r="B152" s="255"/>
      <c r="C152" s="255"/>
      <c r="D152" s="256"/>
      <c r="E152" s="255"/>
      <c r="F152" s="255"/>
      <c r="G152" s="255"/>
      <c r="H152" s="261"/>
      <c r="I152" s="255"/>
      <c r="J152" s="255"/>
      <c r="K152" s="262"/>
      <c r="L152" s="255"/>
      <c r="M152" s="257"/>
      <c r="N152" s="255"/>
      <c r="O152" s="255"/>
      <c r="P152" s="256"/>
      <c r="Q152" s="255"/>
      <c r="R152" s="255"/>
      <c r="S152" s="255"/>
      <c r="T152" s="255"/>
      <c r="U152" s="255"/>
      <c r="V152" s="258"/>
      <c r="W152" s="259"/>
      <c r="X152" s="1039"/>
      <c r="Y152" s="255"/>
      <c r="Z152" s="255"/>
      <c r="AA152" s="255"/>
      <c r="AB152" s="255"/>
      <c r="AC152" s="255"/>
      <c r="AD152" s="255"/>
      <c r="AE152" s="263"/>
      <c r="AF152" s="264"/>
      <c r="AG152" s="264"/>
      <c r="AH152" s="264"/>
      <c r="AI152" s="264"/>
      <c r="AJ152" s="264"/>
      <c r="AK152" s="264"/>
      <c r="AL152" s="264"/>
      <c r="AM152" s="264"/>
      <c r="AN152" s="264"/>
      <c r="AO152" s="264"/>
      <c r="AP152" s="264"/>
      <c r="AQ152" s="264"/>
      <c r="AR152" s="264"/>
      <c r="AS152" s="264"/>
      <c r="AT152" s="264"/>
      <c r="AU152" s="264"/>
      <c r="AV152" s="264"/>
      <c r="AW152" s="264"/>
      <c r="AX152" s="264"/>
      <c r="AY152" s="264"/>
      <c r="AZ152" s="264"/>
      <c r="BA152" s="264"/>
      <c r="BB152" s="264"/>
      <c r="BC152" s="264"/>
      <c r="BD152" s="264"/>
      <c r="BE152" s="264"/>
      <c r="BF152" s="264"/>
      <c r="BG152" s="264"/>
      <c r="BH152" s="264"/>
      <c r="BI152" s="264"/>
      <c r="BJ152" s="264"/>
      <c r="BK152" s="264"/>
      <c r="BL152" s="264"/>
      <c r="BM152" s="264"/>
      <c r="BN152" s="264"/>
      <c r="BO152" s="264"/>
      <c r="BP152" s="264"/>
      <c r="BQ152" s="264"/>
      <c r="BR152" s="264"/>
      <c r="BS152" s="264"/>
      <c r="BT152" s="264"/>
      <c r="BU152" s="264"/>
      <c r="BV152" s="264"/>
      <c r="BW152" s="264"/>
      <c r="BX152" s="264"/>
      <c r="BY152" s="264"/>
      <c r="BZ152" s="264"/>
      <c r="CA152" s="264"/>
      <c r="CB152" s="264"/>
      <c r="CC152" s="264"/>
      <c r="CD152" s="264"/>
      <c r="CE152" s="264"/>
      <c r="CF152" s="264"/>
      <c r="CG152" s="264"/>
      <c r="CH152" s="264"/>
      <c r="CI152" s="264"/>
    </row>
    <row r="153" spans="1:87" customFormat="1">
      <c r="A153" s="282"/>
      <c r="B153" s="270"/>
      <c r="C153" s="270"/>
      <c r="D153" s="270"/>
      <c r="E153" s="270"/>
      <c r="F153" s="283"/>
      <c r="G153" s="284"/>
      <c r="H153" s="270"/>
      <c r="I153" s="270"/>
      <c r="J153" s="270"/>
      <c r="K153" s="270"/>
      <c r="L153" s="270"/>
      <c r="M153" s="270"/>
      <c r="N153" s="270"/>
      <c r="O153" s="270"/>
      <c r="P153" s="270"/>
      <c r="Q153" s="270"/>
      <c r="R153" s="285"/>
      <c r="S153" s="270"/>
      <c r="T153" s="270"/>
      <c r="U153" s="257"/>
      <c r="V153" s="270"/>
      <c r="W153" s="260"/>
      <c r="X153" s="1041"/>
      <c r="Y153" s="270"/>
      <c r="Z153" s="270"/>
      <c r="AA153" s="270"/>
      <c r="AB153" s="270"/>
      <c r="AC153" s="270"/>
      <c r="AD153" s="270"/>
      <c r="AE153" s="286"/>
      <c r="AF153" s="264"/>
      <c r="AG153" s="264"/>
      <c r="AH153" s="264"/>
      <c r="AI153" s="264"/>
      <c r="AJ153" s="264"/>
      <c r="AK153" s="264"/>
      <c r="AL153" s="264"/>
      <c r="AM153" s="264"/>
      <c r="AN153" s="264"/>
      <c r="AO153" s="264"/>
      <c r="AP153" s="264"/>
      <c r="AQ153" s="264"/>
      <c r="AR153" s="264"/>
      <c r="AS153" s="264"/>
      <c r="AT153" s="264"/>
      <c r="AU153" s="264"/>
      <c r="AV153" s="264"/>
      <c r="AW153" s="264"/>
      <c r="AX153" s="264"/>
      <c r="AY153" s="264"/>
      <c r="AZ153" s="264"/>
      <c r="BA153" s="264"/>
      <c r="BB153" s="264"/>
      <c r="BC153" s="264"/>
      <c r="BD153" s="264"/>
      <c r="BE153" s="264"/>
      <c r="BF153" s="264"/>
      <c r="BG153" s="264"/>
      <c r="BH153" s="264"/>
      <c r="BI153" s="264"/>
      <c r="BJ153" s="264"/>
      <c r="BK153" s="264"/>
      <c r="BL153" s="264"/>
      <c r="BM153" s="264"/>
      <c r="BN153" s="264"/>
      <c r="BO153" s="264"/>
      <c r="BP153" s="264"/>
      <c r="BQ153" s="264"/>
      <c r="BR153" s="264"/>
      <c r="BS153" s="264"/>
      <c r="BT153" s="264"/>
      <c r="BU153" s="264"/>
      <c r="BV153" s="264"/>
      <c r="BW153" s="264"/>
      <c r="BX153" s="264"/>
      <c r="BY153" s="264"/>
      <c r="BZ153" s="264"/>
      <c r="CA153" s="264"/>
      <c r="CB153" s="264"/>
      <c r="CC153" s="264"/>
      <c r="CD153" s="264"/>
      <c r="CE153" s="264"/>
      <c r="CF153" s="264"/>
      <c r="CG153" s="264"/>
      <c r="CH153" s="264"/>
      <c r="CI153" s="264"/>
    </row>
    <row r="154" spans="1:87" customFormat="1">
      <c r="A154" s="254"/>
      <c r="B154" s="255"/>
      <c r="C154" s="255"/>
      <c r="D154" s="255"/>
      <c r="E154" s="275"/>
      <c r="F154" s="255"/>
      <c r="G154" s="272"/>
      <c r="H154" s="255"/>
      <c r="I154" s="255"/>
      <c r="J154" s="255"/>
      <c r="K154" s="255"/>
      <c r="L154" s="262"/>
      <c r="M154" s="255"/>
      <c r="N154" s="255"/>
      <c r="O154" s="255"/>
      <c r="P154" s="256"/>
      <c r="Q154" s="255"/>
      <c r="R154" s="254"/>
      <c r="S154" s="255"/>
      <c r="T154" s="255"/>
      <c r="U154" s="255"/>
      <c r="V154" s="258"/>
      <c r="W154" s="259"/>
      <c r="X154" s="1039"/>
      <c r="Y154" s="255"/>
      <c r="Z154" s="255"/>
      <c r="AA154" s="255"/>
      <c r="AB154" s="255"/>
      <c r="AC154" s="255"/>
      <c r="AD154" s="255"/>
      <c r="AE154" s="260"/>
      <c r="AF154" s="264"/>
      <c r="AG154" s="264"/>
      <c r="AH154" s="264"/>
      <c r="AI154" s="264"/>
      <c r="AJ154" s="264"/>
      <c r="AK154" s="264"/>
      <c r="AL154" s="264"/>
      <c r="AM154" s="264"/>
      <c r="AN154" s="264"/>
      <c r="AO154" s="264"/>
      <c r="AP154" s="264"/>
      <c r="AQ154" s="264"/>
      <c r="AR154" s="264"/>
      <c r="AS154" s="264"/>
      <c r="AT154" s="264"/>
      <c r="AU154" s="264"/>
      <c r="AV154" s="264"/>
      <c r="AW154" s="264"/>
      <c r="AX154" s="264"/>
      <c r="AY154" s="264"/>
      <c r="AZ154" s="264"/>
      <c r="BA154" s="264"/>
      <c r="BB154" s="264"/>
      <c r="BC154" s="264"/>
      <c r="BD154" s="264"/>
      <c r="BE154" s="264"/>
      <c r="BF154" s="264"/>
      <c r="BG154" s="264"/>
      <c r="BH154" s="264"/>
      <c r="BI154" s="264"/>
      <c r="BJ154" s="264"/>
      <c r="BK154" s="264"/>
      <c r="BL154" s="264"/>
      <c r="BM154" s="264"/>
      <c r="BN154" s="264"/>
      <c r="BO154" s="264"/>
      <c r="BP154" s="264"/>
      <c r="BQ154" s="264"/>
      <c r="BR154" s="264"/>
      <c r="BS154" s="264"/>
      <c r="BT154" s="264"/>
      <c r="BU154" s="264"/>
      <c r="BV154" s="264"/>
      <c r="BW154" s="264"/>
      <c r="BX154" s="264"/>
      <c r="BY154" s="264"/>
      <c r="BZ154" s="264"/>
      <c r="CA154" s="264"/>
      <c r="CB154" s="264"/>
      <c r="CC154" s="264"/>
      <c r="CD154" s="264"/>
      <c r="CE154" s="264"/>
      <c r="CF154" s="264"/>
      <c r="CG154" s="264"/>
      <c r="CH154" s="264"/>
      <c r="CI154" s="264"/>
    </row>
    <row r="155" spans="1:87" customFormat="1">
      <c r="A155" s="254"/>
      <c r="B155" s="255"/>
      <c r="C155" s="255"/>
      <c r="D155" s="256"/>
      <c r="E155" s="255"/>
      <c r="F155" s="255"/>
      <c r="G155" s="255"/>
      <c r="H155" s="255"/>
      <c r="I155" s="255"/>
      <c r="J155" s="255"/>
      <c r="K155" s="255"/>
      <c r="L155" s="255"/>
      <c r="M155" s="257"/>
      <c r="N155" s="255"/>
      <c r="O155" s="255"/>
      <c r="P155" s="256"/>
      <c r="Q155" s="255"/>
      <c r="R155" s="255"/>
      <c r="S155" s="255"/>
      <c r="T155" s="255"/>
      <c r="U155" s="255"/>
      <c r="V155" s="258"/>
      <c r="W155" s="259"/>
      <c r="X155" s="1039"/>
      <c r="Y155" s="255"/>
      <c r="Z155" s="255"/>
      <c r="AA155" s="255"/>
      <c r="AB155" s="255"/>
      <c r="AC155" s="255"/>
      <c r="AD155" s="255"/>
      <c r="AE155" s="255"/>
      <c r="AF155" s="264"/>
      <c r="AG155" s="264"/>
      <c r="AH155" s="264"/>
      <c r="AI155" s="264"/>
      <c r="AJ155" s="264"/>
      <c r="AK155" s="264"/>
      <c r="AL155" s="264"/>
      <c r="AM155" s="264"/>
      <c r="AN155" s="264"/>
      <c r="AO155" s="264"/>
      <c r="AP155" s="264"/>
      <c r="AQ155" s="264"/>
      <c r="AR155" s="264"/>
      <c r="AS155" s="264"/>
      <c r="AT155" s="264"/>
      <c r="AU155" s="264"/>
      <c r="AV155" s="264"/>
      <c r="AW155" s="264"/>
      <c r="AX155" s="264"/>
      <c r="AY155" s="264"/>
      <c r="AZ155" s="264"/>
      <c r="BA155" s="264"/>
      <c r="BB155" s="264"/>
      <c r="BC155" s="264"/>
      <c r="BD155" s="264"/>
      <c r="BE155" s="264"/>
      <c r="BF155" s="264"/>
      <c r="BG155" s="264"/>
      <c r="BH155" s="264"/>
      <c r="BI155" s="264"/>
      <c r="BJ155" s="264"/>
      <c r="BK155" s="264"/>
      <c r="BL155" s="264"/>
      <c r="BM155" s="264"/>
      <c r="BN155" s="264"/>
      <c r="BO155" s="264"/>
      <c r="BP155" s="264"/>
      <c r="BQ155" s="264"/>
      <c r="BR155" s="264"/>
      <c r="BS155" s="264"/>
      <c r="BT155" s="264"/>
      <c r="BU155" s="264"/>
      <c r="BV155" s="264"/>
      <c r="BW155" s="264"/>
      <c r="BX155" s="264"/>
      <c r="BY155" s="264"/>
      <c r="BZ155" s="264"/>
      <c r="CA155" s="264"/>
      <c r="CB155" s="264"/>
      <c r="CC155" s="264"/>
      <c r="CD155" s="264"/>
      <c r="CE155" s="264"/>
      <c r="CF155" s="264"/>
      <c r="CG155" s="264"/>
      <c r="CH155" s="264"/>
      <c r="CI155" s="264"/>
    </row>
    <row r="156" spans="1:87" customFormat="1">
      <c r="A156" s="278"/>
      <c r="B156" s="257"/>
      <c r="C156" s="257"/>
      <c r="D156" s="257"/>
      <c r="E156" s="274"/>
      <c r="F156" s="266"/>
      <c r="G156" s="272"/>
      <c r="H156" s="257"/>
      <c r="I156" s="257"/>
      <c r="J156" s="257"/>
      <c r="K156" s="257"/>
      <c r="L156" s="262"/>
      <c r="M156" s="287"/>
      <c r="N156" s="255"/>
      <c r="O156" s="257"/>
      <c r="P156" s="257"/>
      <c r="Q156" s="266"/>
      <c r="R156" s="266"/>
      <c r="S156" s="257"/>
      <c r="T156" s="257"/>
      <c r="U156" s="257"/>
      <c r="V156" s="258"/>
      <c r="W156" s="259"/>
      <c r="X156" s="1039"/>
      <c r="Y156" s="255"/>
      <c r="Z156" s="255"/>
      <c r="AA156" s="255"/>
      <c r="AB156" s="255"/>
      <c r="AC156" s="255"/>
      <c r="AD156" s="255"/>
      <c r="AE156" s="273"/>
      <c r="AF156" s="264"/>
      <c r="AG156" s="264"/>
      <c r="AH156" s="264"/>
      <c r="AI156" s="264"/>
      <c r="AJ156" s="264"/>
      <c r="AK156" s="264"/>
      <c r="AL156" s="264"/>
      <c r="AM156" s="264"/>
      <c r="AN156" s="264"/>
      <c r="AO156" s="264"/>
      <c r="AP156" s="264"/>
      <c r="AQ156" s="264"/>
      <c r="AR156" s="264"/>
      <c r="AS156" s="264"/>
      <c r="AT156" s="264"/>
      <c r="AU156" s="264"/>
      <c r="AV156" s="264"/>
      <c r="AW156" s="264"/>
      <c r="AX156" s="264"/>
      <c r="AY156" s="264"/>
      <c r="AZ156" s="264"/>
      <c r="BA156" s="264"/>
      <c r="BB156" s="264"/>
      <c r="BC156" s="264"/>
      <c r="BD156" s="264"/>
      <c r="BE156" s="264"/>
      <c r="BF156" s="264"/>
      <c r="BG156" s="264"/>
      <c r="BH156" s="264"/>
      <c r="BI156" s="264"/>
      <c r="BJ156" s="264"/>
      <c r="BK156" s="264"/>
      <c r="BL156" s="264"/>
      <c r="BM156" s="264"/>
      <c r="BN156" s="264"/>
      <c r="BO156" s="264"/>
      <c r="BP156" s="264"/>
      <c r="BQ156" s="264"/>
      <c r="BR156" s="264"/>
      <c r="BS156" s="264"/>
      <c r="BT156" s="264"/>
      <c r="BU156" s="264"/>
      <c r="BV156" s="264"/>
      <c r="BW156" s="264"/>
      <c r="BX156" s="264"/>
      <c r="BY156" s="264"/>
      <c r="BZ156" s="264"/>
      <c r="CA156" s="264"/>
      <c r="CB156" s="264"/>
      <c r="CC156" s="264"/>
      <c r="CD156" s="264"/>
      <c r="CE156" s="264"/>
      <c r="CF156" s="264"/>
      <c r="CG156" s="264"/>
      <c r="CH156" s="264"/>
      <c r="CI156" s="264"/>
    </row>
    <row r="157" spans="1:87" customFormat="1">
      <c r="A157" s="260"/>
      <c r="B157" s="270"/>
      <c r="C157" s="270"/>
      <c r="D157" s="270"/>
      <c r="E157" s="270"/>
      <c r="F157" s="270"/>
      <c r="G157" s="270"/>
      <c r="H157" s="270"/>
      <c r="I157" s="270"/>
      <c r="J157" s="270"/>
      <c r="K157" s="270"/>
      <c r="L157" s="270"/>
      <c r="M157" s="270"/>
      <c r="N157" s="270"/>
      <c r="O157" s="270"/>
      <c r="P157" s="270"/>
      <c r="Q157" s="270"/>
      <c r="R157" s="270"/>
      <c r="S157" s="270"/>
      <c r="T157" s="270"/>
      <c r="U157" s="270"/>
      <c r="V157" s="260"/>
      <c r="W157" s="260"/>
      <c r="X157" s="1042"/>
      <c r="Y157" s="265"/>
      <c r="Z157" s="265"/>
      <c r="AA157" s="265"/>
      <c r="AB157" s="265"/>
      <c r="AC157" s="265"/>
      <c r="AD157" s="265"/>
      <c r="AE157" s="260"/>
      <c r="AF157" s="264"/>
      <c r="AG157" s="264"/>
      <c r="AH157" s="264"/>
      <c r="AI157" s="264"/>
      <c r="AJ157" s="264"/>
      <c r="AK157" s="264"/>
      <c r="AL157" s="264"/>
      <c r="AM157" s="264"/>
      <c r="AN157" s="264"/>
      <c r="AO157" s="264"/>
      <c r="AP157" s="264"/>
      <c r="AQ157" s="264"/>
      <c r="AR157" s="264"/>
      <c r="AS157" s="264"/>
      <c r="AT157" s="264"/>
      <c r="AU157" s="264"/>
      <c r="AV157" s="264"/>
      <c r="AW157" s="264"/>
      <c r="AX157" s="264"/>
      <c r="AY157" s="264"/>
      <c r="AZ157" s="264"/>
      <c r="BA157" s="264"/>
      <c r="BB157" s="264"/>
      <c r="BC157" s="264"/>
      <c r="BD157" s="264"/>
      <c r="BE157" s="264"/>
      <c r="BF157" s="264"/>
      <c r="BG157" s="264"/>
      <c r="BH157" s="264"/>
      <c r="BI157" s="264"/>
      <c r="BJ157" s="264"/>
      <c r="BK157" s="264"/>
      <c r="BL157" s="264"/>
      <c r="BM157" s="264"/>
      <c r="BN157" s="264"/>
      <c r="BO157" s="264"/>
      <c r="BP157" s="264"/>
      <c r="BQ157" s="264"/>
      <c r="BR157" s="264"/>
      <c r="BS157" s="264"/>
      <c r="BT157" s="264"/>
      <c r="BU157" s="264"/>
      <c r="BV157" s="264"/>
      <c r="BW157" s="264"/>
      <c r="BX157" s="264"/>
      <c r="BY157" s="264"/>
      <c r="BZ157" s="264"/>
      <c r="CA157" s="264"/>
      <c r="CB157" s="264"/>
      <c r="CC157" s="264"/>
      <c r="CD157" s="264"/>
      <c r="CE157" s="264"/>
      <c r="CF157" s="264"/>
      <c r="CG157" s="264"/>
      <c r="CH157" s="264"/>
      <c r="CI157" s="264"/>
    </row>
    <row r="158" spans="1:87" customFormat="1">
      <c r="A158" s="260"/>
      <c r="B158" s="270"/>
      <c r="C158" s="270"/>
      <c r="D158" s="270"/>
      <c r="E158" s="264"/>
      <c r="F158" s="264"/>
      <c r="G158" s="264"/>
      <c r="H158" s="270"/>
      <c r="I158" s="270"/>
      <c r="J158" s="270"/>
      <c r="K158" s="270"/>
      <c r="L158" s="270"/>
      <c r="M158" s="270"/>
      <c r="N158" s="270"/>
      <c r="O158" s="270"/>
      <c r="P158" s="270"/>
      <c r="Q158" s="270"/>
      <c r="R158" s="270"/>
      <c r="S158" s="270"/>
      <c r="T158" s="270"/>
      <c r="U158" s="270"/>
      <c r="V158" s="260"/>
      <c r="W158" s="260"/>
      <c r="X158" s="1042"/>
      <c r="Y158" s="265"/>
      <c r="Z158" s="265"/>
      <c r="AA158" s="265"/>
      <c r="AB158" s="265"/>
      <c r="AC158" s="265"/>
      <c r="AD158" s="265"/>
      <c r="AE158" s="260"/>
      <c r="AF158" s="264"/>
      <c r="AG158" s="264"/>
      <c r="AH158" s="264"/>
      <c r="AI158" s="264"/>
      <c r="AJ158" s="264"/>
      <c r="AK158" s="264"/>
      <c r="AL158" s="264"/>
      <c r="AM158" s="264"/>
      <c r="AN158" s="264"/>
      <c r="AO158" s="264"/>
      <c r="AP158" s="264"/>
      <c r="AQ158" s="264"/>
      <c r="AR158" s="264"/>
      <c r="AS158" s="264"/>
      <c r="AT158" s="264"/>
      <c r="AU158" s="264"/>
      <c r="AV158" s="264"/>
      <c r="AW158" s="264"/>
      <c r="AX158" s="264"/>
      <c r="AY158" s="264"/>
      <c r="AZ158" s="264"/>
      <c r="BA158" s="264"/>
      <c r="BB158" s="264"/>
      <c r="BC158" s="264"/>
      <c r="BD158" s="264"/>
      <c r="BE158" s="264"/>
      <c r="BF158" s="264"/>
      <c r="BG158" s="264"/>
      <c r="BH158" s="264"/>
      <c r="BI158" s="264"/>
      <c r="BJ158" s="264"/>
      <c r="BK158" s="264"/>
      <c r="BL158" s="264"/>
      <c r="BM158" s="264"/>
      <c r="BN158" s="264"/>
      <c r="BO158" s="264"/>
      <c r="BP158" s="264"/>
      <c r="BQ158" s="264"/>
      <c r="BR158" s="264"/>
      <c r="BS158" s="264"/>
      <c r="BT158" s="264"/>
      <c r="BU158" s="264"/>
      <c r="BV158" s="264"/>
      <c r="BW158" s="264"/>
      <c r="BX158" s="264"/>
      <c r="BY158" s="264"/>
      <c r="BZ158" s="264"/>
      <c r="CA158" s="264"/>
      <c r="CB158" s="264"/>
      <c r="CC158" s="264"/>
      <c r="CD158" s="264"/>
      <c r="CE158" s="264"/>
      <c r="CF158" s="264"/>
      <c r="CG158" s="264"/>
      <c r="CH158" s="264"/>
      <c r="CI158" s="264"/>
    </row>
    <row r="159" spans="1:87" customFormat="1">
      <c r="A159" s="260"/>
      <c r="B159" s="270"/>
      <c r="C159" s="270"/>
      <c r="D159" s="270"/>
      <c r="E159" s="264"/>
      <c r="F159" s="273"/>
      <c r="G159" s="270"/>
      <c r="H159" s="264"/>
      <c r="I159" s="264"/>
      <c r="J159" s="264"/>
      <c r="K159" s="264"/>
      <c r="L159" s="264"/>
      <c r="M159" s="270"/>
      <c r="N159" s="270"/>
      <c r="O159" s="270"/>
      <c r="P159" s="270"/>
      <c r="Q159" s="270"/>
      <c r="R159" s="270"/>
      <c r="S159" s="270"/>
      <c r="T159" s="270"/>
      <c r="U159" s="270"/>
      <c r="V159" s="260"/>
      <c r="W159" s="260"/>
      <c r="X159" s="1042"/>
      <c r="Y159" s="265"/>
      <c r="Z159" s="265"/>
      <c r="AA159" s="265"/>
      <c r="AB159" s="265"/>
      <c r="AC159" s="265"/>
      <c r="AD159" s="265"/>
      <c r="AE159" s="260"/>
      <c r="AF159" s="264"/>
      <c r="AG159" s="264"/>
      <c r="AH159" s="264"/>
      <c r="AI159" s="264"/>
      <c r="AJ159" s="264"/>
      <c r="AK159" s="264"/>
      <c r="AL159" s="264"/>
      <c r="AM159" s="264"/>
      <c r="AN159" s="264"/>
      <c r="AO159" s="264"/>
      <c r="AP159" s="264"/>
      <c r="AQ159" s="264"/>
      <c r="AR159" s="264"/>
      <c r="AS159" s="264"/>
      <c r="AT159" s="264"/>
      <c r="AU159" s="264"/>
      <c r="AV159" s="264"/>
      <c r="AW159" s="264"/>
      <c r="AX159" s="264"/>
      <c r="AY159" s="264"/>
      <c r="AZ159" s="264"/>
      <c r="BA159" s="264"/>
      <c r="BB159" s="264"/>
      <c r="BC159" s="264"/>
      <c r="BD159" s="264"/>
      <c r="BE159" s="264"/>
      <c r="BF159" s="264"/>
      <c r="BG159" s="264"/>
      <c r="BH159" s="264"/>
      <c r="BI159" s="264"/>
      <c r="BJ159" s="264"/>
      <c r="BK159" s="264"/>
      <c r="BL159" s="264"/>
      <c r="BM159" s="264"/>
      <c r="BN159" s="264"/>
      <c r="BO159" s="264"/>
      <c r="BP159" s="264"/>
      <c r="BQ159" s="264"/>
      <c r="BR159" s="264"/>
      <c r="BS159" s="264"/>
      <c r="BT159" s="264"/>
      <c r="BU159" s="264"/>
      <c r="BV159" s="264"/>
      <c r="BW159" s="264"/>
      <c r="BX159" s="264"/>
      <c r="BY159" s="264"/>
      <c r="BZ159" s="264"/>
      <c r="CA159" s="264"/>
      <c r="CB159" s="264"/>
      <c r="CC159" s="264"/>
      <c r="CD159" s="264"/>
      <c r="CE159" s="264"/>
      <c r="CF159" s="264"/>
      <c r="CG159" s="264"/>
      <c r="CH159" s="264"/>
      <c r="CI159" s="264"/>
    </row>
    <row r="160" spans="1:87" customFormat="1">
      <c r="A160" s="260"/>
      <c r="B160" s="270"/>
      <c r="C160" s="270"/>
      <c r="D160" s="270"/>
      <c r="E160" s="268"/>
      <c r="F160" s="286"/>
      <c r="G160" s="264"/>
      <c r="H160" s="264"/>
      <c r="I160" s="270"/>
      <c r="J160" s="270"/>
      <c r="K160" s="270"/>
      <c r="L160" s="270"/>
      <c r="M160" s="270"/>
      <c r="N160" s="270"/>
      <c r="O160" s="270"/>
      <c r="P160" s="270"/>
      <c r="Q160" s="270"/>
      <c r="R160" s="270"/>
      <c r="S160" s="270"/>
      <c r="T160" s="270"/>
      <c r="U160" s="270"/>
      <c r="V160" s="260"/>
      <c r="W160" s="260"/>
      <c r="X160" s="1042"/>
      <c r="Y160" s="265"/>
      <c r="Z160" s="265"/>
      <c r="AA160" s="265"/>
      <c r="AB160" s="265"/>
      <c r="AC160" s="265"/>
      <c r="AD160" s="265"/>
      <c r="AE160" s="260"/>
      <c r="AF160" s="264"/>
      <c r="AG160" s="264"/>
      <c r="AH160" s="264"/>
      <c r="AI160" s="264"/>
      <c r="AJ160" s="264"/>
      <c r="AK160" s="264"/>
      <c r="AL160" s="264"/>
      <c r="AM160" s="264"/>
      <c r="AN160" s="264"/>
      <c r="AO160" s="264"/>
      <c r="AP160" s="264"/>
      <c r="AQ160" s="264"/>
      <c r="AR160" s="264"/>
      <c r="AS160" s="264"/>
      <c r="AT160" s="264"/>
      <c r="AU160" s="264"/>
      <c r="AV160" s="264"/>
      <c r="AW160" s="264"/>
      <c r="AX160" s="264"/>
      <c r="AY160" s="264"/>
      <c r="AZ160" s="264"/>
      <c r="BA160" s="264"/>
      <c r="BB160" s="264"/>
      <c r="BC160" s="264"/>
      <c r="BD160" s="264"/>
      <c r="BE160" s="264"/>
      <c r="BF160" s="264"/>
      <c r="BG160" s="264"/>
      <c r="BH160" s="264"/>
      <c r="BI160" s="264"/>
      <c r="BJ160" s="264"/>
      <c r="BK160" s="264"/>
      <c r="BL160" s="264"/>
      <c r="BM160" s="264"/>
      <c r="BN160" s="264"/>
      <c r="BO160" s="264"/>
      <c r="BP160" s="264"/>
      <c r="BQ160" s="264"/>
      <c r="BR160" s="264"/>
      <c r="BS160" s="264"/>
      <c r="BT160" s="264"/>
      <c r="BU160" s="264"/>
      <c r="BV160" s="264"/>
      <c r="BW160" s="264"/>
      <c r="BX160" s="264"/>
      <c r="BY160" s="264"/>
      <c r="BZ160" s="264"/>
      <c r="CA160" s="264"/>
      <c r="CB160" s="264"/>
      <c r="CC160" s="264"/>
      <c r="CD160" s="264"/>
      <c r="CE160" s="264"/>
      <c r="CF160" s="264"/>
      <c r="CG160" s="264"/>
      <c r="CH160" s="264"/>
      <c r="CI160" s="264"/>
    </row>
    <row r="161" spans="1:87" customFormat="1">
      <c r="A161" s="260"/>
      <c r="B161" s="270"/>
      <c r="C161" s="270"/>
      <c r="D161" s="270"/>
      <c r="E161" s="268"/>
      <c r="F161" s="286"/>
      <c r="G161" s="264"/>
      <c r="H161" s="270"/>
      <c r="I161" s="270"/>
      <c r="J161" s="270"/>
      <c r="K161" s="270"/>
      <c r="L161" s="270"/>
      <c r="M161" s="270"/>
      <c r="N161" s="270"/>
      <c r="O161" s="270"/>
      <c r="P161" s="270"/>
      <c r="Q161" s="270"/>
      <c r="R161" s="270"/>
      <c r="S161" s="270"/>
      <c r="T161" s="270"/>
      <c r="U161" s="270"/>
      <c r="V161" s="260"/>
      <c r="W161" s="260"/>
      <c r="X161" s="1042"/>
      <c r="Y161" s="265"/>
      <c r="Z161" s="265"/>
      <c r="AA161" s="265"/>
      <c r="AB161" s="265"/>
      <c r="AC161" s="265"/>
      <c r="AD161" s="265"/>
      <c r="AE161" s="260"/>
      <c r="AF161" s="264"/>
      <c r="AG161" s="264"/>
      <c r="AH161" s="264"/>
      <c r="AI161" s="264"/>
      <c r="AJ161" s="264"/>
      <c r="AK161" s="264"/>
      <c r="AL161" s="264"/>
      <c r="AM161" s="264"/>
      <c r="AN161" s="264"/>
      <c r="AO161" s="264"/>
      <c r="AP161" s="264"/>
      <c r="AQ161" s="264"/>
      <c r="AR161" s="264"/>
      <c r="AS161" s="264"/>
      <c r="AT161" s="264"/>
      <c r="AU161" s="264"/>
      <c r="AV161" s="264"/>
      <c r="AW161" s="264"/>
      <c r="AX161" s="264"/>
      <c r="AY161" s="264"/>
      <c r="AZ161" s="264"/>
      <c r="BA161" s="264"/>
      <c r="BB161" s="264"/>
      <c r="BC161" s="264"/>
      <c r="BD161" s="264"/>
      <c r="BE161" s="264"/>
      <c r="BF161" s="264"/>
      <c r="BG161" s="264"/>
      <c r="BH161" s="264"/>
      <c r="BI161" s="264"/>
      <c r="BJ161" s="264"/>
      <c r="BK161" s="264"/>
      <c r="BL161" s="264"/>
      <c r="BM161" s="264"/>
      <c r="BN161" s="264"/>
      <c r="BO161" s="264"/>
      <c r="BP161" s="264"/>
      <c r="BQ161" s="264"/>
      <c r="BR161" s="264"/>
      <c r="BS161" s="264"/>
      <c r="BT161" s="264"/>
      <c r="BU161" s="264"/>
      <c r="BV161" s="264"/>
      <c r="BW161" s="264"/>
      <c r="BX161" s="264"/>
      <c r="BY161" s="264"/>
      <c r="BZ161" s="264"/>
      <c r="CA161" s="264"/>
      <c r="CB161" s="264"/>
      <c r="CC161" s="264"/>
      <c r="CD161" s="264"/>
      <c r="CE161" s="264"/>
      <c r="CF161" s="264"/>
      <c r="CG161" s="264"/>
      <c r="CH161" s="264"/>
      <c r="CI161" s="264"/>
    </row>
    <row r="162" spans="1:87" customFormat="1">
      <c r="A162" s="260"/>
      <c r="B162" s="270"/>
      <c r="C162" s="270"/>
      <c r="D162" s="270"/>
      <c r="E162" s="268"/>
      <c r="F162" s="286"/>
      <c r="G162" s="264"/>
      <c r="H162" s="270"/>
      <c r="I162" s="270"/>
      <c r="J162" s="270"/>
      <c r="K162" s="270"/>
      <c r="L162" s="270"/>
      <c r="M162" s="270"/>
      <c r="N162" s="270"/>
      <c r="O162" s="270"/>
      <c r="P162" s="270"/>
      <c r="Q162" s="270"/>
      <c r="R162" s="270"/>
      <c r="S162" s="270"/>
      <c r="T162" s="270"/>
      <c r="U162" s="270"/>
      <c r="V162" s="260"/>
      <c r="W162" s="260"/>
      <c r="X162" s="1042"/>
      <c r="Y162" s="265"/>
      <c r="Z162" s="265"/>
      <c r="AA162" s="265"/>
      <c r="AB162" s="265"/>
      <c r="AC162" s="265"/>
      <c r="AD162" s="265"/>
      <c r="AE162" s="260"/>
      <c r="AF162" s="264"/>
      <c r="AG162" s="264"/>
      <c r="AH162" s="264"/>
      <c r="AI162" s="264"/>
      <c r="AJ162" s="264"/>
      <c r="AK162" s="264"/>
      <c r="AL162" s="264"/>
      <c r="AM162" s="264"/>
      <c r="AN162" s="264"/>
      <c r="AO162" s="264"/>
      <c r="AP162" s="264"/>
      <c r="AQ162" s="264"/>
      <c r="AR162" s="264"/>
      <c r="AS162" s="264"/>
      <c r="AT162" s="264"/>
      <c r="AU162" s="264"/>
      <c r="AV162" s="264"/>
      <c r="AW162" s="264"/>
      <c r="AX162" s="264"/>
      <c r="AY162" s="264"/>
      <c r="AZ162" s="264"/>
      <c r="BA162" s="264"/>
      <c r="BB162" s="264"/>
      <c r="BC162" s="264"/>
      <c r="BD162" s="264"/>
      <c r="BE162" s="264"/>
      <c r="BF162" s="264"/>
      <c r="BG162" s="264"/>
      <c r="BH162" s="264"/>
      <c r="BI162" s="264"/>
      <c r="BJ162" s="264"/>
      <c r="BK162" s="264"/>
      <c r="BL162" s="264"/>
      <c r="BM162" s="264"/>
      <c r="BN162" s="264"/>
      <c r="BO162" s="264"/>
      <c r="BP162" s="264"/>
      <c r="BQ162" s="264"/>
      <c r="BR162" s="264"/>
      <c r="BS162" s="264"/>
      <c r="BT162" s="264"/>
      <c r="BU162" s="264"/>
      <c r="BV162" s="264"/>
      <c r="BW162" s="264"/>
      <c r="BX162" s="264"/>
      <c r="BY162" s="264"/>
      <c r="BZ162" s="264"/>
      <c r="CA162" s="264"/>
      <c r="CB162" s="264"/>
      <c r="CC162" s="264"/>
      <c r="CD162" s="264"/>
      <c r="CE162" s="264"/>
      <c r="CF162" s="264"/>
      <c r="CG162" s="264"/>
      <c r="CH162" s="264"/>
      <c r="CI162" s="264"/>
    </row>
    <row r="163" spans="1:87" customFormat="1">
      <c r="A163" s="260"/>
      <c r="B163" s="270"/>
      <c r="C163" s="270"/>
      <c r="D163" s="270"/>
      <c r="E163" s="268"/>
      <c r="F163" s="270"/>
      <c r="G163" s="270"/>
      <c r="H163" s="270"/>
      <c r="I163" s="270"/>
      <c r="J163" s="270"/>
      <c r="K163" s="270"/>
      <c r="L163" s="270"/>
      <c r="M163" s="270"/>
      <c r="N163" s="270"/>
      <c r="O163" s="270"/>
      <c r="P163" s="270"/>
      <c r="Q163" s="270"/>
      <c r="R163" s="270"/>
      <c r="S163" s="270"/>
      <c r="T163" s="270"/>
      <c r="U163" s="270"/>
      <c r="V163" s="260"/>
      <c r="W163" s="260"/>
      <c r="X163" s="1042"/>
      <c r="Y163" s="265"/>
      <c r="Z163" s="265"/>
      <c r="AA163" s="265"/>
      <c r="AB163" s="265"/>
      <c r="AC163" s="265"/>
      <c r="AD163" s="265"/>
      <c r="AE163" s="260"/>
      <c r="AF163" s="264"/>
      <c r="AG163" s="264"/>
      <c r="AH163" s="264"/>
      <c r="AI163" s="264"/>
      <c r="AJ163" s="264"/>
      <c r="AK163" s="264"/>
      <c r="AL163" s="264"/>
      <c r="AM163" s="264"/>
      <c r="AN163" s="264"/>
      <c r="AO163" s="264"/>
      <c r="AP163" s="264"/>
      <c r="AQ163" s="264"/>
      <c r="AR163" s="264"/>
      <c r="AS163" s="264"/>
      <c r="AT163" s="264"/>
      <c r="AU163" s="264"/>
      <c r="AV163" s="264"/>
      <c r="AW163" s="264"/>
      <c r="AX163" s="264"/>
      <c r="AY163" s="264"/>
      <c r="AZ163" s="264"/>
      <c r="BA163" s="264"/>
      <c r="BB163" s="264"/>
      <c r="BC163" s="264"/>
      <c r="BD163" s="264"/>
      <c r="BE163" s="264"/>
      <c r="BF163" s="264"/>
      <c r="BG163" s="264"/>
      <c r="BH163" s="264"/>
      <c r="BI163" s="264"/>
      <c r="BJ163" s="264"/>
      <c r="BK163" s="264"/>
      <c r="BL163" s="264"/>
      <c r="BM163" s="264"/>
      <c r="BN163" s="264"/>
      <c r="BO163" s="264"/>
      <c r="BP163" s="264"/>
      <c r="BQ163" s="264"/>
      <c r="BR163" s="264"/>
      <c r="BS163" s="264"/>
      <c r="BT163" s="264"/>
      <c r="BU163" s="264"/>
      <c r="BV163" s="264"/>
      <c r="BW163" s="264"/>
      <c r="BX163" s="264"/>
      <c r="BY163" s="264"/>
      <c r="BZ163" s="264"/>
      <c r="CA163" s="264"/>
      <c r="CB163" s="264"/>
      <c r="CC163" s="264"/>
      <c r="CD163" s="264"/>
      <c r="CE163" s="264"/>
      <c r="CF163" s="264"/>
      <c r="CG163" s="264"/>
      <c r="CH163" s="264"/>
      <c r="CI163" s="264"/>
    </row>
    <row r="164" spans="1:87" customFormat="1">
      <c r="A164" s="260"/>
      <c r="B164" s="270"/>
      <c r="C164" s="270"/>
      <c r="D164" s="270"/>
      <c r="E164" s="270"/>
      <c r="F164" s="270"/>
      <c r="G164" s="270"/>
      <c r="H164" s="270"/>
      <c r="I164" s="270"/>
      <c r="J164" s="270"/>
      <c r="K164" s="270"/>
      <c r="L164" s="270"/>
      <c r="M164" s="270"/>
      <c r="N164" s="270"/>
      <c r="O164" s="270"/>
      <c r="P164" s="270"/>
      <c r="Q164" s="270"/>
      <c r="R164" s="270"/>
      <c r="S164" s="270"/>
      <c r="T164" s="270"/>
      <c r="U164" s="270"/>
      <c r="V164" s="260"/>
      <c r="W164" s="260"/>
      <c r="X164" s="1042"/>
      <c r="Y164" s="265"/>
      <c r="Z164" s="265"/>
      <c r="AA164" s="265"/>
      <c r="AB164" s="265"/>
      <c r="AC164" s="265"/>
      <c r="AD164" s="265"/>
      <c r="AE164" s="260"/>
      <c r="AF164" s="264"/>
      <c r="AG164" s="264"/>
      <c r="AH164" s="264"/>
      <c r="AI164" s="264"/>
      <c r="AJ164" s="264"/>
      <c r="AK164" s="264"/>
      <c r="AL164" s="264"/>
      <c r="AM164" s="264"/>
      <c r="AN164" s="264"/>
      <c r="AO164" s="264"/>
      <c r="AP164" s="264"/>
      <c r="AQ164" s="264"/>
      <c r="AR164" s="264"/>
      <c r="AS164" s="264"/>
      <c r="AT164" s="264"/>
      <c r="AU164" s="264"/>
      <c r="AV164" s="264"/>
      <c r="AW164" s="264"/>
      <c r="AX164" s="264"/>
      <c r="AY164" s="264"/>
      <c r="AZ164" s="264"/>
      <c r="BA164" s="264"/>
      <c r="BB164" s="264"/>
      <c r="BC164" s="264"/>
      <c r="BD164" s="264"/>
      <c r="BE164" s="264"/>
      <c r="BF164" s="264"/>
      <c r="BG164" s="264"/>
      <c r="BH164" s="264"/>
      <c r="BI164" s="264"/>
      <c r="BJ164" s="264"/>
      <c r="BK164" s="264"/>
      <c r="BL164" s="264"/>
      <c r="BM164" s="264"/>
      <c r="BN164" s="264"/>
      <c r="BO164" s="264"/>
      <c r="BP164" s="264"/>
      <c r="BQ164" s="264"/>
      <c r="BR164" s="264"/>
      <c r="BS164" s="264"/>
      <c r="BT164" s="264"/>
      <c r="BU164" s="264"/>
      <c r="BV164" s="264"/>
      <c r="BW164" s="264"/>
      <c r="BX164" s="264"/>
      <c r="BY164" s="264"/>
      <c r="BZ164" s="264"/>
      <c r="CA164" s="264"/>
      <c r="CB164" s="264"/>
      <c r="CC164" s="264"/>
      <c r="CD164" s="264"/>
      <c r="CE164" s="264"/>
      <c r="CF164" s="264"/>
      <c r="CG164" s="264"/>
      <c r="CH164" s="264"/>
      <c r="CI164" s="264"/>
    </row>
    <row r="165" spans="1:87">
      <c r="A165" s="265"/>
      <c r="B165" s="265"/>
      <c r="C165" s="265"/>
      <c r="D165" s="265"/>
      <c r="E165" s="265"/>
      <c r="F165" s="265"/>
      <c r="G165" s="265"/>
      <c r="H165" s="265"/>
      <c r="I165" s="265"/>
      <c r="J165" s="265"/>
      <c r="K165" s="265"/>
      <c r="L165" s="265"/>
      <c r="M165" s="265"/>
      <c r="N165" s="265"/>
      <c r="O165" s="265"/>
      <c r="P165" s="265"/>
      <c r="Q165" s="265"/>
      <c r="R165" s="265"/>
      <c r="S165" s="265"/>
      <c r="T165" s="265"/>
      <c r="U165" s="265"/>
      <c r="V165" s="265"/>
      <c r="W165" s="265"/>
      <c r="X165" s="1042"/>
      <c r="Y165" s="265"/>
      <c r="Z165" s="265"/>
      <c r="AA165" s="265"/>
      <c r="AB165" s="265"/>
      <c r="AC165" s="265"/>
      <c r="AD165" s="265"/>
      <c r="AE165" s="265"/>
      <c r="AF165" s="265"/>
      <c r="AG165" s="265"/>
      <c r="AH165" s="265"/>
      <c r="AI165" s="265"/>
      <c r="AJ165" s="265"/>
      <c r="AK165" s="265"/>
      <c r="AL165" s="265"/>
      <c r="AM165" s="265"/>
      <c r="AN165" s="265"/>
      <c r="AO165" s="265"/>
      <c r="AP165" s="265"/>
      <c r="AQ165" s="265"/>
      <c r="AR165" s="265"/>
      <c r="AS165" s="265"/>
      <c r="AT165" s="265"/>
      <c r="AU165" s="265"/>
      <c r="AV165" s="265"/>
      <c r="AW165" s="265"/>
      <c r="AX165" s="265"/>
      <c r="AY165" s="265"/>
      <c r="AZ165" s="265"/>
      <c r="BA165" s="265"/>
      <c r="BB165" s="265"/>
      <c r="BC165" s="265"/>
      <c r="BD165" s="265"/>
      <c r="BE165" s="265"/>
      <c r="BF165" s="265"/>
      <c r="BG165" s="265"/>
      <c r="BH165" s="265"/>
      <c r="BI165" s="265"/>
      <c r="BJ165" s="265"/>
      <c r="BK165" s="265"/>
      <c r="BL165" s="265"/>
      <c r="BM165" s="265"/>
      <c r="BN165" s="265"/>
      <c r="BO165" s="265"/>
      <c r="BP165" s="265"/>
      <c r="BQ165" s="265"/>
      <c r="BR165" s="265"/>
      <c r="BS165" s="265"/>
      <c r="BT165" s="265"/>
      <c r="BU165" s="265"/>
      <c r="BV165" s="265"/>
      <c r="BW165" s="265"/>
      <c r="BX165" s="265"/>
      <c r="BY165" s="265"/>
      <c r="BZ165" s="265"/>
      <c r="CA165" s="265"/>
      <c r="CB165" s="265"/>
      <c r="CC165" s="265"/>
      <c r="CD165" s="265"/>
      <c r="CE165" s="265"/>
      <c r="CF165" s="265"/>
      <c r="CG165" s="265"/>
      <c r="CH165" s="265"/>
      <c r="CI165" s="265"/>
    </row>
    <row r="166" spans="1:87" customFormat="1">
      <c r="A166" s="257"/>
      <c r="B166" s="257"/>
      <c r="C166" s="257"/>
      <c r="D166" s="257"/>
      <c r="E166" s="255"/>
      <c r="F166" s="270"/>
      <c r="G166" s="255"/>
      <c r="H166" s="257"/>
      <c r="I166" s="257"/>
      <c r="J166" s="266"/>
      <c r="K166" s="257"/>
      <c r="L166" s="257"/>
      <c r="M166" s="257"/>
      <c r="N166" s="257"/>
      <c r="O166" s="257"/>
      <c r="P166" s="257"/>
      <c r="Q166" s="256"/>
      <c r="R166" s="255"/>
      <c r="S166" s="257"/>
      <c r="T166" s="257"/>
      <c r="U166" s="257"/>
      <c r="V166" s="257"/>
      <c r="W166" s="267"/>
      <c r="X166" s="1041"/>
      <c r="Y166" s="270"/>
      <c r="Z166" s="268"/>
      <c r="AA166" s="270"/>
      <c r="AB166" s="270"/>
      <c r="AC166" s="270"/>
      <c r="AD166" s="270"/>
      <c r="AE166" s="260"/>
      <c r="AF166" s="264"/>
      <c r="AG166" s="264"/>
      <c r="AH166" s="264"/>
      <c r="AI166" s="264"/>
      <c r="AJ166" s="264"/>
      <c r="AK166" s="264"/>
      <c r="AL166" s="264"/>
      <c r="AM166" s="264"/>
      <c r="AN166" s="264"/>
      <c r="AO166" s="264"/>
      <c r="AP166" s="264"/>
      <c r="AQ166" s="264"/>
      <c r="AR166" s="264"/>
      <c r="AS166" s="264"/>
      <c r="AT166" s="264"/>
      <c r="AU166" s="264"/>
      <c r="AV166" s="264"/>
      <c r="AW166" s="264"/>
      <c r="AX166" s="264"/>
      <c r="AY166" s="264"/>
      <c r="AZ166" s="264"/>
      <c r="BA166" s="264"/>
      <c r="BB166" s="264"/>
      <c r="BC166" s="264"/>
      <c r="BD166" s="264"/>
      <c r="BE166" s="264"/>
      <c r="BF166" s="264"/>
      <c r="BG166" s="264"/>
      <c r="BH166" s="264"/>
      <c r="BI166" s="264"/>
      <c r="BJ166" s="264"/>
      <c r="BK166" s="264"/>
      <c r="BL166" s="264"/>
      <c r="BM166" s="264"/>
      <c r="BN166" s="264"/>
      <c r="BO166" s="264"/>
      <c r="BP166" s="264"/>
      <c r="BQ166" s="264"/>
      <c r="BR166" s="264"/>
      <c r="BS166" s="264"/>
      <c r="BT166" s="264"/>
      <c r="BU166" s="264"/>
      <c r="BV166" s="264"/>
      <c r="BW166" s="264"/>
      <c r="BX166" s="264"/>
      <c r="BY166" s="264"/>
      <c r="BZ166" s="264"/>
      <c r="CA166" s="264"/>
      <c r="CB166" s="264"/>
      <c r="CC166" s="264"/>
      <c r="CD166" s="264"/>
      <c r="CE166" s="264"/>
      <c r="CF166" s="264"/>
      <c r="CG166" s="264"/>
      <c r="CH166" s="264"/>
      <c r="CI166" s="264"/>
    </row>
    <row r="167" spans="1:87" customFormat="1">
      <c r="A167" s="255"/>
      <c r="B167" s="255"/>
      <c r="C167" s="255"/>
      <c r="D167" s="257"/>
      <c r="E167" s="255"/>
      <c r="F167" s="255"/>
      <c r="G167" s="255"/>
      <c r="H167" s="257"/>
      <c r="I167" s="255"/>
      <c r="J167" s="256"/>
      <c r="K167" s="255"/>
      <c r="L167" s="255"/>
      <c r="M167" s="255"/>
      <c r="N167" s="255"/>
      <c r="O167" s="255"/>
      <c r="P167" s="255"/>
      <c r="Q167" s="268"/>
      <c r="R167" s="256"/>
      <c r="S167" s="255"/>
      <c r="T167" s="255"/>
      <c r="U167" s="257"/>
      <c r="V167" s="255"/>
      <c r="W167" s="267"/>
      <c r="X167" s="1043"/>
      <c r="Y167" s="257"/>
      <c r="Z167" s="268"/>
      <c r="AA167" s="268"/>
      <c r="AB167" s="268"/>
      <c r="AC167" s="268"/>
      <c r="AD167" s="269"/>
      <c r="AE167" s="268"/>
      <c r="AF167" s="264"/>
      <c r="AG167" s="264"/>
      <c r="AH167" s="264"/>
      <c r="AI167" s="264"/>
      <c r="AJ167" s="264"/>
      <c r="AK167" s="264"/>
      <c r="AL167" s="264"/>
      <c r="AM167" s="264"/>
      <c r="AN167" s="264"/>
      <c r="AO167" s="264"/>
      <c r="AP167" s="264"/>
      <c r="AQ167" s="264"/>
      <c r="AR167" s="264"/>
      <c r="AS167" s="264"/>
      <c r="AT167" s="264"/>
      <c r="AU167" s="264"/>
      <c r="AV167" s="264"/>
      <c r="AW167" s="264"/>
      <c r="AX167" s="264"/>
      <c r="AY167" s="264"/>
      <c r="AZ167" s="264"/>
      <c r="BA167" s="264"/>
      <c r="BB167" s="264"/>
      <c r="BC167" s="264"/>
      <c r="BD167" s="264"/>
      <c r="BE167" s="264"/>
      <c r="BF167" s="264"/>
      <c r="BG167" s="264"/>
      <c r="BH167" s="264"/>
      <c r="BI167" s="264"/>
      <c r="BJ167" s="264"/>
      <c r="BK167" s="264"/>
      <c r="BL167" s="264"/>
      <c r="BM167" s="264"/>
      <c r="BN167" s="264"/>
      <c r="BO167" s="264"/>
      <c r="BP167" s="264"/>
      <c r="BQ167" s="264"/>
      <c r="BR167" s="264"/>
      <c r="BS167" s="264"/>
      <c r="BT167" s="264"/>
      <c r="BU167" s="264"/>
      <c r="BV167" s="264"/>
      <c r="BW167" s="264"/>
      <c r="BX167" s="264"/>
      <c r="BY167" s="264"/>
      <c r="BZ167" s="264"/>
      <c r="CA167" s="264"/>
      <c r="CB167" s="264"/>
      <c r="CC167" s="264"/>
      <c r="CD167" s="264"/>
      <c r="CE167" s="264"/>
      <c r="CF167" s="264"/>
      <c r="CG167" s="264"/>
      <c r="CH167" s="264"/>
      <c r="CI167" s="264"/>
    </row>
    <row r="168" spans="1:87" customFormat="1">
      <c r="A168" s="255"/>
      <c r="B168" s="255"/>
      <c r="C168" s="256"/>
      <c r="D168" s="255"/>
      <c r="E168" s="268"/>
      <c r="F168" s="255"/>
      <c r="G168" s="255"/>
      <c r="H168" s="256"/>
      <c r="I168" s="255"/>
      <c r="J168" s="255"/>
      <c r="K168" s="268"/>
      <c r="L168" s="268"/>
      <c r="M168" s="255"/>
      <c r="N168" s="255"/>
      <c r="O168" s="255"/>
      <c r="P168" s="255"/>
      <c r="Q168" s="255"/>
      <c r="R168" s="268"/>
      <c r="S168" s="256"/>
      <c r="T168" s="255"/>
      <c r="U168" s="255"/>
      <c r="V168" s="256"/>
      <c r="W168" s="255"/>
      <c r="X168" s="1043"/>
      <c r="Y168" s="255"/>
      <c r="Z168" s="268"/>
      <c r="AA168" s="268"/>
      <c r="AB168" s="268"/>
      <c r="AC168" s="268"/>
      <c r="AD168" s="268"/>
      <c r="AE168" s="268"/>
      <c r="AF168" s="264"/>
      <c r="AG168" s="264"/>
      <c r="AH168" s="264"/>
      <c r="AI168" s="264"/>
      <c r="AJ168" s="264"/>
      <c r="AK168" s="264"/>
      <c r="AL168" s="264"/>
      <c r="AM168" s="264"/>
      <c r="AN168" s="264"/>
      <c r="AO168" s="264"/>
      <c r="AP168" s="264"/>
      <c r="AQ168" s="264"/>
      <c r="AR168" s="264"/>
      <c r="AS168" s="264"/>
      <c r="AT168" s="264"/>
      <c r="AU168" s="264"/>
      <c r="AV168" s="264"/>
      <c r="AW168" s="264"/>
      <c r="AX168" s="264"/>
      <c r="AY168" s="264"/>
      <c r="AZ168" s="264"/>
      <c r="BA168" s="264"/>
      <c r="BB168" s="264"/>
      <c r="BC168" s="264"/>
      <c r="BD168" s="264"/>
      <c r="BE168" s="264"/>
      <c r="BF168" s="264"/>
      <c r="BG168" s="264"/>
      <c r="BH168" s="264"/>
      <c r="BI168" s="264"/>
      <c r="BJ168" s="264"/>
      <c r="BK168" s="264"/>
      <c r="BL168" s="264"/>
      <c r="BM168" s="264"/>
      <c r="BN168" s="264"/>
      <c r="BO168" s="264"/>
      <c r="BP168" s="264"/>
      <c r="BQ168" s="264"/>
      <c r="BR168" s="264"/>
      <c r="BS168" s="264"/>
      <c r="BT168" s="264"/>
      <c r="BU168" s="264"/>
      <c r="BV168" s="264"/>
      <c r="BW168" s="264"/>
      <c r="BX168" s="264"/>
      <c r="BY168" s="264"/>
      <c r="BZ168" s="264"/>
      <c r="CA168" s="264"/>
      <c r="CB168" s="264"/>
      <c r="CC168" s="264"/>
      <c r="CD168" s="264"/>
      <c r="CE168" s="264"/>
      <c r="CF168" s="264"/>
      <c r="CG168" s="264"/>
      <c r="CH168" s="264"/>
      <c r="CI168" s="264"/>
    </row>
    <row r="169" spans="1:87" customFormat="1">
      <c r="A169" s="282"/>
      <c r="B169" s="270"/>
      <c r="C169" s="270"/>
      <c r="D169" s="270"/>
      <c r="E169" s="270"/>
      <c r="F169" s="270"/>
      <c r="G169" s="270"/>
      <c r="H169" s="271"/>
      <c r="I169" s="270"/>
      <c r="J169" s="270"/>
      <c r="K169" s="270"/>
      <c r="L169" s="270"/>
      <c r="M169" s="270"/>
      <c r="N169" s="270"/>
      <c r="O169" s="270"/>
      <c r="P169" s="270"/>
      <c r="Q169" s="270"/>
      <c r="R169" s="282"/>
      <c r="S169" s="270"/>
      <c r="T169" s="270"/>
      <c r="U169" s="270"/>
      <c r="V169" s="270"/>
      <c r="W169" s="260"/>
      <c r="X169" s="1041"/>
      <c r="Y169" s="270"/>
      <c r="Z169" s="270"/>
      <c r="AA169" s="270"/>
      <c r="AB169" s="270"/>
      <c r="AC169" s="270"/>
      <c r="AD169" s="270"/>
      <c r="AE169" s="260"/>
      <c r="AF169" s="264"/>
      <c r="AG169" s="264"/>
      <c r="AH169" s="264"/>
      <c r="AI169" s="264"/>
      <c r="AJ169" s="264"/>
      <c r="AK169" s="264"/>
      <c r="AL169" s="264"/>
      <c r="AM169" s="264"/>
      <c r="AN169" s="264"/>
      <c r="AO169" s="264"/>
      <c r="AP169" s="264"/>
      <c r="AQ169" s="264"/>
      <c r="AR169" s="264"/>
      <c r="AS169" s="264"/>
      <c r="AT169" s="264"/>
      <c r="AU169" s="264"/>
      <c r="AV169" s="264"/>
      <c r="AW169" s="264"/>
      <c r="AX169" s="264"/>
      <c r="AY169" s="264"/>
      <c r="AZ169" s="264"/>
      <c r="BA169" s="264"/>
      <c r="BB169" s="264"/>
      <c r="BC169" s="264"/>
      <c r="BD169" s="264"/>
      <c r="BE169" s="264"/>
      <c r="BF169" s="264"/>
      <c r="BG169" s="264"/>
      <c r="BH169" s="264"/>
      <c r="BI169" s="264"/>
      <c r="BJ169" s="264"/>
      <c r="BK169" s="264"/>
      <c r="BL169" s="264"/>
      <c r="BM169" s="264"/>
      <c r="BN169" s="264"/>
      <c r="BO169" s="264"/>
      <c r="BP169" s="264"/>
      <c r="BQ169" s="264"/>
      <c r="BR169" s="264"/>
      <c r="BS169" s="264"/>
      <c r="BT169" s="264"/>
      <c r="BU169" s="264"/>
      <c r="BV169" s="264"/>
      <c r="BW169" s="264"/>
      <c r="BX169" s="264"/>
      <c r="BY169" s="264"/>
      <c r="BZ169" s="264"/>
      <c r="CA169" s="264"/>
      <c r="CB169" s="264"/>
      <c r="CC169" s="264"/>
      <c r="CD169" s="264"/>
      <c r="CE169" s="264"/>
      <c r="CF169" s="264"/>
      <c r="CG169" s="264"/>
      <c r="CH169" s="264"/>
      <c r="CI169" s="264"/>
    </row>
    <row r="170" spans="1:87" customFormat="1">
      <c r="A170" s="256"/>
      <c r="B170" s="255"/>
      <c r="C170" s="255"/>
      <c r="D170" s="256"/>
      <c r="E170" s="255"/>
      <c r="F170" s="255"/>
      <c r="G170" s="255"/>
      <c r="H170" s="262"/>
      <c r="I170" s="255"/>
      <c r="J170" s="255"/>
      <c r="K170" s="255"/>
      <c r="L170" s="255"/>
      <c r="M170" s="257"/>
      <c r="N170" s="255"/>
      <c r="O170" s="255"/>
      <c r="P170" s="256"/>
      <c r="Q170" s="255"/>
      <c r="R170" s="272"/>
      <c r="S170" s="255"/>
      <c r="T170" s="255"/>
      <c r="U170" s="255"/>
      <c r="V170" s="257"/>
      <c r="W170" s="259"/>
      <c r="X170" s="1039"/>
      <c r="Y170" s="255"/>
      <c r="Z170" s="255"/>
      <c r="AA170" s="255"/>
      <c r="AB170" s="255"/>
      <c r="AC170" s="255"/>
      <c r="AD170" s="255"/>
      <c r="AE170" s="255"/>
      <c r="AF170" s="264"/>
      <c r="AG170" s="264"/>
      <c r="AH170" s="264"/>
      <c r="AI170" s="264"/>
      <c r="AJ170" s="264"/>
      <c r="AK170" s="264"/>
      <c r="AL170" s="264"/>
      <c r="AM170" s="264"/>
      <c r="AN170" s="264"/>
      <c r="AO170" s="264"/>
      <c r="AP170" s="264"/>
      <c r="AQ170" s="264"/>
      <c r="AR170" s="264"/>
      <c r="AS170" s="264"/>
      <c r="AT170" s="264"/>
      <c r="AU170" s="264"/>
      <c r="AV170" s="264"/>
      <c r="AW170" s="264"/>
      <c r="AX170" s="264"/>
      <c r="AY170" s="264"/>
      <c r="AZ170" s="264"/>
      <c r="BA170" s="264"/>
      <c r="BB170" s="264"/>
      <c r="BC170" s="264"/>
      <c r="BD170" s="264"/>
      <c r="BE170" s="264"/>
      <c r="BF170" s="264"/>
      <c r="BG170" s="264"/>
      <c r="BH170" s="264"/>
      <c r="BI170" s="264"/>
      <c r="BJ170" s="264"/>
      <c r="BK170" s="264"/>
      <c r="BL170" s="264"/>
      <c r="BM170" s="264"/>
      <c r="BN170" s="264"/>
      <c r="BO170" s="264"/>
      <c r="BP170" s="264"/>
      <c r="BQ170" s="264"/>
      <c r="BR170" s="264"/>
      <c r="BS170" s="264"/>
      <c r="BT170" s="264"/>
      <c r="BU170" s="264"/>
      <c r="BV170" s="264"/>
      <c r="BW170" s="264"/>
      <c r="BX170" s="264"/>
      <c r="BY170" s="264"/>
      <c r="BZ170" s="264"/>
      <c r="CA170" s="264"/>
      <c r="CB170" s="264"/>
      <c r="CC170" s="264"/>
      <c r="CD170" s="264"/>
      <c r="CE170" s="264"/>
      <c r="CF170" s="264"/>
      <c r="CG170" s="264"/>
      <c r="CH170" s="264"/>
      <c r="CI170" s="264"/>
    </row>
    <row r="171" spans="1:87" customFormat="1">
      <c r="A171" s="282"/>
      <c r="B171" s="270"/>
      <c r="C171" s="270"/>
      <c r="D171" s="270"/>
      <c r="E171" s="270"/>
      <c r="F171" s="270"/>
      <c r="G171" s="270"/>
      <c r="H171" s="270"/>
      <c r="I171" s="270"/>
      <c r="J171" s="270"/>
      <c r="K171" s="270"/>
      <c r="L171" s="270"/>
      <c r="M171" s="270"/>
      <c r="N171" s="270"/>
      <c r="O171" s="270"/>
      <c r="P171" s="270"/>
      <c r="Q171" s="270"/>
      <c r="R171" s="282"/>
      <c r="S171" s="270"/>
      <c r="T171" s="270"/>
      <c r="U171" s="257"/>
      <c r="V171" s="270"/>
      <c r="W171" s="260"/>
      <c r="X171" s="1041"/>
      <c r="Y171" s="270"/>
      <c r="Z171" s="270"/>
      <c r="AA171" s="270"/>
      <c r="AB171" s="270"/>
      <c r="AC171" s="270"/>
      <c r="AD171" s="270"/>
      <c r="AE171" s="260"/>
      <c r="AF171" s="264"/>
      <c r="AG171" s="264"/>
      <c r="AH171" s="264"/>
      <c r="AI171" s="264"/>
      <c r="AJ171" s="264"/>
      <c r="AK171" s="264"/>
      <c r="AL171" s="264"/>
      <c r="AM171" s="264"/>
      <c r="AN171" s="264"/>
      <c r="AO171" s="264"/>
      <c r="AP171" s="264"/>
      <c r="AQ171" s="264"/>
      <c r="AR171" s="264"/>
      <c r="AS171" s="264"/>
      <c r="AT171" s="264"/>
      <c r="AU171" s="264"/>
      <c r="AV171" s="264"/>
      <c r="AW171" s="264"/>
      <c r="AX171" s="264"/>
      <c r="AY171" s="264"/>
      <c r="AZ171" s="264"/>
      <c r="BA171" s="264"/>
      <c r="BB171" s="264"/>
      <c r="BC171" s="264"/>
      <c r="BD171" s="264"/>
      <c r="BE171" s="264"/>
      <c r="BF171" s="264"/>
      <c r="BG171" s="264"/>
      <c r="BH171" s="264"/>
      <c r="BI171" s="264"/>
      <c r="BJ171" s="264"/>
      <c r="BK171" s="264"/>
      <c r="BL171" s="264"/>
      <c r="BM171" s="264"/>
      <c r="BN171" s="264"/>
      <c r="BO171" s="264"/>
      <c r="BP171" s="264"/>
      <c r="BQ171" s="264"/>
      <c r="BR171" s="264"/>
      <c r="BS171" s="264"/>
      <c r="BT171" s="264"/>
      <c r="BU171" s="264"/>
      <c r="BV171" s="264"/>
      <c r="BW171" s="264"/>
      <c r="BX171" s="264"/>
      <c r="BY171" s="264"/>
      <c r="BZ171" s="264"/>
      <c r="CA171" s="264"/>
      <c r="CB171" s="264"/>
      <c r="CC171" s="264"/>
      <c r="CD171" s="264"/>
      <c r="CE171" s="264"/>
      <c r="CF171" s="264"/>
      <c r="CG171" s="264"/>
      <c r="CH171" s="264"/>
      <c r="CI171" s="264"/>
    </row>
    <row r="172" spans="1:87" customFormat="1">
      <c r="A172" s="256"/>
      <c r="B172" s="255"/>
      <c r="C172" s="255"/>
      <c r="D172" s="256"/>
      <c r="E172" s="255"/>
      <c r="F172" s="255"/>
      <c r="G172" s="255"/>
      <c r="H172" s="262"/>
      <c r="I172" s="255"/>
      <c r="J172" s="255"/>
      <c r="K172" s="255"/>
      <c r="L172" s="255"/>
      <c r="M172" s="257"/>
      <c r="N172" s="255"/>
      <c r="O172" s="255"/>
      <c r="P172" s="256"/>
      <c r="Q172" s="255"/>
      <c r="R172" s="272"/>
      <c r="S172" s="255"/>
      <c r="T172" s="255"/>
      <c r="U172" s="255"/>
      <c r="V172" s="257"/>
      <c r="W172" s="259"/>
      <c r="X172" s="1039"/>
      <c r="Y172" s="255"/>
      <c r="Z172" s="255"/>
      <c r="AA172" s="255"/>
      <c r="AB172" s="255"/>
      <c r="AC172" s="255"/>
      <c r="AD172" s="255"/>
      <c r="AE172" s="255"/>
      <c r="AF172" s="264"/>
      <c r="AG172" s="264"/>
      <c r="AH172" s="264"/>
      <c r="AI172" s="264"/>
      <c r="AJ172" s="264"/>
      <c r="AK172" s="264"/>
      <c r="AL172" s="264"/>
      <c r="AM172" s="264"/>
      <c r="AN172" s="264"/>
      <c r="AO172" s="264"/>
      <c r="AP172" s="264"/>
      <c r="AQ172" s="264"/>
      <c r="AR172" s="264"/>
      <c r="AS172" s="264"/>
      <c r="AT172" s="264"/>
      <c r="AU172" s="264"/>
      <c r="AV172" s="264"/>
      <c r="AW172" s="264"/>
      <c r="AX172" s="264"/>
      <c r="AY172" s="264"/>
      <c r="AZ172" s="264"/>
      <c r="BA172" s="264"/>
      <c r="BB172" s="264"/>
      <c r="BC172" s="264"/>
      <c r="BD172" s="264"/>
      <c r="BE172" s="264"/>
      <c r="BF172" s="264"/>
      <c r="BG172" s="264"/>
      <c r="BH172" s="264"/>
      <c r="BI172" s="264"/>
      <c r="BJ172" s="264"/>
      <c r="BK172" s="264"/>
      <c r="BL172" s="264"/>
      <c r="BM172" s="264"/>
      <c r="BN172" s="264"/>
      <c r="BO172" s="264"/>
      <c r="BP172" s="264"/>
      <c r="BQ172" s="264"/>
      <c r="BR172" s="264"/>
      <c r="BS172" s="264"/>
      <c r="BT172" s="264"/>
      <c r="BU172" s="264"/>
      <c r="BV172" s="264"/>
      <c r="BW172" s="264"/>
      <c r="BX172" s="264"/>
      <c r="BY172" s="264"/>
      <c r="BZ172" s="264"/>
      <c r="CA172" s="264"/>
      <c r="CB172" s="264"/>
      <c r="CC172" s="264"/>
      <c r="CD172" s="264"/>
      <c r="CE172" s="264"/>
      <c r="CF172" s="264"/>
      <c r="CG172" s="264"/>
      <c r="CH172" s="264"/>
      <c r="CI172" s="264"/>
    </row>
    <row r="173" spans="1:87" customFormat="1">
      <c r="A173" s="282"/>
      <c r="B173" s="270"/>
      <c r="C173" s="270"/>
      <c r="D173" s="270"/>
      <c r="E173" s="270"/>
      <c r="F173" s="270"/>
      <c r="G173" s="270"/>
      <c r="H173" s="270"/>
      <c r="I173" s="270"/>
      <c r="J173" s="270"/>
      <c r="K173" s="270"/>
      <c r="L173" s="270"/>
      <c r="M173" s="270"/>
      <c r="N173" s="270"/>
      <c r="O173" s="270"/>
      <c r="P173" s="270"/>
      <c r="Q173" s="270"/>
      <c r="R173" s="282"/>
      <c r="S173" s="270"/>
      <c r="T173" s="270"/>
      <c r="U173" s="270"/>
      <c r="V173" s="270"/>
      <c r="W173" s="260"/>
      <c r="X173" s="1041"/>
      <c r="Y173" s="270"/>
      <c r="Z173" s="270"/>
      <c r="AA173" s="270"/>
      <c r="AB173" s="270"/>
      <c r="AC173" s="270"/>
      <c r="AD173" s="270"/>
      <c r="AE173" s="260"/>
      <c r="AF173" s="264"/>
      <c r="AG173" s="264"/>
      <c r="AH173" s="264"/>
      <c r="AI173" s="264"/>
      <c r="AJ173" s="264"/>
      <c r="AK173" s="264"/>
      <c r="AL173" s="264"/>
      <c r="AM173" s="264"/>
      <c r="AN173" s="264"/>
      <c r="AO173" s="264"/>
      <c r="AP173" s="264"/>
      <c r="AQ173" s="264"/>
      <c r="AR173" s="264"/>
      <c r="AS173" s="264"/>
      <c r="AT173" s="264"/>
      <c r="AU173" s="264"/>
      <c r="AV173" s="264"/>
      <c r="AW173" s="264"/>
      <c r="AX173" s="264"/>
      <c r="AY173" s="264"/>
      <c r="AZ173" s="264"/>
      <c r="BA173" s="264"/>
      <c r="BB173" s="264"/>
      <c r="BC173" s="264"/>
      <c r="BD173" s="264"/>
      <c r="BE173" s="264"/>
      <c r="BF173" s="264"/>
      <c r="BG173" s="264"/>
      <c r="BH173" s="264"/>
      <c r="BI173" s="264"/>
      <c r="BJ173" s="264"/>
      <c r="BK173" s="264"/>
      <c r="BL173" s="264"/>
      <c r="BM173" s="264"/>
      <c r="BN173" s="264"/>
      <c r="BO173" s="264"/>
      <c r="BP173" s="264"/>
      <c r="BQ173" s="264"/>
      <c r="BR173" s="264"/>
      <c r="BS173" s="264"/>
      <c r="BT173" s="264"/>
      <c r="BU173" s="264"/>
      <c r="BV173" s="264"/>
      <c r="BW173" s="264"/>
      <c r="BX173" s="264"/>
      <c r="BY173" s="264"/>
      <c r="BZ173" s="264"/>
      <c r="CA173" s="264"/>
      <c r="CB173" s="264"/>
      <c r="CC173" s="264"/>
      <c r="CD173" s="264"/>
      <c r="CE173" s="264"/>
      <c r="CF173" s="264"/>
      <c r="CG173" s="264"/>
      <c r="CH173" s="264"/>
      <c r="CI173" s="264"/>
    </row>
    <row r="174" spans="1:87" customFormat="1">
      <c r="A174" s="256"/>
      <c r="B174" s="255"/>
      <c r="C174" s="255"/>
      <c r="D174" s="256"/>
      <c r="E174" s="255"/>
      <c r="F174" s="255"/>
      <c r="G174" s="255"/>
      <c r="H174" s="262"/>
      <c r="I174" s="255"/>
      <c r="J174" s="255"/>
      <c r="K174" s="255"/>
      <c r="L174" s="255"/>
      <c r="M174" s="257"/>
      <c r="N174" s="255"/>
      <c r="O174" s="255"/>
      <c r="P174" s="256"/>
      <c r="Q174" s="255"/>
      <c r="R174" s="272"/>
      <c r="S174" s="255"/>
      <c r="T174" s="255"/>
      <c r="U174" s="255"/>
      <c r="V174" s="257"/>
      <c r="W174" s="259"/>
      <c r="X174" s="1039"/>
      <c r="Y174" s="255"/>
      <c r="Z174" s="255"/>
      <c r="AA174" s="255"/>
      <c r="AB174" s="255"/>
      <c r="AC174" s="255"/>
      <c r="AD174" s="255"/>
      <c r="AE174" s="255"/>
      <c r="AF174" s="264"/>
      <c r="AG174" s="264"/>
      <c r="AH174" s="264"/>
      <c r="AI174" s="264"/>
      <c r="AJ174" s="264"/>
      <c r="AK174" s="264"/>
      <c r="AL174" s="264"/>
      <c r="AM174" s="264"/>
      <c r="AN174" s="264"/>
      <c r="AO174" s="264"/>
      <c r="AP174" s="264"/>
      <c r="AQ174" s="264"/>
      <c r="AR174" s="264"/>
      <c r="AS174" s="264"/>
      <c r="AT174" s="264"/>
      <c r="AU174" s="264"/>
      <c r="AV174" s="264"/>
      <c r="AW174" s="264"/>
      <c r="AX174" s="264"/>
      <c r="AY174" s="264"/>
      <c r="AZ174" s="264"/>
      <c r="BA174" s="264"/>
      <c r="BB174" s="264"/>
      <c r="BC174" s="264"/>
      <c r="BD174" s="264"/>
      <c r="BE174" s="264"/>
      <c r="BF174" s="264"/>
      <c r="BG174" s="264"/>
      <c r="BH174" s="264"/>
      <c r="BI174" s="264"/>
      <c r="BJ174" s="264"/>
      <c r="BK174" s="264"/>
      <c r="BL174" s="264"/>
      <c r="BM174" s="264"/>
      <c r="BN174" s="264"/>
      <c r="BO174" s="264"/>
      <c r="BP174" s="264"/>
      <c r="BQ174" s="264"/>
      <c r="BR174" s="264"/>
      <c r="BS174" s="264"/>
      <c r="BT174" s="264"/>
      <c r="BU174" s="264"/>
      <c r="BV174" s="264"/>
      <c r="BW174" s="264"/>
      <c r="BX174" s="264"/>
      <c r="BY174" s="264"/>
      <c r="BZ174" s="264"/>
      <c r="CA174" s="264"/>
      <c r="CB174" s="264"/>
      <c r="CC174" s="264"/>
      <c r="CD174" s="264"/>
      <c r="CE174" s="264"/>
      <c r="CF174" s="264"/>
      <c r="CG174" s="264"/>
      <c r="CH174" s="264"/>
      <c r="CI174" s="264"/>
    </row>
    <row r="175" spans="1:87" customFormat="1">
      <c r="A175" s="282"/>
      <c r="B175" s="270"/>
      <c r="C175" s="270"/>
      <c r="D175" s="270"/>
      <c r="E175" s="270"/>
      <c r="F175" s="283"/>
      <c r="G175" s="270"/>
      <c r="H175" s="270"/>
      <c r="I175" s="270"/>
      <c r="J175" s="270"/>
      <c r="K175" s="270"/>
      <c r="L175" s="270"/>
      <c r="M175" s="270"/>
      <c r="N175" s="270"/>
      <c r="O175" s="270"/>
      <c r="P175" s="270"/>
      <c r="Q175" s="270"/>
      <c r="R175" s="282"/>
      <c r="S175" s="270"/>
      <c r="T175" s="270"/>
      <c r="U175" s="270"/>
      <c r="V175" s="270"/>
      <c r="W175" s="260"/>
      <c r="X175" s="1041"/>
      <c r="Y175" s="270"/>
      <c r="Z175" s="270"/>
      <c r="AA175" s="270"/>
      <c r="AB175" s="270"/>
      <c r="AC175" s="270"/>
      <c r="AD175" s="270"/>
      <c r="AE175" s="260"/>
      <c r="AF175" s="264"/>
      <c r="AG175" s="264"/>
      <c r="AH175" s="264"/>
      <c r="AI175" s="264"/>
      <c r="AJ175" s="264"/>
      <c r="AK175" s="264"/>
      <c r="AL175" s="264"/>
      <c r="AM175" s="264"/>
      <c r="AN175" s="264"/>
      <c r="AO175" s="264"/>
      <c r="AP175" s="264"/>
      <c r="AQ175" s="264"/>
      <c r="AR175" s="264"/>
      <c r="AS175" s="264"/>
      <c r="AT175" s="264"/>
      <c r="AU175" s="264"/>
      <c r="AV175" s="264"/>
      <c r="AW175" s="264"/>
      <c r="AX175" s="264"/>
      <c r="AY175" s="264"/>
      <c r="AZ175" s="264"/>
      <c r="BA175" s="264"/>
      <c r="BB175" s="264"/>
      <c r="BC175" s="264"/>
      <c r="BD175" s="264"/>
      <c r="BE175" s="264"/>
      <c r="BF175" s="264"/>
      <c r="BG175" s="264"/>
      <c r="BH175" s="264"/>
      <c r="BI175" s="264"/>
      <c r="BJ175" s="264"/>
      <c r="BK175" s="264"/>
      <c r="BL175" s="264"/>
      <c r="BM175" s="264"/>
      <c r="BN175" s="264"/>
      <c r="BO175" s="264"/>
      <c r="BP175" s="264"/>
      <c r="BQ175" s="264"/>
      <c r="BR175" s="264"/>
      <c r="BS175" s="264"/>
      <c r="BT175" s="264"/>
      <c r="BU175" s="264"/>
      <c r="BV175" s="264"/>
      <c r="BW175" s="264"/>
      <c r="BX175" s="264"/>
      <c r="BY175" s="264"/>
      <c r="BZ175" s="264"/>
      <c r="CA175" s="264"/>
      <c r="CB175" s="264"/>
      <c r="CC175" s="264"/>
      <c r="CD175" s="264"/>
      <c r="CE175" s="264"/>
      <c r="CF175" s="264"/>
      <c r="CG175" s="264"/>
      <c r="CH175" s="264"/>
      <c r="CI175" s="264"/>
    </row>
    <row r="176" spans="1:87" customFormat="1">
      <c r="A176" s="256"/>
      <c r="B176" s="255"/>
      <c r="C176" s="255"/>
      <c r="D176" s="256"/>
      <c r="E176" s="255"/>
      <c r="F176" s="255"/>
      <c r="G176" s="255"/>
      <c r="H176" s="262"/>
      <c r="I176" s="255"/>
      <c r="J176" s="255"/>
      <c r="K176" s="255"/>
      <c r="L176" s="255"/>
      <c r="M176" s="257"/>
      <c r="N176" s="255"/>
      <c r="O176" s="255"/>
      <c r="P176" s="256"/>
      <c r="Q176" s="255"/>
      <c r="R176" s="272"/>
      <c r="S176" s="255"/>
      <c r="T176" s="255"/>
      <c r="U176" s="255"/>
      <c r="V176" s="257"/>
      <c r="W176" s="259"/>
      <c r="X176" s="1039"/>
      <c r="Y176" s="255"/>
      <c r="Z176" s="255"/>
      <c r="AA176" s="255"/>
      <c r="AB176" s="255"/>
      <c r="AC176" s="255"/>
      <c r="AD176" s="255"/>
      <c r="AE176" s="255"/>
      <c r="AF176" s="264"/>
      <c r="AG176" s="264"/>
      <c r="AH176" s="264"/>
      <c r="AI176" s="264"/>
      <c r="AJ176" s="264"/>
      <c r="AK176" s="264"/>
      <c r="AL176" s="264"/>
      <c r="AM176" s="264"/>
      <c r="AN176" s="264"/>
      <c r="AO176" s="264"/>
      <c r="AP176" s="264"/>
      <c r="AQ176" s="264"/>
      <c r="AR176" s="264"/>
      <c r="AS176" s="264"/>
      <c r="AT176" s="264"/>
      <c r="AU176" s="264"/>
      <c r="AV176" s="264"/>
      <c r="AW176" s="264"/>
      <c r="AX176" s="264"/>
      <c r="AY176" s="264"/>
      <c r="AZ176" s="264"/>
      <c r="BA176" s="264"/>
      <c r="BB176" s="264"/>
      <c r="BC176" s="264"/>
      <c r="BD176" s="264"/>
      <c r="BE176" s="264"/>
      <c r="BF176" s="264"/>
      <c r="BG176" s="264"/>
      <c r="BH176" s="264"/>
      <c r="BI176" s="264"/>
      <c r="BJ176" s="264"/>
      <c r="BK176" s="264"/>
      <c r="BL176" s="264"/>
      <c r="BM176" s="264"/>
      <c r="BN176" s="264"/>
      <c r="BO176" s="264"/>
      <c r="BP176" s="264"/>
      <c r="BQ176" s="264"/>
      <c r="BR176" s="264"/>
      <c r="BS176" s="264"/>
      <c r="BT176" s="264"/>
      <c r="BU176" s="264"/>
      <c r="BV176" s="264"/>
      <c r="BW176" s="264"/>
      <c r="BX176" s="264"/>
      <c r="BY176" s="264"/>
      <c r="BZ176" s="264"/>
      <c r="CA176" s="264"/>
      <c r="CB176" s="264"/>
      <c r="CC176" s="264"/>
      <c r="CD176" s="264"/>
      <c r="CE176" s="264"/>
      <c r="CF176" s="264"/>
      <c r="CG176" s="264"/>
      <c r="CH176" s="264"/>
      <c r="CI176" s="264"/>
    </row>
    <row r="177" spans="1:87" customFormat="1">
      <c r="A177" s="282"/>
      <c r="B177" s="270"/>
      <c r="C177" s="270"/>
      <c r="D177" s="270"/>
      <c r="E177" s="270"/>
      <c r="F177" s="270"/>
      <c r="G177" s="270"/>
      <c r="H177" s="270"/>
      <c r="I177" s="270"/>
      <c r="J177" s="270"/>
      <c r="K177" s="270"/>
      <c r="L177" s="271"/>
      <c r="M177" s="270"/>
      <c r="N177" s="270"/>
      <c r="O177" s="270"/>
      <c r="P177" s="270"/>
      <c r="Q177" s="270"/>
      <c r="R177" s="282"/>
      <c r="S177" s="270"/>
      <c r="T177" s="270"/>
      <c r="U177" s="257"/>
      <c r="V177" s="270"/>
      <c r="W177" s="260"/>
      <c r="X177" s="1041"/>
      <c r="Y177" s="270"/>
      <c r="Z177" s="270"/>
      <c r="AA177" s="270"/>
      <c r="AB177" s="270"/>
      <c r="AC177" s="270"/>
      <c r="AD177" s="270"/>
      <c r="AE177" s="260"/>
      <c r="AF177" s="264"/>
      <c r="AG177" s="264"/>
      <c r="AH177" s="264"/>
      <c r="AI177" s="264"/>
      <c r="AJ177" s="264"/>
      <c r="AK177" s="264"/>
      <c r="AL177" s="264"/>
      <c r="AM177" s="264"/>
      <c r="AN177" s="264"/>
      <c r="AO177" s="264"/>
      <c r="AP177" s="264"/>
      <c r="AQ177" s="264"/>
      <c r="AR177" s="264"/>
      <c r="AS177" s="264"/>
      <c r="AT177" s="264"/>
      <c r="AU177" s="264"/>
      <c r="AV177" s="264"/>
      <c r="AW177" s="264"/>
      <c r="AX177" s="264"/>
      <c r="AY177" s="264"/>
      <c r="AZ177" s="264"/>
      <c r="BA177" s="264"/>
      <c r="BB177" s="264"/>
      <c r="BC177" s="264"/>
      <c r="BD177" s="264"/>
      <c r="BE177" s="264"/>
      <c r="BF177" s="264"/>
      <c r="BG177" s="264"/>
      <c r="BH177" s="264"/>
      <c r="BI177" s="264"/>
      <c r="BJ177" s="264"/>
      <c r="BK177" s="264"/>
      <c r="BL177" s="264"/>
      <c r="BM177" s="264"/>
      <c r="BN177" s="264"/>
      <c r="BO177" s="264"/>
      <c r="BP177" s="264"/>
      <c r="BQ177" s="264"/>
      <c r="BR177" s="264"/>
      <c r="BS177" s="264"/>
      <c r="BT177" s="264"/>
      <c r="BU177" s="264"/>
      <c r="BV177" s="264"/>
      <c r="BW177" s="264"/>
      <c r="BX177" s="264"/>
      <c r="BY177" s="264"/>
      <c r="BZ177" s="264"/>
      <c r="CA177" s="264"/>
      <c r="CB177" s="264"/>
      <c r="CC177" s="264"/>
      <c r="CD177" s="264"/>
      <c r="CE177" s="264"/>
      <c r="CF177" s="264"/>
      <c r="CG177" s="264"/>
      <c r="CH177" s="264"/>
      <c r="CI177" s="264"/>
    </row>
    <row r="178" spans="1:87" customFormat="1">
      <c r="A178" s="256"/>
      <c r="B178" s="255"/>
      <c r="C178" s="255"/>
      <c r="D178" s="256"/>
      <c r="E178" s="255"/>
      <c r="F178" s="255"/>
      <c r="G178" s="255"/>
      <c r="H178" s="262"/>
      <c r="I178" s="255"/>
      <c r="J178" s="255"/>
      <c r="K178" s="255"/>
      <c r="L178" s="255"/>
      <c r="M178" s="257"/>
      <c r="N178" s="255"/>
      <c r="O178" s="255"/>
      <c r="P178" s="256"/>
      <c r="Q178" s="255"/>
      <c r="R178" s="272"/>
      <c r="S178" s="255"/>
      <c r="T178" s="255"/>
      <c r="U178" s="255"/>
      <c r="V178" s="257"/>
      <c r="W178" s="259"/>
      <c r="X178" s="1039"/>
      <c r="Y178" s="255"/>
      <c r="Z178" s="255"/>
      <c r="AA178" s="255"/>
      <c r="AB178" s="255"/>
      <c r="AC178" s="255"/>
      <c r="AD178" s="255"/>
      <c r="AE178" s="255"/>
      <c r="AF178" s="264"/>
      <c r="AG178" s="264"/>
      <c r="AH178" s="264"/>
      <c r="AI178" s="264"/>
      <c r="AJ178" s="264"/>
      <c r="AK178" s="264"/>
      <c r="AL178" s="264"/>
      <c r="AM178" s="264"/>
      <c r="AN178" s="264"/>
      <c r="AO178" s="264"/>
      <c r="AP178" s="264"/>
      <c r="AQ178" s="264"/>
      <c r="AR178" s="264"/>
      <c r="AS178" s="264"/>
      <c r="AT178" s="264"/>
      <c r="AU178" s="264"/>
      <c r="AV178" s="264"/>
      <c r="AW178" s="264"/>
      <c r="AX178" s="264"/>
      <c r="AY178" s="264"/>
      <c r="AZ178" s="264"/>
      <c r="BA178" s="264"/>
      <c r="BB178" s="264"/>
      <c r="BC178" s="264"/>
      <c r="BD178" s="264"/>
      <c r="BE178" s="264"/>
      <c r="BF178" s="264"/>
      <c r="BG178" s="264"/>
      <c r="BH178" s="264"/>
      <c r="BI178" s="264"/>
      <c r="BJ178" s="264"/>
      <c r="BK178" s="264"/>
      <c r="BL178" s="264"/>
      <c r="BM178" s="264"/>
      <c r="BN178" s="264"/>
      <c r="BO178" s="264"/>
      <c r="BP178" s="264"/>
      <c r="BQ178" s="264"/>
      <c r="BR178" s="264"/>
      <c r="BS178" s="264"/>
      <c r="BT178" s="264"/>
      <c r="BU178" s="264"/>
      <c r="BV178" s="264"/>
      <c r="BW178" s="264"/>
      <c r="BX178" s="264"/>
      <c r="BY178" s="264"/>
      <c r="BZ178" s="264"/>
      <c r="CA178" s="264"/>
      <c r="CB178" s="264"/>
      <c r="CC178" s="264"/>
      <c r="CD178" s="264"/>
      <c r="CE178" s="264"/>
      <c r="CF178" s="264"/>
      <c r="CG178" s="264"/>
      <c r="CH178" s="264"/>
      <c r="CI178" s="264"/>
    </row>
    <row r="179" spans="1:87" customFormat="1">
      <c r="A179" s="282"/>
      <c r="B179" s="270"/>
      <c r="C179" s="270"/>
      <c r="D179" s="270"/>
      <c r="E179" s="270"/>
      <c r="F179" s="270"/>
      <c r="G179" s="270"/>
      <c r="H179" s="270"/>
      <c r="I179" s="270"/>
      <c r="J179" s="270"/>
      <c r="K179" s="270"/>
      <c r="L179" s="271"/>
      <c r="M179" s="270"/>
      <c r="N179" s="270"/>
      <c r="O179" s="270"/>
      <c r="P179" s="270"/>
      <c r="Q179" s="270"/>
      <c r="R179" s="282"/>
      <c r="S179" s="270"/>
      <c r="T179" s="270"/>
      <c r="U179" s="270"/>
      <c r="V179" s="270"/>
      <c r="W179" s="260"/>
      <c r="X179" s="1041"/>
      <c r="Y179" s="270"/>
      <c r="Z179" s="270"/>
      <c r="AA179" s="270"/>
      <c r="AB179" s="270"/>
      <c r="AC179" s="270"/>
      <c r="AD179" s="270"/>
      <c r="AE179" s="260"/>
      <c r="AF179" s="264"/>
      <c r="AG179" s="264"/>
      <c r="AH179" s="264"/>
      <c r="AI179" s="264"/>
      <c r="AJ179" s="264"/>
      <c r="AK179" s="264"/>
      <c r="AL179" s="264"/>
      <c r="AM179" s="264"/>
      <c r="AN179" s="264"/>
      <c r="AO179" s="264"/>
      <c r="AP179" s="264"/>
      <c r="AQ179" s="264"/>
      <c r="AR179" s="264"/>
      <c r="AS179" s="264"/>
      <c r="AT179" s="264"/>
      <c r="AU179" s="264"/>
      <c r="AV179" s="264"/>
      <c r="AW179" s="264"/>
      <c r="AX179" s="264"/>
      <c r="AY179" s="264"/>
      <c r="AZ179" s="264"/>
      <c r="BA179" s="264"/>
      <c r="BB179" s="264"/>
      <c r="BC179" s="264"/>
      <c r="BD179" s="264"/>
      <c r="BE179" s="264"/>
      <c r="BF179" s="264"/>
      <c r="BG179" s="264"/>
      <c r="BH179" s="264"/>
      <c r="BI179" s="264"/>
      <c r="BJ179" s="264"/>
      <c r="BK179" s="264"/>
      <c r="BL179" s="264"/>
      <c r="BM179" s="264"/>
      <c r="BN179" s="264"/>
      <c r="BO179" s="264"/>
      <c r="BP179" s="264"/>
      <c r="BQ179" s="264"/>
      <c r="BR179" s="264"/>
      <c r="BS179" s="264"/>
      <c r="BT179" s="264"/>
      <c r="BU179" s="264"/>
      <c r="BV179" s="264"/>
      <c r="BW179" s="264"/>
      <c r="BX179" s="264"/>
      <c r="BY179" s="264"/>
      <c r="BZ179" s="264"/>
      <c r="CA179" s="264"/>
      <c r="CB179" s="264"/>
      <c r="CC179" s="264"/>
      <c r="CD179" s="264"/>
      <c r="CE179" s="264"/>
      <c r="CF179" s="264"/>
      <c r="CG179" s="264"/>
      <c r="CH179" s="264"/>
      <c r="CI179" s="264"/>
    </row>
    <row r="180" spans="1:87" customFormat="1">
      <c r="A180" s="256"/>
      <c r="B180" s="255"/>
      <c r="C180" s="255"/>
      <c r="D180" s="256"/>
      <c r="E180" s="255"/>
      <c r="F180" s="255"/>
      <c r="G180" s="255"/>
      <c r="H180" s="262"/>
      <c r="I180" s="255"/>
      <c r="J180" s="255"/>
      <c r="K180" s="255"/>
      <c r="L180" s="255"/>
      <c r="M180" s="257"/>
      <c r="N180" s="255"/>
      <c r="O180" s="255"/>
      <c r="P180" s="256"/>
      <c r="Q180" s="255"/>
      <c r="R180" s="272"/>
      <c r="S180" s="255"/>
      <c r="T180" s="255"/>
      <c r="U180" s="255"/>
      <c r="V180" s="257"/>
      <c r="W180" s="259"/>
      <c r="X180" s="1039"/>
      <c r="Y180" s="255"/>
      <c r="Z180" s="255"/>
      <c r="AA180" s="255"/>
      <c r="AB180" s="255"/>
      <c r="AC180" s="255"/>
      <c r="AD180" s="255"/>
      <c r="AE180" s="255"/>
      <c r="AF180" s="264"/>
      <c r="AG180" s="264"/>
      <c r="AH180" s="264"/>
      <c r="AI180" s="264"/>
      <c r="AJ180" s="264"/>
      <c r="AK180" s="264"/>
      <c r="AL180" s="264"/>
      <c r="AM180" s="264"/>
      <c r="AN180" s="264"/>
      <c r="AO180" s="264"/>
      <c r="AP180" s="264"/>
      <c r="AQ180" s="264"/>
      <c r="AR180" s="264"/>
      <c r="AS180" s="264"/>
      <c r="AT180" s="264"/>
      <c r="AU180" s="264"/>
      <c r="AV180" s="264"/>
      <c r="AW180" s="264"/>
      <c r="AX180" s="264"/>
      <c r="AY180" s="264"/>
      <c r="AZ180" s="264"/>
      <c r="BA180" s="264"/>
      <c r="BB180" s="264"/>
      <c r="BC180" s="264"/>
      <c r="BD180" s="264"/>
      <c r="BE180" s="264"/>
      <c r="BF180" s="264"/>
      <c r="BG180" s="264"/>
      <c r="BH180" s="264"/>
      <c r="BI180" s="264"/>
      <c r="BJ180" s="264"/>
      <c r="BK180" s="264"/>
      <c r="BL180" s="264"/>
      <c r="BM180" s="264"/>
      <c r="BN180" s="264"/>
      <c r="BO180" s="264"/>
      <c r="BP180" s="264"/>
      <c r="BQ180" s="264"/>
      <c r="BR180" s="264"/>
      <c r="BS180" s="264"/>
      <c r="BT180" s="264"/>
      <c r="BU180" s="264"/>
      <c r="BV180" s="264"/>
      <c r="BW180" s="264"/>
      <c r="BX180" s="264"/>
      <c r="BY180" s="264"/>
      <c r="BZ180" s="264"/>
      <c r="CA180" s="264"/>
      <c r="CB180" s="264"/>
      <c r="CC180" s="264"/>
      <c r="CD180" s="264"/>
      <c r="CE180" s="264"/>
      <c r="CF180" s="264"/>
      <c r="CG180" s="264"/>
      <c r="CH180" s="264"/>
      <c r="CI180" s="264"/>
    </row>
    <row r="181" spans="1:87" customFormat="1">
      <c r="A181" s="282"/>
      <c r="B181" s="270"/>
      <c r="C181" s="270"/>
      <c r="D181" s="270"/>
      <c r="E181" s="270"/>
      <c r="F181" s="283"/>
      <c r="G181" s="270"/>
      <c r="H181" s="270"/>
      <c r="I181" s="270"/>
      <c r="J181" s="270"/>
      <c r="K181" s="270"/>
      <c r="L181" s="270"/>
      <c r="M181" s="270"/>
      <c r="N181" s="270"/>
      <c r="O181" s="270"/>
      <c r="P181" s="270"/>
      <c r="Q181" s="270"/>
      <c r="R181" s="282"/>
      <c r="S181" s="270"/>
      <c r="T181" s="270"/>
      <c r="U181" s="270"/>
      <c r="V181" s="270"/>
      <c r="W181" s="260"/>
      <c r="X181" s="1041"/>
      <c r="Y181" s="270"/>
      <c r="Z181" s="270"/>
      <c r="AA181" s="270"/>
      <c r="AB181" s="270"/>
      <c r="AC181" s="270"/>
      <c r="AD181" s="270"/>
      <c r="AE181" s="260"/>
      <c r="AF181" s="264"/>
      <c r="AG181" s="264"/>
      <c r="AH181" s="264"/>
      <c r="AI181" s="264"/>
      <c r="AJ181" s="264"/>
      <c r="AK181" s="264"/>
      <c r="AL181" s="264"/>
      <c r="AM181" s="264"/>
      <c r="AN181" s="264"/>
      <c r="AO181" s="264"/>
      <c r="AP181" s="264"/>
      <c r="AQ181" s="264"/>
      <c r="AR181" s="264"/>
      <c r="AS181" s="264"/>
      <c r="AT181" s="264"/>
      <c r="AU181" s="264"/>
      <c r="AV181" s="264"/>
      <c r="AW181" s="264"/>
      <c r="AX181" s="264"/>
      <c r="AY181" s="264"/>
      <c r="AZ181" s="264"/>
      <c r="BA181" s="264"/>
      <c r="BB181" s="264"/>
      <c r="BC181" s="264"/>
      <c r="BD181" s="264"/>
      <c r="BE181" s="264"/>
      <c r="BF181" s="264"/>
      <c r="BG181" s="264"/>
      <c r="BH181" s="264"/>
      <c r="BI181" s="264"/>
      <c r="BJ181" s="264"/>
      <c r="BK181" s="264"/>
      <c r="BL181" s="264"/>
      <c r="BM181" s="264"/>
      <c r="BN181" s="264"/>
      <c r="BO181" s="264"/>
      <c r="BP181" s="264"/>
      <c r="BQ181" s="264"/>
      <c r="BR181" s="264"/>
      <c r="BS181" s="264"/>
      <c r="BT181" s="264"/>
      <c r="BU181" s="264"/>
      <c r="BV181" s="264"/>
      <c r="BW181" s="264"/>
      <c r="BX181" s="264"/>
      <c r="BY181" s="264"/>
      <c r="BZ181" s="264"/>
      <c r="CA181" s="264"/>
      <c r="CB181" s="264"/>
      <c r="CC181" s="264"/>
      <c r="CD181" s="264"/>
      <c r="CE181" s="264"/>
      <c r="CF181" s="264"/>
      <c r="CG181" s="264"/>
      <c r="CH181" s="264"/>
      <c r="CI181" s="264"/>
    </row>
    <row r="182" spans="1:87" customFormat="1">
      <c r="A182" s="256"/>
      <c r="B182" s="255"/>
      <c r="C182" s="255"/>
      <c r="D182" s="256"/>
      <c r="E182" s="255"/>
      <c r="F182" s="255"/>
      <c r="G182" s="255"/>
      <c r="H182" s="262"/>
      <c r="I182" s="255"/>
      <c r="J182" s="255"/>
      <c r="K182" s="255"/>
      <c r="L182" s="255"/>
      <c r="M182" s="257"/>
      <c r="N182" s="255"/>
      <c r="O182" s="255"/>
      <c r="P182" s="256"/>
      <c r="Q182" s="255"/>
      <c r="R182" s="272"/>
      <c r="S182" s="255"/>
      <c r="T182" s="255"/>
      <c r="U182" s="255"/>
      <c r="V182" s="257"/>
      <c r="W182" s="259"/>
      <c r="X182" s="1039"/>
      <c r="Y182" s="255"/>
      <c r="Z182" s="255"/>
      <c r="AA182" s="255"/>
      <c r="AB182" s="255"/>
      <c r="AC182" s="255"/>
      <c r="AD182" s="255"/>
      <c r="AE182" s="255"/>
      <c r="AF182" s="264"/>
      <c r="AG182" s="264"/>
      <c r="AH182" s="264"/>
      <c r="AI182" s="264"/>
      <c r="AJ182" s="264"/>
      <c r="AK182" s="264"/>
      <c r="AL182" s="264"/>
      <c r="AM182" s="264"/>
      <c r="AN182" s="264"/>
      <c r="AO182" s="264"/>
      <c r="AP182" s="264"/>
      <c r="AQ182" s="264"/>
      <c r="AR182" s="264"/>
      <c r="AS182" s="264"/>
      <c r="AT182" s="264"/>
      <c r="AU182" s="264"/>
      <c r="AV182" s="264"/>
      <c r="AW182" s="264"/>
      <c r="AX182" s="264"/>
      <c r="AY182" s="264"/>
      <c r="AZ182" s="264"/>
      <c r="BA182" s="264"/>
      <c r="BB182" s="264"/>
      <c r="BC182" s="264"/>
      <c r="BD182" s="264"/>
      <c r="BE182" s="264"/>
      <c r="BF182" s="264"/>
      <c r="BG182" s="264"/>
      <c r="BH182" s="264"/>
      <c r="BI182" s="264"/>
      <c r="BJ182" s="264"/>
      <c r="BK182" s="264"/>
      <c r="BL182" s="264"/>
      <c r="BM182" s="264"/>
      <c r="BN182" s="264"/>
      <c r="BO182" s="264"/>
      <c r="BP182" s="264"/>
      <c r="BQ182" s="264"/>
      <c r="BR182" s="264"/>
      <c r="BS182" s="264"/>
      <c r="BT182" s="264"/>
      <c r="BU182" s="264"/>
      <c r="BV182" s="264"/>
      <c r="BW182" s="264"/>
      <c r="BX182" s="264"/>
      <c r="BY182" s="264"/>
      <c r="BZ182" s="264"/>
      <c r="CA182" s="264"/>
      <c r="CB182" s="264"/>
      <c r="CC182" s="264"/>
      <c r="CD182" s="264"/>
      <c r="CE182" s="264"/>
      <c r="CF182" s="264"/>
      <c r="CG182" s="264"/>
      <c r="CH182" s="264"/>
      <c r="CI182" s="264"/>
    </row>
    <row r="183" spans="1:87" customFormat="1">
      <c r="A183" s="282"/>
      <c r="B183" s="270"/>
      <c r="C183" s="270"/>
      <c r="D183" s="270"/>
      <c r="E183" s="270"/>
      <c r="F183" s="270"/>
      <c r="G183" s="270"/>
      <c r="H183" s="270"/>
      <c r="I183" s="270"/>
      <c r="J183" s="270"/>
      <c r="K183" s="270"/>
      <c r="L183" s="270"/>
      <c r="M183" s="270"/>
      <c r="N183" s="270"/>
      <c r="O183" s="270"/>
      <c r="P183" s="270"/>
      <c r="Q183" s="270"/>
      <c r="R183" s="282"/>
      <c r="S183" s="270"/>
      <c r="T183" s="270"/>
      <c r="U183" s="270"/>
      <c r="V183" s="270"/>
      <c r="W183" s="260"/>
      <c r="X183" s="1041"/>
      <c r="Y183" s="270"/>
      <c r="Z183" s="270"/>
      <c r="AA183" s="270"/>
      <c r="AB183" s="270"/>
      <c r="AC183" s="270"/>
      <c r="AD183" s="270"/>
      <c r="AE183" s="260"/>
      <c r="AF183" s="264"/>
      <c r="AG183" s="264"/>
      <c r="AH183" s="264"/>
      <c r="AI183" s="264"/>
      <c r="AJ183" s="264"/>
      <c r="AK183" s="264"/>
      <c r="AL183" s="264"/>
      <c r="AM183" s="264"/>
      <c r="AN183" s="264"/>
      <c r="AO183" s="264"/>
      <c r="AP183" s="264"/>
      <c r="AQ183" s="264"/>
      <c r="AR183" s="264"/>
      <c r="AS183" s="264"/>
      <c r="AT183" s="264"/>
      <c r="AU183" s="264"/>
      <c r="AV183" s="264"/>
      <c r="AW183" s="264"/>
      <c r="AX183" s="264"/>
      <c r="AY183" s="264"/>
      <c r="AZ183" s="264"/>
      <c r="BA183" s="264"/>
      <c r="BB183" s="264"/>
      <c r="BC183" s="264"/>
      <c r="BD183" s="264"/>
      <c r="BE183" s="264"/>
      <c r="BF183" s="264"/>
      <c r="BG183" s="264"/>
      <c r="BH183" s="264"/>
      <c r="BI183" s="264"/>
      <c r="BJ183" s="264"/>
      <c r="BK183" s="264"/>
      <c r="BL183" s="264"/>
      <c r="BM183" s="264"/>
      <c r="BN183" s="264"/>
      <c r="BO183" s="264"/>
      <c r="BP183" s="264"/>
      <c r="BQ183" s="264"/>
      <c r="BR183" s="264"/>
      <c r="BS183" s="264"/>
      <c r="BT183" s="264"/>
      <c r="BU183" s="264"/>
      <c r="BV183" s="264"/>
      <c r="BW183" s="264"/>
      <c r="BX183" s="264"/>
      <c r="BY183" s="264"/>
      <c r="BZ183" s="264"/>
      <c r="CA183" s="264"/>
      <c r="CB183" s="264"/>
      <c r="CC183" s="264"/>
      <c r="CD183" s="264"/>
      <c r="CE183" s="264"/>
      <c r="CF183" s="264"/>
      <c r="CG183" s="264"/>
      <c r="CH183" s="264"/>
      <c r="CI183" s="264"/>
    </row>
    <row r="184" spans="1:87" customFormat="1">
      <c r="A184" s="256"/>
      <c r="B184" s="255"/>
      <c r="C184" s="255"/>
      <c r="D184" s="256"/>
      <c r="E184" s="255"/>
      <c r="F184" s="255"/>
      <c r="G184" s="255"/>
      <c r="H184" s="262"/>
      <c r="I184" s="255"/>
      <c r="J184" s="255"/>
      <c r="K184" s="255"/>
      <c r="L184" s="262"/>
      <c r="M184" s="257"/>
      <c r="N184" s="255"/>
      <c r="O184" s="255"/>
      <c r="P184" s="256"/>
      <c r="Q184" s="255"/>
      <c r="R184" s="272"/>
      <c r="S184" s="255"/>
      <c r="T184" s="255"/>
      <c r="U184" s="255"/>
      <c r="V184" s="257"/>
      <c r="W184" s="259"/>
      <c r="X184" s="1039"/>
      <c r="Y184" s="255"/>
      <c r="Z184" s="255"/>
      <c r="AA184" s="255"/>
      <c r="AB184" s="255"/>
      <c r="AC184" s="255"/>
      <c r="AD184" s="255"/>
      <c r="AE184" s="255"/>
      <c r="AF184" s="264"/>
      <c r="AG184" s="264"/>
      <c r="AH184" s="264"/>
      <c r="AI184" s="264"/>
      <c r="AJ184" s="264"/>
      <c r="AK184" s="264"/>
      <c r="AL184" s="264"/>
      <c r="AM184" s="264"/>
      <c r="AN184" s="264"/>
      <c r="AO184" s="264"/>
      <c r="AP184" s="264"/>
      <c r="AQ184" s="264"/>
      <c r="AR184" s="264"/>
      <c r="AS184" s="264"/>
      <c r="AT184" s="264"/>
      <c r="AU184" s="264"/>
      <c r="AV184" s="264"/>
      <c r="AW184" s="264"/>
      <c r="AX184" s="264"/>
      <c r="AY184" s="264"/>
      <c r="AZ184" s="264"/>
      <c r="BA184" s="264"/>
      <c r="BB184" s="264"/>
      <c r="BC184" s="264"/>
      <c r="BD184" s="264"/>
      <c r="BE184" s="264"/>
      <c r="BF184" s="264"/>
      <c r="BG184" s="264"/>
      <c r="BH184" s="264"/>
      <c r="BI184" s="264"/>
      <c r="BJ184" s="264"/>
      <c r="BK184" s="264"/>
      <c r="BL184" s="264"/>
      <c r="BM184" s="264"/>
      <c r="BN184" s="264"/>
      <c r="BO184" s="264"/>
      <c r="BP184" s="264"/>
      <c r="BQ184" s="264"/>
      <c r="BR184" s="264"/>
      <c r="BS184" s="264"/>
      <c r="BT184" s="264"/>
      <c r="BU184" s="264"/>
      <c r="BV184" s="264"/>
      <c r="BW184" s="264"/>
      <c r="BX184" s="264"/>
      <c r="BY184" s="264"/>
      <c r="BZ184" s="264"/>
      <c r="CA184" s="264"/>
      <c r="CB184" s="264"/>
      <c r="CC184" s="264"/>
      <c r="CD184" s="264"/>
      <c r="CE184" s="264"/>
      <c r="CF184" s="264"/>
      <c r="CG184" s="264"/>
      <c r="CH184" s="264"/>
      <c r="CI184" s="264"/>
    </row>
    <row r="185" spans="1:87" customFormat="1">
      <c r="A185" s="282"/>
      <c r="B185" s="270"/>
      <c r="C185" s="270"/>
      <c r="D185" s="270"/>
      <c r="E185" s="270"/>
      <c r="F185" s="283"/>
      <c r="G185" s="270"/>
      <c r="H185" s="270"/>
      <c r="I185" s="270"/>
      <c r="J185" s="270"/>
      <c r="K185" s="270"/>
      <c r="L185" s="271"/>
      <c r="M185" s="270"/>
      <c r="N185" s="270"/>
      <c r="O185" s="270"/>
      <c r="P185" s="270"/>
      <c r="Q185" s="270"/>
      <c r="R185" s="282"/>
      <c r="S185" s="270"/>
      <c r="T185" s="270"/>
      <c r="U185" s="270"/>
      <c r="V185" s="270"/>
      <c r="W185" s="260"/>
      <c r="X185" s="1041"/>
      <c r="Y185" s="270"/>
      <c r="Z185" s="270"/>
      <c r="AA185" s="270"/>
      <c r="AB185" s="270"/>
      <c r="AC185" s="270"/>
      <c r="AD185" s="270"/>
      <c r="AE185" s="260"/>
      <c r="AF185" s="264"/>
      <c r="AG185" s="264"/>
      <c r="AH185" s="264"/>
      <c r="AI185" s="264"/>
      <c r="AJ185" s="264"/>
      <c r="AK185" s="264"/>
      <c r="AL185" s="264"/>
      <c r="AM185" s="264"/>
      <c r="AN185" s="264"/>
      <c r="AO185" s="264"/>
      <c r="AP185" s="264"/>
      <c r="AQ185" s="264"/>
      <c r="AR185" s="264"/>
      <c r="AS185" s="264"/>
      <c r="AT185" s="264"/>
      <c r="AU185" s="264"/>
      <c r="AV185" s="264"/>
      <c r="AW185" s="264"/>
      <c r="AX185" s="264"/>
      <c r="AY185" s="264"/>
      <c r="AZ185" s="264"/>
      <c r="BA185" s="264"/>
      <c r="BB185" s="264"/>
      <c r="BC185" s="264"/>
      <c r="BD185" s="264"/>
      <c r="BE185" s="264"/>
      <c r="BF185" s="264"/>
      <c r="BG185" s="264"/>
      <c r="BH185" s="264"/>
      <c r="BI185" s="264"/>
      <c r="BJ185" s="264"/>
      <c r="BK185" s="264"/>
      <c r="BL185" s="264"/>
      <c r="BM185" s="264"/>
      <c r="BN185" s="264"/>
      <c r="BO185" s="264"/>
      <c r="BP185" s="264"/>
      <c r="BQ185" s="264"/>
      <c r="BR185" s="264"/>
      <c r="BS185" s="264"/>
      <c r="BT185" s="264"/>
      <c r="BU185" s="264"/>
      <c r="BV185" s="264"/>
      <c r="BW185" s="264"/>
      <c r="BX185" s="264"/>
      <c r="BY185" s="264"/>
      <c r="BZ185" s="264"/>
      <c r="CA185" s="264"/>
      <c r="CB185" s="264"/>
      <c r="CC185" s="264"/>
      <c r="CD185" s="264"/>
      <c r="CE185" s="264"/>
      <c r="CF185" s="264"/>
      <c r="CG185" s="264"/>
      <c r="CH185" s="264"/>
      <c r="CI185" s="264"/>
    </row>
    <row r="186" spans="1:87" customFormat="1">
      <c r="A186" s="256"/>
      <c r="B186" s="255"/>
      <c r="C186" s="255"/>
      <c r="D186" s="256"/>
      <c r="E186" s="255"/>
      <c r="F186" s="255"/>
      <c r="G186" s="255"/>
      <c r="H186" s="262"/>
      <c r="I186" s="255"/>
      <c r="J186" s="255"/>
      <c r="K186" s="255"/>
      <c r="L186" s="255"/>
      <c r="M186" s="257"/>
      <c r="N186" s="255"/>
      <c r="O186" s="255"/>
      <c r="P186" s="256"/>
      <c r="Q186" s="255"/>
      <c r="R186" s="272"/>
      <c r="S186" s="255"/>
      <c r="T186" s="255"/>
      <c r="U186" s="255"/>
      <c r="V186" s="257"/>
      <c r="W186" s="259"/>
      <c r="X186" s="1039"/>
      <c r="Y186" s="255"/>
      <c r="Z186" s="255"/>
      <c r="AA186" s="255"/>
      <c r="AB186" s="255"/>
      <c r="AC186" s="255"/>
      <c r="AD186" s="255"/>
      <c r="AE186" s="255"/>
      <c r="AF186" s="264"/>
      <c r="AG186" s="264"/>
      <c r="AH186" s="264"/>
      <c r="AI186" s="264"/>
      <c r="AJ186" s="264"/>
      <c r="AK186" s="264"/>
      <c r="AL186" s="264"/>
      <c r="AM186" s="264"/>
      <c r="AN186" s="264"/>
      <c r="AO186" s="264"/>
      <c r="AP186" s="264"/>
      <c r="AQ186" s="264"/>
      <c r="AR186" s="264"/>
      <c r="AS186" s="264"/>
      <c r="AT186" s="264"/>
      <c r="AU186" s="264"/>
      <c r="AV186" s="264"/>
      <c r="AW186" s="264"/>
      <c r="AX186" s="264"/>
      <c r="AY186" s="264"/>
      <c r="AZ186" s="264"/>
      <c r="BA186" s="264"/>
      <c r="BB186" s="264"/>
      <c r="BC186" s="264"/>
      <c r="BD186" s="264"/>
      <c r="BE186" s="264"/>
      <c r="BF186" s="264"/>
      <c r="BG186" s="264"/>
      <c r="BH186" s="264"/>
      <c r="BI186" s="264"/>
      <c r="BJ186" s="264"/>
      <c r="BK186" s="264"/>
      <c r="BL186" s="264"/>
      <c r="BM186" s="264"/>
      <c r="BN186" s="264"/>
      <c r="BO186" s="264"/>
      <c r="BP186" s="264"/>
      <c r="BQ186" s="264"/>
      <c r="BR186" s="264"/>
      <c r="BS186" s="264"/>
      <c r="BT186" s="264"/>
      <c r="BU186" s="264"/>
      <c r="BV186" s="264"/>
      <c r="BW186" s="264"/>
      <c r="BX186" s="264"/>
      <c r="BY186" s="264"/>
      <c r="BZ186" s="264"/>
      <c r="CA186" s="264"/>
      <c r="CB186" s="264"/>
      <c r="CC186" s="264"/>
      <c r="CD186" s="264"/>
      <c r="CE186" s="264"/>
      <c r="CF186" s="264"/>
      <c r="CG186" s="264"/>
      <c r="CH186" s="264"/>
      <c r="CI186" s="264"/>
    </row>
    <row r="187" spans="1:87" customFormat="1">
      <c r="A187" s="282"/>
      <c r="B187" s="270"/>
      <c r="C187" s="270"/>
      <c r="D187" s="270"/>
      <c r="E187" s="270"/>
      <c r="F187" s="270"/>
      <c r="G187" s="270"/>
      <c r="H187" s="270"/>
      <c r="I187" s="270"/>
      <c r="J187" s="270"/>
      <c r="K187" s="270"/>
      <c r="L187" s="271"/>
      <c r="M187" s="270"/>
      <c r="N187" s="270"/>
      <c r="O187" s="270"/>
      <c r="P187" s="270"/>
      <c r="Q187" s="270"/>
      <c r="R187" s="282"/>
      <c r="S187" s="270"/>
      <c r="T187" s="270"/>
      <c r="U187" s="257"/>
      <c r="V187" s="270"/>
      <c r="W187" s="260"/>
      <c r="X187" s="1041"/>
      <c r="Y187" s="270"/>
      <c r="Z187" s="270"/>
      <c r="AA187" s="270"/>
      <c r="AB187" s="270"/>
      <c r="AC187" s="270"/>
      <c r="AD187" s="270"/>
      <c r="AE187" s="260"/>
      <c r="AF187" s="264"/>
      <c r="AG187" s="264"/>
      <c r="AH187" s="264"/>
      <c r="AI187" s="264"/>
      <c r="AJ187" s="264"/>
      <c r="AK187" s="264"/>
      <c r="AL187" s="264"/>
      <c r="AM187" s="264"/>
      <c r="AN187" s="264"/>
      <c r="AO187" s="264"/>
      <c r="AP187" s="264"/>
      <c r="AQ187" s="264"/>
      <c r="AR187" s="264"/>
      <c r="AS187" s="264"/>
      <c r="AT187" s="264"/>
      <c r="AU187" s="264"/>
      <c r="AV187" s="264"/>
      <c r="AW187" s="264"/>
      <c r="AX187" s="264"/>
      <c r="AY187" s="264"/>
      <c r="AZ187" s="264"/>
      <c r="BA187" s="264"/>
      <c r="BB187" s="264"/>
      <c r="BC187" s="264"/>
      <c r="BD187" s="264"/>
      <c r="BE187" s="264"/>
      <c r="BF187" s="264"/>
      <c r="BG187" s="264"/>
      <c r="BH187" s="264"/>
      <c r="BI187" s="264"/>
      <c r="BJ187" s="264"/>
      <c r="BK187" s="264"/>
      <c r="BL187" s="264"/>
      <c r="BM187" s="264"/>
      <c r="BN187" s="264"/>
      <c r="BO187" s="264"/>
      <c r="BP187" s="264"/>
      <c r="BQ187" s="264"/>
      <c r="BR187" s="264"/>
      <c r="BS187" s="264"/>
      <c r="BT187" s="264"/>
      <c r="BU187" s="264"/>
      <c r="BV187" s="264"/>
      <c r="BW187" s="264"/>
      <c r="BX187" s="264"/>
      <c r="BY187" s="264"/>
      <c r="BZ187" s="264"/>
      <c r="CA187" s="264"/>
      <c r="CB187" s="264"/>
      <c r="CC187" s="264"/>
      <c r="CD187" s="264"/>
      <c r="CE187" s="264"/>
      <c r="CF187" s="264"/>
      <c r="CG187" s="264"/>
      <c r="CH187" s="264"/>
      <c r="CI187" s="264"/>
    </row>
    <row r="188" spans="1:87" customFormat="1">
      <c r="A188" s="256"/>
      <c r="B188" s="255"/>
      <c r="C188" s="255"/>
      <c r="D188" s="256"/>
      <c r="E188" s="255"/>
      <c r="F188" s="255"/>
      <c r="G188" s="255"/>
      <c r="H188" s="262"/>
      <c r="I188" s="255"/>
      <c r="J188" s="255"/>
      <c r="K188" s="255"/>
      <c r="L188" s="262"/>
      <c r="M188" s="257"/>
      <c r="N188" s="255"/>
      <c r="O188" s="255"/>
      <c r="P188" s="256"/>
      <c r="Q188" s="255"/>
      <c r="R188" s="272"/>
      <c r="S188" s="255"/>
      <c r="T188" s="255"/>
      <c r="U188" s="255"/>
      <c r="V188" s="257"/>
      <c r="W188" s="259"/>
      <c r="X188" s="1039"/>
      <c r="Y188" s="255"/>
      <c r="Z188" s="255"/>
      <c r="AA188" s="255"/>
      <c r="AB188" s="255"/>
      <c r="AC188" s="255"/>
      <c r="AD188" s="255"/>
      <c r="AE188" s="255"/>
      <c r="AF188" s="264"/>
      <c r="AG188" s="264"/>
      <c r="AH188" s="264"/>
      <c r="AI188" s="264"/>
      <c r="AJ188" s="264"/>
      <c r="AK188" s="264"/>
      <c r="AL188" s="264"/>
      <c r="AM188" s="264"/>
      <c r="AN188" s="264"/>
      <c r="AO188" s="264"/>
      <c r="AP188" s="264"/>
      <c r="AQ188" s="264"/>
      <c r="AR188" s="264"/>
      <c r="AS188" s="264"/>
      <c r="AT188" s="264"/>
      <c r="AU188" s="264"/>
      <c r="AV188" s="264"/>
      <c r="AW188" s="264"/>
      <c r="AX188" s="264"/>
      <c r="AY188" s="264"/>
      <c r="AZ188" s="264"/>
      <c r="BA188" s="264"/>
      <c r="BB188" s="264"/>
      <c r="BC188" s="264"/>
      <c r="BD188" s="264"/>
      <c r="BE188" s="264"/>
      <c r="BF188" s="264"/>
      <c r="BG188" s="264"/>
      <c r="BH188" s="264"/>
      <c r="BI188" s="264"/>
      <c r="BJ188" s="264"/>
      <c r="BK188" s="264"/>
      <c r="BL188" s="264"/>
      <c r="BM188" s="264"/>
      <c r="BN188" s="264"/>
      <c r="BO188" s="264"/>
      <c r="BP188" s="264"/>
      <c r="BQ188" s="264"/>
      <c r="BR188" s="264"/>
      <c r="BS188" s="264"/>
      <c r="BT188" s="264"/>
      <c r="BU188" s="264"/>
      <c r="BV188" s="264"/>
      <c r="BW188" s="264"/>
      <c r="BX188" s="264"/>
      <c r="BY188" s="264"/>
      <c r="BZ188" s="264"/>
      <c r="CA188" s="264"/>
      <c r="CB188" s="264"/>
      <c r="CC188" s="264"/>
      <c r="CD188" s="264"/>
      <c r="CE188" s="264"/>
      <c r="CF188" s="264"/>
      <c r="CG188" s="264"/>
      <c r="CH188" s="264"/>
      <c r="CI188" s="264"/>
    </row>
    <row r="189" spans="1:87" customFormat="1">
      <c r="A189" s="282"/>
      <c r="B189" s="282"/>
      <c r="C189" s="270"/>
      <c r="D189" s="270"/>
      <c r="E189" s="270"/>
      <c r="F189" s="270"/>
      <c r="G189" s="270"/>
      <c r="H189" s="270"/>
      <c r="I189" s="270"/>
      <c r="J189" s="270"/>
      <c r="K189" s="270"/>
      <c r="L189" s="271"/>
      <c r="M189" s="270"/>
      <c r="N189" s="270"/>
      <c r="O189" s="270"/>
      <c r="P189" s="270"/>
      <c r="Q189" s="270"/>
      <c r="R189" s="282"/>
      <c r="S189" s="270"/>
      <c r="T189" s="270"/>
      <c r="U189" s="257"/>
      <c r="V189" s="270"/>
      <c r="W189" s="260"/>
      <c r="X189" s="1041"/>
      <c r="Y189" s="270"/>
      <c r="Z189" s="270"/>
      <c r="AA189" s="270"/>
      <c r="AB189" s="270"/>
      <c r="AC189" s="270"/>
      <c r="AD189" s="270"/>
      <c r="AE189" s="260"/>
      <c r="AF189" s="264"/>
      <c r="AG189" s="264"/>
      <c r="AH189" s="264"/>
      <c r="AI189" s="264"/>
      <c r="AJ189" s="264"/>
      <c r="AK189" s="264"/>
      <c r="AL189" s="264"/>
      <c r="AM189" s="264"/>
      <c r="AN189" s="264"/>
      <c r="AO189" s="264"/>
      <c r="AP189" s="264"/>
      <c r="AQ189" s="264"/>
      <c r="AR189" s="264"/>
      <c r="AS189" s="264"/>
      <c r="AT189" s="264"/>
      <c r="AU189" s="264"/>
      <c r="AV189" s="264"/>
      <c r="AW189" s="264"/>
      <c r="AX189" s="264"/>
      <c r="AY189" s="264"/>
      <c r="AZ189" s="264"/>
      <c r="BA189" s="264"/>
      <c r="BB189" s="264"/>
      <c r="BC189" s="264"/>
      <c r="BD189" s="264"/>
      <c r="BE189" s="264"/>
      <c r="BF189" s="264"/>
      <c r="BG189" s="264"/>
      <c r="BH189" s="264"/>
      <c r="BI189" s="264"/>
      <c r="BJ189" s="264"/>
      <c r="BK189" s="264"/>
      <c r="BL189" s="264"/>
      <c r="BM189" s="264"/>
      <c r="BN189" s="264"/>
      <c r="BO189" s="264"/>
      <c r="BP189" s="264"/>
      <c r="BQ189" s="264"/>
      <c r="BR189" s="264"/>
      <c r="BS189" s="264"/>
      <c r="BT189" s="264"/>
      <c r="BU189" s="264"/>
      <c r="BV189" s="264"/>
      <c r="BW189" s="264"/>
      <c r="BX189" s="264"/>
      <c r="BY189" s="264"/>
      <c r="BZ189" s="264"/>
      <c r="CA189" s="264"/>
      <c r="CB189" s="264"/>
      <c r="CC189" s="264"/>
      <c r="CD189" s="264"/>
      <c r="CE189" s="264"/>
      <c r="CF189" s="264"/>
      <c r="CG189" s="264"/>
      <c r="CH189" s="264"/>
      <c r="CI189" s="264"/>
    </row>
    <row r="190" spans="1:87" customFormat="1">
      <c r="A190" s="256"/>
      <c r="B190" s="255"/>
      <c r="C190" s="255"/>
      <c r="D190" s="256"/>
      <c r="E190" s="255"/>
      <c r="F190" s="255"/>
      <c r="G190" s="255"/>
      <c r="H190" s="262"/>
      <c r="I190" s="255"/>
      <c r="J190" s="255"/>
      <c r="K190" s="255"/>
      <c r="L190" s="255"/>
      <c r="M190" s="257"/>
      <c r="N190" s="255"/>
      <c r="O190" s="255"/>
      <c r="P190" s="256"/>
      <c r="Q190" s="255"/>
      <c r="R190" s="272"/>
      <c r="S190" s="255"/>
      <c r="T190" s="255"/>
      <c r="U190" s="255"/>
      <c r="V190" s="257"/>
      <c r="W190" s="259"/>
      <c r="X190" s="1039"/>
      <c r="Y190" s="255"/>
      <c r="Z190" s="255"/>
      <c r="AA190" s="255"/>
      <c r="AB190" s="255"/>
      <c r="AC190" s="255"/>
      <c r="AD190" s="255"/>
      <c r="AE190" s="255"/>
      <c r="AF190" s="264"/>
      <c r="AG190" s="264"/>
      <c r="AH190" s="264"/>
      <c r="AI190" s="264"/>
      <c r="AJ190" s="264"/>
      <c r="AK190" s="264"/>
      <c r="AL190" s="264"/>
      <c r="AM190" s="264"/>
      <c r="AN190" s="264"/>
      <c r="AO190" s="264"/>
      <c r="AP190" s="264"/>
      <c r="AQ190" s="264"/>
      <c r="AR190" s="264"/>
      <c r="AS190" s="264"/>
      <c r="AT190" s="264"/>
      <c r="AU190" s="264"/>
      <c r="AV190" s="264"/>
      <c r="AW190" s="264"/>
      <c r="AX190" s="264"/>
      <c r="AY190" s="264"/>
      <c r="AZ190" s="264"/>
      <c r="BA190" s="264"/>
      <c r="BB190" s="264"/>
      <c r="BC190" s="264"/>
      <c r="BD190" s="264"/>
      <c r="BE190" s="264"/>
      <c r="BF190" s="264"/>
      <c r="BG190" s="264"/>
      <c r="BH190" s="264"/>
      <c r="BI190" s="264"/>
      <c r="BJ190" s="264"/>
      <c r="BK190" s="264"/>
      <c r="BL190" s="264"/>
      <c r="BM190" s="264"/>
      <c r="BN190" s="264"/>
      <c r="BO190" s="264"/>
      <c r="BP190" s="264"/>
      <c r="BQ190" s="264"/>
      <c r="BR190" s="264"/>
      <c r="BS190" s="264"/>
      <c r="BT190" s="264"/>
      <c r="BU190" s="264"/>
      <c r="BV190" s="264"/>
      <c r="BW190" s="264"/>
      <c r="BX190" s="264"/>
      <c r="BY190" s="264"/>
      <c r="BZ190" s="264"/>
      <c r="CA190" s="264"/>
      <c r="CB190" s="264"/>
      <c r="CC190" s="264"/>
      <c r="CD190" s="264"/>
      <c r="CE190" s="264"/>
      <c r="CF190" s="264"/>
      <c r="CG190" s="264"/>
      <c r="CH190" s="264"/>
      <c r="CI190" s="264"/>
    </row>
    <row r="191" spans="1:87" customFormat="1">
      <c r="A191" s="282"/>
      <c r="B191" s="270"/>
      <c r="C191" s="270"/>
      <c r="D191" s="270"/>
      <c r="E191" s="270"/>
      <c r="F191" s="270"/>
      <c r="G191" s="270"/>
      <c r="H191" s="270"/>
      <c r="I191" s="270"/>
      <c r="J191" s="270"/>
      <c r="K191" s="270"/>
      <c r="L191" s="271"/>
      <c r="M191" s="270"/>
      <c r="N191" s="270"/>
      <c r="O191" s="270"/>
      <c r="P191" s="270"/>
      <c r="Q191" s="270"/>
      <c r="R191" s="282"/>
      <c r="S191" s="282"/>
      <c r="T191" s="270"/>
      <c r="U191" s="270"/>
      <c r="V191" s="270"/>
      <c r="W191" s="260"/>
      <c r="X191" s="1041"/>
      <c r="Y191" s="270"/>
      <c r="Z191" s="270"/>
      <c r="AA191" s="270"/>
      <c r="AB191" s="270"/>
      <c r="AC191" s="270"/>
      <c r="AD191" s="270"/>
      <c r="AE191" s="260"/>
      <c r="AF191" s="264"/>
      <c r="AG191" s="264"/>
      <c r="AH191" s="264"/>
      <c r="AI191" s="264"/>
      <c r="AJ191" s="264"/>
      <c r="AK191" s="264"/>
      <c r="AL191" s="264"/>
      <c r="AM191" s="264"/>
      <c r="AN191" s="264"/>
      <c r="AO191" s="264"/>
      <c r="AP191" s="264"/>
      <c r="AQ191" s="264"/>
      <c r="AR191" s="264"/>
      <c r="AS191" s="264"/>
      <c r="AT191" s="264"/>
      <c r="AU191" s="264"/>
      <c r="AV191" s="264"/>
      <c r="AW191" s="264"/>
      <c r="AX191" s="264"/>
      <c r="AY191" s="264"/>
      <c r="AZ191" s="264"/>
      <c r="BA191" s="264"/>
      <c r="BB191" s="264"/>
      <c r="BC191" s="264"/>
      <c r="BD191" s="264"/>
      <c r="BE191" s="264"/>
      <c r="BF191" s="264"/>
      <c r="BG191" s="264"/>
      <c r="BH191" s="264"/>
      <c r="BI191" s="264"/>
      <c r="BJ191" s="264"/>
      <c r="BK191" s="264"/>
      <c r="BL191" s="264"/>
      <c r="BM191" s="264"/>
      <c r="BN191" s="264"/>
      <c r="BO191" s="264"/>
      <c r="BP191" s="264"/>
      <c r="BQ191" s="264"/>
      <c r="BR191" s="264"/>
      <c r="BS191" s="264"/>
      <c r="BT191" s="264"/>
      <c r="BU191" s="264"/>
      <c r="BV191" s="264"/>
      <c r="BW191" s="264"/>
      <c r="BX191" s="264"/>
      <c r="BY191" s="264"/>
      <c r="BZ191" s="264"/>
      <c r="CA191" s="264"/>
      <c r="CB191" s="264"/>
      <c r="CC191" s="264"/>
      <c r="CD191" s="264"/>
      <c r="CE191" s="264"/>
      <c r="CF191" s="264"/>
      <c r="CG191" s="264"/>
      <c r="CH191" s="264"/>
      <c r="CI191" s="264"/>
    </row>
    <row r="192" spans="1:87" customFormat="1">
      <c r="A192" s="256"/>
      <c r="B192" s="255"/>
      <c r="C192" s="255"/>
      <c r="D192" s="256"/>
      <c r="E192" s="255"/>
      <c r="F192" s="255"/>
      <c r="G192" s="255"/>
      <c r="H192" s="262"/>
      <c r="I192" s="255"/>
      <c r="J192" s="255"/>
      <c r="K192" s="255"/>
      <c r="L192" s="255"/>
      <c r="M192" s="257"/>
      <c r="N192" s="255"/>
      <c r="O192" s="255"/>
      <c r="P192" s="256"/>
      <c r="Q192" s="255"/>
      <c r="R192" s="272"/>
      <c r="S192" s="255"/>
      <c r="T192" s="255"/>
      <c r="U192" s="255"/>
      <c r="V192" s="257"/>
      <c r="W192" s="259"/>
      <c r="X192" s="1039"/>
      <c r="Y192" s="255"/>
      <c r="Z192" s="255"/>
      <c r="AA192" s="255"/>
      <c r="AB192" s="255"/>
      <c r="AC192" s="255"/>
      <c r="AD192" s="255"/>
      <c r="AE192" s="255"/>
      <c r="AF192" s="264"/>
      <c r="AG192" s="264"/>
      <c r="AH192" s="264"/>
      <c r="AI192" s="264"/>
      <c r="AJ192" s="264"/>
      <c r="AK192" s="264"/>
      <c r="AL192" s="264"/>
      <c r="AM192" s="264"/>
      <c r="AN192" s="264"/>
      <c r="AO192" s="264"/>
      <c r="AP192" s="264"/>
      <c r="AQ192" s="264"/>
      <c r="AR192" s="264"/>
      <c r="AS192" s="264"/>
      <c r="AT192" s="264"/>
      <c r="AU192" s="264"/>
      <c r="AV192" s="264"/>
      <c r="AW192" s="264"/>
      <c r="AX192" s="264"/>
      <c r="AY192" s="264"/>
      <c r="AZ192" s="264"/>
      <c r="BA192" s="264"/>
      <c r="BB192" s="264"/>
      <c r="BC192" s="264"/>
      <c r="BD192" s="264"/>
      <c r="BE192" s="264"/>
      <c r="BF192" s="264"/>
      <c r="BG192" s="264"/>
      <c r="BH192" s="264"/>
      <c r="BI192" s="264"/>
      <c r="BJ192" s="264"/>
      <c r="BK192" s="264"/>
      <c r="BL192" s="264"/>
      <c r="BM192" s="264"/>
      <c r="BN192" s="264"/>
      <c r="BO192" s="264"/>
      <c r="BP192" s="264"/>
      <c r="BQ192" s="264"/>
      <c r="BR192" s="264"/>
      <c r="BS192" s="264"/>
      <c r="BT192" s="264"/>
      <c r="BU192" s="264"/>
      <c r="BV192" s="264"/>
      <c r="BW192" s="264"/>
      <c r="BX192" s="264"/>
      <c r="BY192" s="264"/>
      <c r="BZ192" s="264"/>
      <c r="CA192" s="264"/>
      <c r="CB192" s="264"/>
      <c r="CC192" s="264"/>
      <c r="CD192" s="264"/>
      <c r="CE192" s="264"/>
      <c r="CF192" s="264"/>
      <c r="CG192" s="264"/>
      <c r="CH192" s="264"/>
      <c r="CI192" s="264"/>
    </row>
    <row r="193" spans="1:87" customFormat="1">
      <c r="A193" s="282"/>
      <c r="B193" s="270"/>
      <c r="C193" s="270"/>
      <c r="D193" s="270"/>
      <c r="E193" s="270"/>
      <c r="F193" s="270"/>
      <c r="G193" s="270"/>
      <c r="H193" s="270"/>
      <c r="I193" s="270"/>
      <c r="J193" s="270"/>
      <c r="K193" s="270"/>
      <c r="L193" s="270"/>
      <c r="M193" s="270"/>
      <c r="N193" s="270"/>
      <c r="O193" s="270"/>
      <c r="P193" s="270"/>
      <c r="Q193" s="270"/>
      <c r="R193" s="282"/>
      <c r="S193" s="270"/>
      <c r="T193" s="270"/>
      <c r="U193" s="270"/>
      <c r="V193" s="270"/>
      <c r="W193" s="260"/>
      <c r="X193" s="1041"/>
      <c r="Y193" s="270"/>
      <c r="Z193" s="270"/>
      <c r="AA193" s="270"/>
      <c r="AB193" s="270"/>
      <c r="AC193" s="270"/>
      <c r="AD193" s="270"/>
      <c r="AE193" s="260"/>
      <c r="AF193" s="264"/>
      <c r="AG193" s="264"/>
      <c r="AH193" s="264"/>
      <c r="AI193" s="264"/>
      <c r="AJ193" s="264"/>
      <c r="AK193" s="264"/>
      <c r="AL193" s="264"/>
      <c r="AM193" s="264"/>
      <c r="AN193" s="264"/>
      <c r="AO193" s="264"/>
      <c r="AP193" s="264"/>
      <c r="AQ193" s="264"/>
      <c r="AR193" s="264"/>
      <c r="AS193" s="264"/>
      <c r="AT193" s="264"/>
      <c r="AU193" s="264"/>
      <c r="AV193" s="264"/>
      <c r="AW193" s="264"/>
      <c r="AX193" s="264"/>
      <c r="AY193" s="264"/>
      <c r="AZ193" s="264"/>
      <c r="BA193" s="264"/>
      <c r="BB193" s="264"/>
      <c r="BC193" s="264"/>
      <c r="BD193" s="264"/>
      <c r="BE193" s="264"/>
      <c r="BF193" s="264"/>
      <c r="BG193" s="264"/>
      <c r="BH193" s="264"/>
      <c r="BI193" s="264"/>
      <c r="BJ193" s="264"/>
      <c r="BK193" s="264"/>
      <c r="BL193" s="264"/>
      <c r="BM193" s="264"/>
      <c r="BN193" s="264"/>
      <c r="BO193" s="264"/>
      <c r="BP193" s="264"/>
      <c r="BQ193" s="264"/>
      <c r="BR193" s="264"/>
      <c r="BS193" s="264"/>
      <c r="BT193" s="264"/>
      <c r="BU193" s="264"/>
      <c r="BV193" s="264"/>
      <c r="BW193" s="264"/>
      <c r="BX193" s="264"/>
      <c r="BY193" s="264"/>
      <c r="BZ193" s="264"/>
      <c r="CA193" s="264"/>
      <c r="CB193" s="264"/>
      <c r="CC193" s="264"/>
      <c r="CD193" s="264"/>
      <c r="CE193" s="264"/>
      <c r="CF193" s="264"/>
      <c r="CG193" s="264"/>
      <c r="CH193" s="264"/>
      <c r="CI193" s="264"/>
    </row>
    <row r="194" spans="1:87" customFormat="1">
      <c r="A194" s="256"/>
      <c r="B194" s="255"/>
      <c r="C194" s="255"/>
      <c r="D194" s="256"/>
      <c r="E194" s="255"/>
      <c r="F194" s="255"/>
      <c r="G194" s="255"/>
      <c r="H194" s="262"/>
      <c r="I194" s="255"/>
      <c r="J194" s="255"/>
      <c r="K194" s="255"/>
      <c r="L194" s="255"/>
      <c r="M194" s="257"/>
      <c r="N194" s="255"/>
      <c r="O194" s="255"/>
      <c r="P194" s="256"/>
      <c r="Q194" s="255"/>
      <c r="R194" s="272"/>
      <c r="S194" s="255"/>
      <c r="T194" s="255"/>
      <c r="U194" s="255"/>
      <c r="V194" s="257"/>
      <c r="W194" s="259"/>
      <c r="X194" s="1039"/>
      <c r="Y194" s="255"/>
      <c r="Z194" s="255"/>
      <c r="AA194" s="255"/>
      <c r="AB194" s="255"/>
      <c r="AC194" s="255"/>
      <c r="AD194" s="255"/>
      <c r="AE194" s="255"/>
      <c r="AF194" s="264"/>
      <c r="AG194" s="264"/>
      <c r="AH194" s="264"/>
      <c r="AI194" s="264"/>
      <c r="AJ194" s="264"/>
      <c r="AK194" s="264"/>
      <c r="AL194" s="264"/>
      <c r="AM194" s="264"/>
      <c r="AN194" s="264"/>
      <c r="AO194" s="264"/>
      <c r="AP194" s="264"/>
      <c r="AQ194" s="264"/>
      <c r="AR194" s="264"/>
      <c r="AS194" s="264"/>
      <c r="AT194" s="264"/>
      <c r="AU194" s="264"/>
      <c r="AV194" s="264"/>
      <c r="AW194" s="264"/>
      <c r="AX194" s="264"/>
      <c r="AY194" s="264"/>
      <c r="AZ194" s="264"/>
      <c r="BA194" s="264"/>
      <c r="BB194" s="264"/>
      <c r="BC194" s="264"/>
      <c r="BD194" s="264"/>
      <c r="BE194" s="264"/>
      <c r="BF194" s="264"/>
      <c r="BG194" s="264"/>
      <c r="BH194" s="264"/>
      <c r="BI194" s="264"/>
      <c r="BJ194" s="264"/>
      <c r="BK194" s="264"/>
      <c r="BL194" s="264"/>
      <c r="BM194" s="264"/>
      <c r="BN194" s="264"/>
      <c r="BO194" s="264"/>
      <c r="BP194" s="264"/>
      <c r="BQ194" s="264"/>
      <c r="BR194" s="264"/>
      <c r="BS194" s="264"/>
      <c r="BT194" s="264"/>
      <c r="BU194" s="264"/>
      <c r="BV194" s="264"/>
      <c r="BW194" s="264"/>
      <c r="BX194" s="264"/>
      <c r="BY194" s="264"/>
      <c r="BZ194" s="264"/>
      <c r="CA194" s="264"/>
      <c r="CB194" s="264"/>
      <c r="CC194" s="264"/>
      <c r="CD194" s="264"/>
      <c r="CE194" s="264"/>
      <c r="CF194" s="264"/>
      <c r="CG194" s="264"/>
      <c r="CH194" s="264"/>
      <c r="CI194" s="264"/>
    </row>
    <row r="195" spans="1:87" s="1" customFormat="1">
      <c r="A195" s="288"/>
      <c r="B195" s="289"/>
      <c r="C195" s="289"/>
      <c r="D195" s="289"/>
      <c r="E195" s="290"/>
      <c r="F195" s="289"/>
      <c r="G195" s="289"/>
      <c r="H195" s="291"/>
      <c r="I195" s="289"/>
      <c r="J195" s="289"/>
      <c r="K195" s="289"/>
      <c r="L195" s="289"/>
      <c r="M195" s="289"/>
      <c r="N195" s="289"/>
      <c r="O195" s="289"/>
      <c r="P195" s="289"/>
      <c r="Q195" s="289"/>
      <c r="R195" s="292"/>
      <c r="S195" s="289"/>
      <c r="T195" s="289"/>
      <c r="U195" s="257"/>
      <c r="V195" s="293"/>
      <c r="W195" s="294"/>
      <c r="X195" s="1044"/>
      <c r="Y195" s="289"/>
      <c r="Z195" s="289"/>
      <c r="AA195" s="289"/>
      <c r="AB195" s="289"/>
      <c r="AC195" s="289"/>
      <c r="AD195" s="289"/>
      <c r="AE195" s="276"/>
      <c r="AF195" s="217"/>
      <c r="AG195" s="217"/>
      <c r="AH195" s="217"/>
      <c r="AI195" s="217"/>
      <c r="AJ195" s="217"/>
      <c r="AK195" s="217"/>
      <c r="AL195" s="217"/>
      <c r="AM195" s="217"/>
      <c r="AN195" s="217"/>
      <c r="AO195" s="217"/>
      <c r="AP195" s="217"/>
      <c r="AQ195" s="217"/>
      <c r="AR195" s="217"/>
      <c r="AS195" s="217"/>
      <c r="AT195" s="217"/>
      <c r="AU195" s="217"/>
      <c r="AV195" s="217"/>
      <c r="AW195" s="217"/>
      <c r="AX195" s="217"/>
      <c r="AY195" s="217"/>
      <c r="AZ195" s="217"/>
      <c r="BA195" s="217"/>
      <c r="BB195" s="217"/>
      <c r="BC195" s="217"/>
      <c r="BD195" s="217"/>
      <c r="BE195" s="217"/>
      <c r="BF195" s="217"/>
      <c r="BG195" s="217"/>
      <c r="BH195" s="217"/>
      <c r="BI195" s="217"/>
      <c r="BJ195" s="217"/>
      <c r="BK195" s="217"/>
      <c r="BL195" s="217"/>
      <c r="BM195" s="217"/>
      <c r="BN195" s="217"/>
      <c r="BO195" s="217"/>
      <c r="BP195" s="217"/>
      <c r="BQ195" s="217"/>
      <c r="BR195" s="217"/>
      <c r="BS195" s="217"/>
      <c r="BT195" s="217"/>
      <c r="BU195" s="217"/>
      <c r="BV195" s="217"/>
      <c r="BW195" s="217"/>
      <c r="BX195" s="217"/>
      <c r="BY195" s="217"/>
      <c r="BZ195" s="217"/>
      <c r="CA195" s="217"/>
      <c r="CB195" s="217"/>
      <c r="CC195" s="217"/>
      <c r="CD195" s="217"/>
      <c r="CE195" s="217"/>
      <c r="CF195" s="217"/>
      <c r="CG195" s="217"/>
      <c r="CH195" s="217"/>
      <c r="CI195" s="217"/>
    </row>
    <row r="196" spans="1:87" customFormat="1">
      <c r="A196" s="256"/>
      <c r="B196" s="255"/>
      <c r="C196" s="255"/>
      <c r="D196" s="256"/>
      <c r="E196" s="255"/>
      <c r="F196" s="255"/>
      <c r="G196" s="255"/>
      <c r="H196" s="262"/>
      <c r="I196" s="255"/>
      <c r="J196" s="255"/>
      <c r="K196" s="255"/>
      <c r="L196" s="255"/>
      <c r="M196" s="257"/>
      <c r="N196" s="255"/>
      <c r="O196" s="255"/>
      <c r="P196" s="256"/>
      <c r="Q196" s="255"/>
      <c r="R196" s="272"/>
      <c r="S196" s="255"/>
      <c r="T196" s="255"/>
      <c r="U196" s="255"/>
      <c r="V196" s="257"/>
      <c r="W196" s="259"/>
      <c r="X196" s="1039"/>
      <c r="Y196" s="255"/>
      <c r="Z196" s="255"/>
      <c r="AA196" s="255"/>
      <c r="AB196" s="255"/>
      <c r="AC196" s="255"/>
      <c r="AD196" s="255"/>
      <c r="AE196" s="255"/>
      <c r="AF196" s="264"/>
      <c r="AG196" s="264"/>
      <c r="AH196" s="264"/>
      <c r="AI196" s="264"/>
      <c r="AJ196" s="264"/>
      <c r="AK196" s="264"/>
      <c r="AL196" s="264"/>
      <c r="AM196" s="264"/>
      <c r="AN196" s="264"/>
      <c r="AO196" s="264"/>
      <c r="AP196" s="264"/>
      <c r="AQ196" s="264"/>
      <c r="AR196" s="264"/>
      <c r="AS196" s="264"/>
      <c r="AT196" s="264"/>
      <c r="AU196" s="264"/>
      <c r="AV196" s="264"/>
      <c r="AW196" s="264"/>
      <c r="AX196" s="264"/>
      <c r="AY196" s="264"/>
      <c r="AZ196" s="264"/>
      <c r="BA196" s="264"/>
      <c r="BB196" s="264"/>
      <c r="BC196" s="264"/>
      <c r="BD196" s="264"/>
      <c r="BE196" s="264"/>
      <c r="BF196" s="264"/>
      <c r="BG196" s="264"/>
      <c r="BH196" s="264"/>
      <c r="BI196" s="264"/>
      <c r="BJ196" s="264"/>
      <c r="BK196" s="264"/>
      <c r="BL196" s="264"/>
      <c r="BM196" s="264"/>
      <c r="BN196" s="264"/>
      <c r="BO196" s="264"/>
      <c r="BP196" s="264"/>
      <c r="BQ196" s="264"/>
      <c r="BR196" s="264"/>
      <c r="BS196" s="264"/>
      <c r="BT196" s="264"/>
      <c r="BU196" s="264"/>
      <c r="BV196" s="264"/>
      <c r="BW196" s="264"/>
      <c r="BX196" s="264"/>
      <c r="BY196" s="264"/>
      <c r="BZ196" s="264"/>
      <c r="CA196" s="264"/>
      <c r="CB196" s="264"/>
      <c r="CC196" s="264"/>
      <c r="CD196" s="264"/>
      <c r="CE196" s="264"/>
      <c r="CF196" s="264"/>
      <c r="CG196" s="264"/>
      <c r="CH196" s="264"/>
      <c r="CI196" s="264"/>
    </row>
    <row r="197" spans="1:87" customFormat="1">
      <c r="A197" s="256"/>
      <c r="B197" s="255"/>
      <c r="C197" s="255"/>
      <c r="D197" s="256"/>
      <c r="E197" s="255"/>
      <c r="F197" s="255"/>
      <c r="G197" s="255"/>
      <c r="H197" s="262"/>
      <c r="I197" s="255"/>
      <c r="J197" s="255"/>
      <c r="K197" s="255"/>
      <c r="L197" s="255"/>
      <c r="M197" s="257"/>
      <c r="N197" s="255"/>
      <c r="O197" s="255"/>
      <c r="P197" s="256"/>
      <c r="Q197" s="255"/>
      <c r="R197" s="272"/>
      <c r="S197" s="255"/>
      <c r="T197" s="255"/>
      <c r="U197" s="255"/>
      <c r="V197" s="257"/>
      <c r="W197" s="259"/>
      <c r="X197" s="1039"/>
      <c r="Y197" s="255"/>
      <c r="Z197" s="255"/>
      <c r="AA197" s="255"/>
      <c r="AB197" s="255"/>
      <c r="AC197" s="255"/>
      <c r="AD197" s="255"/>
      <c r="AE197" s="255"/>
      <c r="AF197" s="264"/>
      <c r="AG197" s="264"/>
      <c r="AH197" s="264"/>
      <c r="AI197" s="264"/>
      <c r="AJ197" s="264"/>
      <c r="AK197" s="264"/>
      <c r="AL197" s="264"/>
      <c r="AM197" s="264"/>
      <c r="AN197" s="264"/>
      <c r="AO197" s="264"/>
      <c r="AP197" s="264"/>
      <c r="AQ197" s="264"/>
      <c r="AR197" s="264"/>
      <c r="AS197" s="264"/>
      <c r="AT197" s="264"/>
      <c r="AU197" s="264"/>
      <c r="AV197" s="264"/>
      <c r="AW197" s="264"/>
      <c r="AX197" s="264"/>
      <c r="AY197" s="264"/>
      <c r="AZ197" s="264"/>
      <c r="BA197" s="264"/>
      <c r="BB197" s="264"/>
      <c r="BC197" s="264"/>
      <c r="BD197" s="264"/>
      <c r="BE197" s="264"/>
      <c r="BF197" s="264"/>
      <c r="BG197" s="264"/>
      <c r="BH197" s="264"/>
      <c r="BI197" s="264"/>
      <c r="BJ197" s="264"/>
      <c r="BK197" s="264"/>
      <c r="BL197" s="264"/>
      <c r="BM197" s="264"/>
      <c r="BN197" s="264"/>
      <c r="BO197" s="264"/>
      <c r="BP197" s="264"/>
      <c r="BQ197" s="264"/>
      <c r="BR197" s="264"/>
      <c r="BS197" s="264"/>
      <c r="BT197" s="264"/>
      <c r="BU197" s="264"/>
      <c r="BV197" s="264"/>
      <c r="BW197" s="264"/>
      <c r="BX197" s="264"/>
      <c r="BY197" s="264"/>
      <c r="BZ197" s="264"/>
      <c r="CA197" s="264"/>
      <c r="CB197" s="264"/>
      <c r="CC197" s="264"/>
      <c r="CD197" s="264"/>
      <c r="CE197" s="264"/>
      <c r="CF197" s="264"/>
      <c r="CG197" s="264"/>
      <c r="CH197" s="264"/>
      <c r="CI197" s="264"/>
    </row>
    <row r="198" spans="1:87" customFormat="1">
      <c r="A198" s="282"/>
      <c r="B198" s="270"/>
      <c r="C198" s="270"/>
      <c r="D198" s="270"/>
      <c r="E198" s="270"/>
      <c r="F198" s="283"/>
      <c r="G198" s="284"/>
      <c r="H198" s="270"/>
      <c r="I198" s="270"/>
      <c r="J198" s="270"/>
      <c r="K198" s="270"/>
      <c r="L198" s="270"/>
      <c r="M198" s="270"/>
      <c r="N198" s="270"/>
      <c r="O198" s="270"/>
      <c r="P198" s="270"/>
      <c r="Q198" s="270"/>
      <c r="R198" s="285"/>
      <c r="S198" s="270"/>
      <c r="T198" s="270"/>
      <c r="U198" s="257"/>
      <c r="V198" s="270"/>
      <c r="W198" s="260"/>
      <c r="X198" s="1041"/>
      <c r="Y198" s="270"/>
      <c r="Z198" s="270"/>
      <c r="AA198" s="270"/>
      <c r="AB198" s="270"/>
      <c r="AC198" s="270"/>
      <c r="AD198" s="270"/>
      <c r="AE198" s="286"/>
      <c r="AF198" s="264"/>
      <c r="AG198" s="264"/>
      <c r="AH198" s="264"/>
      <c r="AI198" s="264"/>
      <c r="AJ198" s="264"/>
      <c r="AK198" s="264"/>
      <c r="AL198" s="264"/>
      <c r="AM198" s="264"/>
      <c r="AN198" s="264"/>
      <c r="AO198" s="264"/>
      <c r="AP198" s="264"/>
      <c r="AQ198" s="264"/>
      <c r="AR198" s="264"/>
      <c r="AS198" s="264"/>
      <c r="AT198" s="264"/>
      <c r="AU198" s="264"/>
      <c r="AV198" s="264"/>
      <c r="AW198" s="264"/>
      <c r="AX198" s="264"/>
      <c r="AY198" s="264"/>
      <c r="AZ198" s="264"/>
      <c r="BA198" s="264"/>
      <c r="BB198" s="264"/>
      <c r="BC198" s="264"/>
      <c r="BD198" s="264"/>
      <c r="BE198" s="264"/>
      <c r="BF198" s="264"/>
      <c r="BG198" s="264"/>
      <c r="BH198" s="264"/>
      <c r="BI198" s="264"/>
      <c r="BJ198" s="264"/>
      <c r="BK198" s="264"/>
      <c r="BL198" s="264"/>
      <c r="BM198" s="264"/>
      <c r="BN198" s="264"/>
      <c r="BO198" s="264"/>
      <c r="BP198" s="264"/>
      <c r="BQ198" s="264"/>
      <c r="BR198" s="264"/>
      <c r="BS198" s="264"/>
      <c r="BT198" s="264"/>
      <c r="BU198" s="264"/>
      <c r="BV198" s="264"/>
      <c r="BW198" s="264"/>
      <c r="BX198" s="264"/>
      <c r="BY198" s="264"/>
      <c r="BZ198" s="264"/>
      <c r="CA198" s="264"/>
      <c r="CB198" s="264"/>
      <c r="CC198" s="264"/>
      <c r="CD198" s="264"/>
      <c r="CE198" s="264"/>
      <c r="CF198" s="264"/>
      <c r="CG198" s="264"/>
      <c r="CH198" s="264"/>
      <c r="CI198" s="264"/>
    </row>
    <row r="199" spans="1:87" customFormat="1">
      <c r="A199" s="256"/>
      <c r="B199" s="255"/>
      <c r="C199" s="255"/>
      <c r="D199" s="256"/>
      <c r="E199" s="255"/>
      <c r="F199" s="255"/>
      <c r="G199" s="255"/>
      <c r="H199" s="262"/>
      <c r="I199" s="255"/>
      <c r="J199" s="255"/>
      <c r="K199" s="255"/>
      <c r="L199" s="255"/>
      <c r="M199" s="257"/>
      <c r="N199" s="255"/>
      <c r="O199" s="255"/>
      <c r="P199" s="256"/>
      <c r="Q199" s="255"/>
      <c r="R199" s="272"/>
      <c r="S199" s="255"/>
      <c r="T199" s="255"/>
      <c r="U199" s="255"/>
      <c r="V199" s="257"/>
      <c r="W199" s="259"/>
      <c r="X199" s="1039"/>
      <c r="Y199" s="255"/>
      <c r="Z199" s="255"/>
      <c r="AA199" s="255"/>
      <c r="AB199" s="255"/>
      <c r="AC199" s="255"/>
      <c r="AD199" s="255"/>
      <c r="AE199" s="255"/>
      <c r="AF199" s="264"/>
      <c r="AG199" s="264"/>
      <c r="AH199" s="264"/>
      <c r="AI199" s="264"/>
      <c r="AJ199" s="264"/>
      <c r="AK199" s="264"/>
      <c r="AL199" s="264"/>
      <c r="AM199" s="264"/>
      <c r="AN199" s="264"/>
      <c r="AO199" s="264"/>
      <c r="AP199" s="264"/>
      <c r="AQ199" s="264"/>
      <c r="AR199" s="264"/>
      <c r="AS199" s="264"/>
      <c r="AT199" s="264"/>
      <c r="AU199" s="264"/>
      <c r="AV199" s="264"/>
      <c r="AW199" s="264"/>
      <c r="AX199" s="264"/>
      <c r="AY199" s="264"/>
      <c r="AZ199" s="264"/>
      <c r="BA199" s="264"/>
      <c r="BB199" s="264"/>
      <c r="BC199" s="264"/>
      <c r="BD199" s="264"/>
      <c r="BE199" s="264"/>
      <c r="BF199" s="264"/>
      <c r="BG199" s="264"/>
      <c r="BH199" s="264"/>
      <c r="BI199" s="264"/>
      <c r="BJ199" s="264"/>
      <c r="BK199" s="264"/>
      <c r="BL199" s="264"/>
      <c r="BM199" s="264"/>
      <c r="BN199" s="264"/>
      <c r="BO199" s="264"/>
      <c r="BP199" s="264"/>
      <c r="BQ199" s="264"/>
      <c r="BR199" s="264"/>
      <c r="BS199" s="264"/>
      <c r="BT199" s="264"/>
      <c r="BU199" s="264"/>
      <c r="BV199" s="264"/>
      <c r="BW199" s="264"/>
      <c r="BX199" s="264"/>
      <c r="BY199" s="264"/>
      <c r="BZ199" s="264"/>
      <c r="CA199" s="264"/>
      <c r="CB199" s="264"/>
      <c r="CC199" s="264"/>
      <c r="CD199" s="264"/>
      <c r="CE199" s="264"/>
      <c r="CF199" s="264"/>
      <c r="CG199" s="264"/>
      <c r="CH199" s="264"/>
      <c r="CI199" s="264"/>
    </row>
    <row r="200" spans="1:87" customFormat="1">
      <c r="A200" s="270"/>
      <c r="B200" s="268"/>
      <c r="C200" s="289"/>
      <c r="D200" s="269"/>
      <c r="E200" s="295"/>
      <c r="F200" s="269"/>
      <c r="G200" s="289"/>
      <c r="H200" s="269"/>
      <c r="I200" s="268"/>
      <c r="J200" s="268"/>
      <c r="K200" s="268"/>
      <c r="L200" s="291"/>
      <c r="M200" s="268"/>
      <c r="N200" s="289"/>
      <c r="O200" s="268"/>
      <c r="P200" s="268"/>
      <c r="Q200" s="268"/>
      <c r="R200" s="268"/>
      <c r="S200" s="268"/>
      <c r="T200" s="268"/>
      <c r="U200" s="268"/>
      <c r="V200" s="276"/>
      <c r="W200" s="296"/>
      <c r="X200" s="1043"/>
      <c r="Y200" s="268"/>
      <c r="Z200" s="268"/>
      <c r="AA200" s="268"/>
      <c r="AB200" s="268"/>
      <c r="AC200" s="268"/>
      <c r="AD200" s="268"/>
      <c r="AE200" s="297"/>
      <c r="AF200" s="264"/>
      <c r="AG200" s="264"/>
      <c r="AH200" s="264"/>
      <c r="AI200" s="264"/>
      <c r="AJ200" s="264"/>
      <c r="AK200" s="264"/>
      <c r="AL200" s="264"/>
      <c r="AM200" s="264"/>
      <c r="AN200" s="264"/>
      <c r="AO200" s="264"/>
      <c r="AP200" s="264"/>
      <c r="AQ200" s="264"/>
      <c r="AR200" s="264"/>
      <c r="AS200" s="264"/>
      <c r="AT200" s="264"/>
      <c r="AU200" s="264"/>
      <c r="AV200" s="264"/>
      <c r="AW200" s="264"/>
      <c r="AX200" s="264"/>
      <c r="AY200" s="264"/>
      <c r="AZ200" s="264"/>
      <c r="BA200" s="264"/>
      <c r="BB200" s="264"/>
      <c r="BC200" s="264"/>
      <c r="BD200" s="264"/>
      <c r="BE200" s="264"/>
      <c r="BF200" s="264"/>
      <c r="BG200" s="264"/>
      <c r="BH200" s="264"/>
      <c r="BI200" s="264"/>
      <c r="BJ200" s="264"/>
      <c r="BK200" s="264"/>
      <c r="BL200" s="264"/>
      <c r="BM200" s="264"/>
      <c r="BN200" s="264"/>
      <c r="BO200" s="264"/>
      <c r="BP200" s="264"/>
      <c r="BQ200" s="264"/>
      <c r="BR200" s="264"/>
      <c r="BS200" s="264"/>
      <c r="BT200" s="264"/>
      <c r="BU200" s="264"/>
      <c r="BV200" s="264"/>
      <c r="BW200" s="264"/>
      <c r="BX200" s="264"/>
      <c r="BY200" s="264"/>
      <c r="BZ200" s="264"/>
      <c r="CA200" s="264"/>
      <c r="CB200" s="264"/>
      <c r="CC200" s="264"/>
      <c r="CD200" s="264"/>
      <c r="CE200" s="264"/>
      <c r="CF200" s="264"/>
      <c r="CG200" s="264"/>
      <c r="CH200" s="264"/>
      <c r="CI200" s="264"/>
    </row>
    <row r="201" spans="1:87" customFormat="1">
      <c r="A201" s="270"/>
      <c r="B201" s="270"/>
      <c r="C201" s="270"/>
      <c r="D201" s="270"/>
      <c r="E201" s="270"/>
      <c r="F201" s="270"/>
      <c r="G201" s="270"/>
      <c r="H201" s="270"/>
      <c r="I201" s="270"/>
      <c r="J201" s="270"/>
      <c r="K201" s="270"/>
      <c r="L201" s="270"/>
      <c r="M201" s="270"/>
      <c r="N201" s="270"/>
      <c r="O201" s="270"/>
      <c r="P201" s="270"/>
      <c r="Q201" s="270"/>
      <c r="R201" s="270"/>
      <c r="S201" s="270"/>
      <c r="T201" s="270"/>
      <c r="U201" s="270"/>
      <c r="V201" s="270"/>
      <c r="W201" s="260"/>
      <c r="X201" s="1041"/>
      <c r="Y201" s="270"/>
      <c r="Z201" s="270"/>
      <c r="AA201" s="270"/>
      <c r="AB201" s="270"/>
      <c r="AC201" s="270"/>
      <c r="AD201" s="270"/>
      <c r="AE201" s="260"/>
      <c r="AF201" s="264"/>
      <c r="AG201" s="264"/>
      <c r="AH201" s="264"/>
      <c r="AI201" s="264"/>
      <c r="AJ201" s="264"/>
      <c r="AK201" s="264"/>
      <c r="AL201" s="264"/>
      <c r="AM201" s="264"/>
      <c r="AN201" s="264"/>
      <c r="AO201" s="264"/>
      <c r="AP201" s="264"/>
      <c r="AQ201" s="264"/>
      <c r="AR201" s="264"/>
      <c r="AS201" s="264"/>
      <c r="AT201" s="264"/>
      <c r="AU201" s="264"/>
      <c r="AV201" s="264"/>
      <c r="AW201" s="264"/>
      <c r="AX201" s="264"/>
      <c r="AY201" s="264"/>
      <c r="AZ201" s="264"/>
      <c r="BA201" s="264"/>
      <c r="BB201" s="264"/>
      <c r="BC201" s="264"/>
      <c r="BD201" s="264"/>
      <c r="BE201" s="264"/>
      <c r="BF201" s="264"/>
      <c r="BG201" s="264"/>
      <c r="BH201" s="264"/>
      <c r="BI201" s="264"/>
      <c r="BJ201" s="264"/>
      <c r="BK201" s="264"/>
      <c r="BL201" s="264"/>
      <c r="BM201" s="264"/>
      <c r="BN201" s="264"/>
      <c r="BO201" s="264"/>
      <c r="BP201" s="264"/>
      <c r="BQ201" s="264"/>
      <c r="BR201" s="264"/>
      <c r="BS201" s="264"/>
      <c r="BT201" s="264"/>
      <c r="BU201" s="264"/>
      <c r="BV201" s="264"/>
      <c r="BW201" s="264"/>
      <c r="BX201" s="264"/>
      <c r="BY201" s="264"/>
      <c r="BZ201" s="264"/>
      <c r="CA201" s="264"/>
      <c r="CB201" s="264"/>
      <c r="CC201" s="264"/>
      <c r="CD201" s="264"/>
      <c r="CE201" s="264"/>
      <c r="CF201" s="264"/>
      <c r="CG201" s="264"/>
      <c r="CH201" s="264"/>
      <c r="CI201" s="264"/>
    </row>
    <row r="202" spans="1:87" customFormat="1">
      <c r="A202" s="270"/>
      <c r="B202" s="270"/>
      <c r="C202" s="270"/>
      <c r="D202" s="270"/>
      <c r="E202" s="264"/>
      <c r="F202" s="273"/>
      <c r="G202" s="270"/>
      <c r="H202" s="264"/>
      <c r="I202" s="264"/>
      <c r="J202" s="270"/>
      <c r="K202" s="270"/>
      <c r="L202" s="270"/>
      <c r="M202" s="270"/>
      <c r="N202" s="270"/>
      <c r="O202" s="270"/>
      <c r="P202" s="270"/>
      <c r="Q202" s="270"/>
      <c r="R202" s="270"/>
      <c r="S202" s="270"/>
      <c r="T202" s="270"/>
      <c r="U202" s="270"/>
      <c r="V202" s="270"/>
      <c r="W202" s="260"/>
      <c r="X202" s="1041"/>
      <c r="Y202" s="270"/>
      <c r="Z202" s="270"/>
      <c r="AA202" s="270"/>
      <c r="AB202" s="270"/>
      <c r="AC202" s="270"/>
      <c r="AD202" s="270"/>
      <c r="AE202" s="260"/>
      <c r="AF202" s="264"/>
      <c r="AG202" s="264"/>
      <c r="AH202" s="264"/>
      <c r="AI202" s="264"/>
      <c r="AJ202" s="264"/>
      <c r="AK202" s="264"/>
      <c r="AL202" s="264"/>
      <c r="AM202" s="264"/>
      <c r="AN202" s="264"/>
      <c r="AO202" s="264"/>
      <c r="AP202" s="264"/>
      <c r="AQ202" s="264"/>
      <c r="AR202" s="264"/>
      <c r="AS202" s="264"/>
      <c r="AT202" s="264"/>
      <c r="AU202" s="264"/>
      <c r="AV202" s="264"/>
      <c r="AW202" s="264"/>
      <c r="AX202" s="264"/>
      <c r="AY202" s="264"/>
      <c r="AZ202" s="264"/>
      <c r="BA202" s="264"/>
      <c r="BB202" s="264"/>
      <c r="BC202" s="264"/>
      <c r="BD202" s="264"/>
      <c r="BE202" s="264"/>
      <c r="BF202" s="264"/>
      <c r="BG202" s="264"/>
      <c r="BH202" s="264"/>
      <c r="BI202" s="264"/>
      <c r="BJ202" s="264"/>
      <c r="BK202" s="264"/>
      <c r="BL202" s="264"/>
      <c r="BM202" s="264"/>
      <c r="BN202" s="264"/>
      <c r="BO202" s="264"/>
      <c r="BP202" s="264"/>
      <c r="BQ202" s="264"/>
      <c r="BR202" s="264"/>
      <c r="BS202" s="264"/>
      <c r="BT202" s="264"/>
      <c r="BU202" s="264"/>
      <c r="BV202" s="264"/>
      <c r="BW202" s="264"/>
      <c r="BX202" s="264"/>
      <c r="BY202" s="264"/>
      <c r="BZ202" s="264"/>
      <c r="CA202" s="264"/>
      <c r="CB202" s="264"/>
      <c r="CC202" s="264"/>
      <c r="CD202" s="264"/>
      <c r="CE202" s="264"/>
      <c r="CF202" s="264"/>
      <c r="CG202" s="264"/>
      <c r="CH202" s="264"/>
      <c r="CI202" s="264"/>
    </row>
    <row r="203" spans="1:87" customFormat="1">
      <c r="A203" s="270"/>
      <c r="B203" s="270"/>
      <c r="C203" s="270"/>
      <c r="D203" s="270"/>
      <c r="E203" s="268"/>
      <c r="F203" s="286"/>
      <c r="G203" s="264"/>
      <c r="H203" s="264"/>
      <c r="I203" s="270"/>
      <c r="J203" s="270"/>
      <c r="K203" s="270"/>
      <c r="L203" s="270"/>
      <c r="M203" s="270"/>
      <c r="N203" s="270"/>
      <c r="O203" s="270"/>
      <c r="P203" s="270"/>
      <c r="Q203" s="270"/>
      <c r="R203" s="270"/>
      <c r="S203" s="270"/>
      <c r="T203" s="270"/>
      <c r="U203" s="270"/>
      <c r="V203" s="270"/>
      <c r="W203" s="260"/>
      <c r="X203" s="1041"/>
      <c r="Y203" s="270"/>
      <c r="Z203" s="270"/>
      <c r="AA203" s="270"/>
      <c r="AB203" s="270"/>
      <c r="AC203" s="270"/>
      <c r="AD203" s="270"/>
      <c r="AE203" s="260"/>
      <c r="AF203" s="264"/>
      <c r="AG203" s="264"/>
      <c r="AH203" s="264"/>
      <c r="AI203" s="264"/>
      <c r="AJ203" s="264"/>
      <c r="AK203" s="264"/>
      <c r="AL203" s="264"/>
      <c r="AM203" s="264"/>
      <c r="AN203" s="264"/>
      <c r="AO203" s="264"/>
      <c r="AP203" s="264"/>
      <c r="AQ203" s="264"/>
      <c r="AR203" s="264"/>
      <c r="AS203" s="264"/>
      <c r="AT203" s="264"/>
      <c r="AU203" s="264"/>
      <c r="AV203" s="264"/>
      <c r="AW203" s="264"/>
      <c r="AX203" s="264"/>
      <c r="AY203" s="264"/>
      <c r="AZ203" s="264"/>
      <c r="BA203" s="264"/>
      <c r="BB203" s="264"/>
      <c r="BC203" s="264"/>
      <c r="BD203" s="264"/>
      <c r="BE203" s="264"/>
      <c r="BF203" s="264"/>
      <c r="BG203" s="264"/>
      <c r="BH203" s="264"/>
      <c r="BI203" s="264"/>
      <c r="BJ203" s="264"/>
      <c r="BK203" s="264"/>
      <c r="BL203" s="264"/>
      <c r="BM203" s="264"/>
      <c r="BN203" s="264"/>
      <c r="BO203" s="264"/>
      <c r="BP203" s="264"/>
      <c r="BQ203" s="264"/>
      <c r="BR203" s="264"/>
      <c r="BS203" s="264"/>
      <c r="BT203" s="264"/>
      <c r="BU203" s="264"/>
      <c r="BV203" s="264"/>
      <c r="BW203" s="264"/>
      <c r="BX203" s="264"/>
      <c r="BY203" s="264"/>
      <c r="BZ203" s="264"/>
      <c r="CA203" s="264"/>
      <c r="CB203" s="264"/>
      <c r="CC203" s="264"/>
      <c r="CD203" s="264"/>
      <c r="CE203" s="264"/>
      <c r="CF203" s="264"/>
      <c r="CG203" s="264"/>
      <c r="CH203" s="264"/>
      <c r="CI203" s="264"/>
    </row>
    <row r="204" spans="1:87" customFormat="1">
      <c r="A204" s="270"/>
      <c r="B204" s="270"/>
      <c r="C204" s="270"/>
      <c r="D204" s="270"/>
      <c r="E204" s="268"/>
      <c r="F204" s="286"/>
      <c r="G204" s="264"/>
      <c r="H204" s="270"/>
      <c r="I204" s="270"/>
      <c r="J204" s="270"/>
      <c r="K204" s="270"/>
      <c r="L204" s="270"/>
      <c r="M204" s="270"/>
      <c r="N204" s="270"/>
      <c r="O204" s="270"/>
      <c r="P204" s="270"/>
      <c r="Q204" s="270"/>
      <c r="R204" s="270"/>
      <c r="S204" s="270"/>
      <c r="T204" s="270"/>
      <c r="U204" s="270"/>
      <c r="V204" s="270"/>
      <c r="W204" s="260"/>
      <c r="X204" s="1041"/>
      <c r="Y204" s="270"/>
      <c r="Z204" s="270"/>
      <c r="AA204" s="270"/>
      <c r="AB204" s="270"/>
      <c r="AC204" s="270"/>
      <c r="AD204" s="270"/>
      <c r="AE204" s="260"/>
      <c r="AF204" s="264"/>
      <c r="AG204" s="264"/>
      <c r="AH204" s="264"/>
      <c r="AI204" s="264"/>
      <c r="AJ204" s="264"/>
      <c r="AK204" s="264"/>
      <c r="AL204" s="264"/>
      <c r="AM204" s="264"/>
      <c r="AN204" s="264"/>
      <c r="AO204" s="264"/>
      <c r="AP204" s="264"/>
      <c r="AQ204" s="264"/>
      <c r="AR204" s="264"/>
      <c r="AS204" s="264"/>
      <c r="AT204" s="264"/>
      <c r="AU204" s="264"/>
      <c r="AV204" s="264"/>
      <c r="AW204" s="264"/>
      <c r="AX204" s="264"/>
      <c r="AY204" s="264"/>
      <c r="AZ204" s="264"/>
      <c r="BA204" s="264"/>
      <c r="BB204" s="264"/>
      <c r="BC204" s="264"/>
      <c r="BD204" s="264"/>
      <c r="BE204" s="264"/>
      <c r="BF204" s="264"/>
      <c r="BG204" s="264"/>
      <c r="BH204" s="264"/>
      <c r="BI204" s="264"/>
      <c r="BJ204" s="264"/>
      <c r="BK204" s="264"/>
      <c r="BL204" s="264"/>
      <c r="BM204" s="264"/>
      <c r="BN204" s="264"/>
      <c r="BO204" s="264"/>
      <c r="BP204" s="264"/>
      <c r="BQ204" s="264"/>
      <c r="BR204" s="264"/>
      <c r="BS204" s="264"/>
      <c r="BT204" s="264"/>
      <c r="BU204" s="264"/>
      <c r="BV204" s="264"/>
      <c r="BW204" s="264"/>
      <c r="BX204" s="264"/>
      <c r="BY204" s="264"/>
      <c r="BZ204" s="264"/>
      <c r="CA204" s="264"/>
      <c r="CB204" s="264"/>
      <c r="CC204" s="264"/>
      <c r="CD204" s="264"/>
      <c r="CE204" s="264"/>
      <c r="CF204" s="264"/>
      <c r="CG204" s="264"/>
      <c r="CH204" s="264"/>
      <c r="CI204" s="264"/>
    </row>
    <row r="205" spans="1:87" customFormat="1">
      <c r="A205" s="270"/>
      <c r="B205" s="270"/>
      <c r="C205" s="270"/>
      <c r="D205" s="270"/>
      <c r="E205" s="268"/>
      <c r="F205" s="286"/>
      <c r="G205" s="264"/>
      <c r="H205" s="270"/>
      <c r="I205" s="270"/>
      <c r="J205" s="270"/>
      <c r="K205" s="270"/>
      <c r="L205" s="270"/>
      <c r="M205" s="270"/>
      <c r="N205" s="270"/>
      <c r="O205" s="270"/>
      <c r="P205" s="270"/>
      <c r="Q205" s="270"/>
      <c r="R205" s="270"/>
      <c r="S205" s="270"/>
      <c r="T205" s="270"/>
      <c r="U205" s="270"/>
      <c r="V205" s="270"/>
      <c r="W205" s="260"/>
      <c r="X205" s="1041"/>
      <c r="Y205" s="270"/>
      <c r="Z205" s="270"/>
      <c r="AA205" s="270"/>
      <c r="AB205" s="270"/>
      <c r="AC205" s="270"/>
      <c r="AD205" s="270"/>
      <c r="AE205" s="260"/>
      <c r="AF205" s="264"/>
      <c r="AG205" s="264"/>
      <c r="AH205" s="264"/>
      <c r="AI205" s="264"/>
      <c r="AJ205" s="264"/>
      <c r="AK205" s="264"/>
      <c r="AL205" s="264"/>
      <c r="AM205" s="264"/>
      <c r="AN205" s="264"/>
      <c r="AO205" s="264"/>
      <c r="AP205" s="264"/>
      <c r="AQ205" s="264"/>
      <c r="AR205" s="264"/>
      <c r="AS205" s="264"/>
      <c r="AT205" s="264"/>
      <c r="AU205" s="264"/>
      <c r="AV205" s="264"/>
      <c r="AW205" s="264"/>
      <c r="AX205" s="264"/>
      <c r="AY205" s="264"/>
      <c r="AZ205" s="264"/>
      <c r="BA205" s="264"/>
      <c r="BB205" s="264"/>
      <c r="BC205" s="264"/>
      <c r="BD205" s="264"/>
      <c r="BE205" s="264"/>
      <c r="BF205" s="264"/>
      <c r="BG205" s="264"/>
      <c r="BH205" s="264"/>
      <c r="BI205" s="264"/>
      <c r="BJ205" s="264"/>
      <c r="BK205" s="264"/>
      <c r="BL205" s="264"/>
      <c r="BM205" s="264"/>
      <c r="BN205" s="264"/>
      <c r="BO205" s="264"/>
      <c r="BP205" s="264"/>
      <c r="BQ205" s="264"/>
      <c r="BR205" s="264"/>
      <c r="BS205" s="264"/>
      <c r="BT205" s="264"/>
      <c r="BU205" s="264"/>
      <c r="BV205" s="264"/>
      <c r="BW205" s="264"/>
      <c r="BX205" s="264"/>
      <c r="BY205" s="264"/>
      <c r="BZ205" s="264"/>
      <c r="CA205" s="264"/>
      <c r="CB205" s="264"/>
      <c r="CC205" s="264"/>
      <c r="CD205" s="264"/>
      <c r="CE205" s="264"/>
      <c r="CF205" s="264"/>
      <c r="CG205" s="264"/>
      <c r="CH205" s="264"/>
      <c r="CI205" s="264"/>
    </row>
    <row r="206" spans="1:87" customFormat="1">
      <c r="A206" s="270"/>
      <c r="B206" s="270"/>
      <c r="C206" s="270"/>
      <c r="D206" s="270"/>
      <c r="E206" s="268"/>
      <c r="F206" s="270"/>
      <c r="G206" s="270"/>
      <c r="H206" s="270"/>
      <c r="I206" s="270"/>
      <c r="J206" s="270"/>
      <c r="K206" s="270"/>
      <c r="L206" s="270"/>
      <c r="M206" s="270"/>
      <c r="N206" s="270"/>
      <c r="O206" s="270"/>
      <c r="P206" s="270"/>
      <c r="Q206" s="270"/>
      <c r="R206" s="270"/>
      <c r="S206" s="270"/>
      <c r="T206" s="270"/>
      <c r="U206" s="270"/>
      <c r="V206" s="270"/>
      <c r="W206" s="260"/>
      <c r="X206" s="1041"/>
      <c r="Y206" s="270"/>
      <c r="Z206" s="270"/>
      <c r="AA206" s="270"/>
      <c r="AB206" s="270"/>
      <c r="AC206" s="270"/>
      <c r="AD206" s="270"/>
      <c r="AE206" s="260"/>
      <c r="AF206" s="264"/>
      <c r="AG206" s="264"/>
      <c r="AH206" s="264"/>
      <c r="AI206" s="264"/>
      <c r="AJ206" s="264"/>
      <c r="AK206" s="264"/>
      <c r="AL206" s="264"/>
      <c r="AM206" s="264"/>
      <c r="AN206" s="264"/>
      <c r="AO206" s="264"/>
      <c r="AP206" s="264"/>
      <c r="AQ206" s="264"/>
      <c r="AR206" s="264"/>
      <c r="AS206" s="264"/>
      <c r="AT206" s="264"/>
      <c r="AU206" s="264"/>
      <c r="AV206" s="264"/>
      <c r="AW206" s="264"/>
      <c r="AX206" s="264"/>
      <c r="AY206" s="264"/>
      <c r="AZ206" s="264"/>
      <c r="BA206" s="264"/>
      <c r="BB206" s="264"/>
      <c r="BC206" s="264"/>
      <c r="BD206" s="264"/>
      <c r="BE206" s="264"/>
      <c r="BF206" s="264"/>
      <c r="BG206" s="264"/>
      <c r="BH206" s="264"/>
      <c r="BI206" s="264"/>
      <c r="BJ206" s="264"/>
      <c r="BK206" s="264"/>
      <c r="BL206" s="264"/>
      <c r="BM206" s="264"/>
      <c r="BN206" s="264"/>
      <c r="BO206" s="264"/>
      <c r="BP206" s="264"/>
      <c r="BQ206" s="264"/>
      <c r="BR206" s="264"/>
      <c r="BS206" s="264"/>
      <c r="BT206" s="264"/>
      <c r="BU206" s="264"/>
      <c r="BV206" s="264"/>
      <c r="BW206" s="264"/>
      <c r="BX206" s="264"/>
      <c r="BY206" s="264"/>
      <c r="BZ206" s="264"/>
      <c r="CA206" s="264"/>
      <c r="CB206" s="264"/>
      <c r="CC206" s="264"/>
      <c r="CD206" s="264"/>
      <c r="CE206" s="264"/>
      <c r="CF206" s="264"/>
      <c r="CG206" s="264"/>
      <c r="CH206" s="264"/>
      <c r="CI206" s="264"/>
    </row>
    <row r="207" spans="1:87" customFormat="1">
      <c r="A207" s="270"/>
      <c r="B207" s="270"/>
      <c r="C207" s="270"/>
      <c r="D207" s="270"/>
      <c r="E207" s="270"/>
      <c r="F207" s="270"/>
      <c r="G207" s="270"/>
      <c r="H207" s="270"/>
      <c r="I207" s="270"/>
      <c r="J207" s="270"/>
      <c r="K207" s="270"/>
      <c r="L207" s="270"/>
      <c r="M207" s="270"/>
      <c r="N207" s="270"/>
      <c r="O207" s="270"/>
      <c r="P207" s="270"/>
      <c r="Q207" s="270"/>
      <c r="R207" s="270"/>
      <c r="S207" s="270"/>
      <c r="T207" s="270"/>
      <c r="U207" s="270"/>
      <c r="V207" s="270"/>
      <c r="W207" s="260"/>
      <c r="X207" s="1041"/>
      <c r="Y207" s="270"/>
      <c r="Z207" s="270"/>
      <c r="AA207" s="270"/>
      <c r="AB207" s="270"/>
      <c r="AC207" s="270"/>
      <c r="AD207" s="270"/>
      <c r="AE207" s="260"/>
      <c r="AF207" s="264"/>
      <c r="AG207" s="264"/>
      <c r="AH207" s="264"/>
      <c r="AI207" s="264"/>
      <c r="AJ207" s="264"/>
      <c r="AK207" s="264"/>
      <c r="AL207" s="264"/>
      <c r="AM207" s="264"/>
      <c r="AN207" s="264"/>
      <c r="AO207" s="264"/>
      <c r="AP207" s="264"/>
      <c r="AQ207" s="264"/>
      <c r="AR207" s="264"/>
      <c r="AS207" s="264"/>
      <c r="AT207" s="264"/>
      <c r="AU207" s="264"/>
      <c r="AV207" s="264"/>
      <c r="AW207" s="264"/>
      <c r="AX207" s="264"/>
      <c r="AY207" s="264"/>
      <c r="AZ207" s="264"/>
      <c r="BA207" s="264"/>
      <c r="BB207" s="264"/>
      <c r="BC207" s="264"/>
      <c r="BD207" s="264"/>
      <c r="BE207" s="264"/>
      <c r="BF207" s="264"/>
      <c r="BG207" s="264"/>
      <c r="BH207" s="264"/>
      <c r="BI207" s="264"/>
      <c r="BJ207" s="264"/>
      <c r="BK207" s="264"/>
      <c r="BL207" s="264"/>
      <c r="BM207" s="264"/>
      <c r="BN207" s="264"/>
      <c r="BO207" s="264"/>
      <c r="BP207" s="264"/>
      <c r="BQ207" s="264"/>
      <c r="BR207" s="264"/>
      <c r="BS207" s="264"/>
      <c r="BT207" s="264"/>
      <c r="BU207" s="264"/>
      <c r="BV207" s="264"/>
      <c r="BW207" s="264"/>
      <c r="BX207" s="264"/>
      <c r="BY207" s="264"/>
      <c r="BZ207" s="264"/>
      <c r="CA207" s="264"/>
      <c r="CB207" s="264"/>
      <c r="CC207" s="264"/>
      <c r="CD207" s="264"/>
      <c r="CE207" s="264"/>
      <c r="CF207" s="264"/>
      <c r="CG207" s="264"/>
      <c r="CH207" s="264"/>
      <c r="CI207" s="264"/>
    </row>
    <row r="208" spans="1:87" customFormat="1">
      <c r="A208" s="270"/>
      <c r="B208" s="270"/>
      <c r="C208" s="270"/>
      <c r="D208" s="270"/>
      <c r="E208" s="270"/>
      <c r="F208" s="270"/>
      <c r="G208" s="270"/>
      <c r="H208" s="270"/>
      <c r="I208" s="270"/>
      <c r="J208" s="270"/>
      <c r="K208" s="270"/>
      <c r="L208" s="270"/>
      <c r="M208" s="270"/>
      <c r="N208" s="270"/>
      <c r="O208" s="270"/>
      <c r="P208" s="270"/>
      <c r="Q208" s="270"/>
      <c r="R208" s="270"/>
      <c r="S208" s="270"/>
      <c r="T208" s="270"/>
      <c r="U208" s="270"/>
      <c r="V208" s="270"/>
      <c r="W208" s="260"/>
      <c r="X208" s="1041"/>
      <c r="Y208" s="270"/>
      <c r="Z208" s="270"/>
      <c r="AA208" s="270"/>
      <c r="AB208" s="270"/>
      <c r="AC208" s="270"/>
      <c r="AD208" s="270"/>
      <c r="AE208" s="260"/>
      <c r="AF208" s="264"/>
      <c r="AG208" s="264"/>
      <c r="AH208" s="264"/>
      <c r="AI208" s="264"/>
      <c r="AJ208" s="264"/>
      <c r="AK208" s="264"/>
      <c r="AL208" s="264"/>
      <c r="AM208" s="264"/>
      <c r="AN208" s="264"/>
      <c r="AO208" s="264"/>
      <c r="AP208" s="264"/>
      <c r="AQ208" s="264"/>
      <c r="AR208" s="264"/>
      <c r="AS208" s="264"/>
      <c r="AT208" s="264"/>
      <c r="AU208" s="264"/>
      <c r="AV208" s="264"/>
      <c r="AW208" s="264"/>
      <c r="AX208" s="264"/>
      <c r="AY208" s="264"/>
      <c r="AZ208" s="264"/>
      <c r="BA208" s="264"/>
      <c r="BB208" s="264"/>
      <c r="BC208" s="264"/>
      <c r="BD208" s="264"/>
      <c r="BE208" s="264"/>
      <c r="BF208" s="264"/>
      <c r="BG208" s="264"/>
      <c r="BH208" s="264"/>
      <c r="BI208" s="264"/>
      <c r="BJ208" s="264"/>
      <c r="BK208" s="264"/>
      <c r="BL208" s="264"/>
      <c r="BM208" s="264"/>
      <c r="BN208" s="264"/>
      <c r="BO208" s="264"/>
      <c r="BP208" s="264"/>
      <c r="BQ208" s="264"/>
      <c r="BR208" s="264"/>
      <c r="BS208" s="264"/>
      <c r="BT208" s="264"/>
      <c r="BU208" s="264"/>
      <c r="BV208" s="264"/>
      <c r="BW208" s="264"/>
      <c r="BX208" s="264"/>
      <c r="BY208" s="264"/>
      <c r="BZ208" s="264"/>
      <c r="CA208" s="264"/>
      <c r="CB208" s="264"/>
      <c r="CC208" s="264"/>
      <c r="CD208" s="264"/>
      <c r="CE208" s="264"/>
      <c r="CF208" s="264"/>
      <c r="CG208" s="264"/>
      <c r="CH208" s="264"/>
      <c r="CI208" s="264"/>
    </row>
    <row r="209" spans="1:87" customFormat="1">
      <c r="A209" s="270"/>
      <c r="B209" s="270"/>
      <c r="C209" s="270"/>
      <c r="D209" s="270"/>
      <c r="E209" s="270"/>
      <c r="F209" s="270"/>
      <c r="G209" s="270"/>
      <c r="H209" s="270"/>
      <c r="I209" s="270"/>
      <c r="J209" s="270"/>
      <c r="K209" s="270"/>
      <c r="L209" s="270"/>
      <c r="M209" s="270"/>
      <c r="N209" s="270"/>
      <c r="O209" s="270"/>
      <c r="P209" s="270"/>
      <c r="Q209" s="270"/>
      <c r="R209" s="270"/>
      <c r="S209" s="270"/>
      <c r="T209" s="270"/>
      <c r="U209" s="270"/>
      <c r="V209" s="270"/>
      <c r="W209" s="260"/>
      <c r="X209" s="1041"/>
      <c r="Y209" s="270"/>
      <c r="Z209" s="270"/>
      <c r="AA209" s="270"/>
      <c r="AB209" s="270"/>
      <c r="AC209" s="270"/>
      <c r="AD209" s="270"/>
      <c r="AE209" s="260"/>
      <c r="AF209" s="264"/>
      <c r="AG209" s="264"/>
      <c r="AH209" s="264"/>
      <c r="AI209" s="264"/>
      <c r="AJ209" s="264"/>
      <c r="AK209" s="264"/>
      <c r="AL209" s="264"/>
      <c r="AM209" s="264"/>
      <c r="AN209" s="264"/>
      <c r="AO209" s="264"/>
      <c r="AP209" s="264"/>
      <c r="AQ209" s="264"/>
      <c r="AR209" s="264"/>
      <c r="AS209" s="264"/>
      <c r="AT209" s="264"/>
      <c r="AU209" s="264"/>
      <c r="AV209" s="264"/>
      <c r="AW209" s="264"/>
      <c r="AX209" s="264"/>
      <c r="AY209" s="264"/>
      <c r="AZ209" s="264"/>
      <c r="BA209" s="264"/>
      <c r="BB209" s="264"/>
      <c r="BC209" s="264"/>
      <c r="BD209" s="264"/>
      <c r="BE209" s="264"/>
      <c r="BF209" s="264"/>
      <c r="BG209" s="264"/>
      <c r="BH209" s="264"/>
      <c r="BI209" s="264"/>
      <c r="BJ209" s="264"/>
      <c r="BK209" s="264"/>
      <c r="BL209" s="264"/>
      <c r="BM209" s="264"/>
      <c r="BN209" s="264"/>
      <c r="BO209" s="264"/>
      <c r="BP209" s="264"/>
      <c r="BQ209" s="264"/>
      <c r="BR209" s="264"/>
      <c r="BS209" s="264"/>
      <c r="BT209" s="264"/>
      <c r="BU209" s="264"/>
      <c r="BV209" s="264"/>
      <c r="BW209" s="264"/>
      <c r="BX209" s="264"/>
      <c r="BY209" s="264"/>
      <c r="BZ209" s="264"/>
      <c r="CA209" s="264"/>
      <c r="CB209" s="264"/>
      <c r="CC209" s="264"/>
      <c r="CD209" s="264"/>
      <c r="CE209" s="264"/>
      <c r="CF209" s="264"/>
      <c r="CG209" s="264"/>
      <c r="CH209" s="264"/>
      <c r="CI209" s="264"/>
    </row>
    <row r="210" spans="1:87" customFormat="1">
      <c r="A210" s="270"/>
      <c r="B210" s="270"/>
      <c r="C210" s="270"/>
      <c r="D210" s="270"/>
      <c r="E210" s="270"/>
      <c r="F210" s="270"/>
      <c r="G210" s="270"/>
      <c r="H210" s="270"/>
      <c r="I210" s="270"/>
      <c r="J210" s="270"/>
      <c r="K210" s="270"/>
      <c r="L210" s="270"/>
      <c r="M210" s="270"/>
      <c r="N210" s="270"/>
      <c r="O210" s="270"/>
      <c r="P210" s="270"/>
      <c r="Q210" s="270"/>
      <c r="R210" s="270"/>
      <c r="S210" s="270"/>
      <c r="T210" s="270"/>
      <c r="U210" s="270"/>
      <c r="V210" s="270"/>
      <c r="W210" s="260"/>
      <c r="X210" s="1041"/>
      <c r="Y210" s="270"/>
      <c r="Z210" s="270"/>
      <c r="AA210" s="270"/>
      <c r="AB210" s="270"/>
      <c r="AC210" s="270"/>
      <c r="AD210" s="270"/>
      <c r="AE210" s="260"/>
      <c r="AF210" s="264"/>
      <c r="AG210" s="264"/>
      <c r="AH210" s="264"/>
      <c r="AI210" s="264"/>
      <c r="AJ210" s="264"/>
      <c r="AK210" s="264"/>
      <c r="AL210" s="264"/>
      <c r="AM210" s="264"/>
      <c r="AN210" s="264"/>
      <c r="AO210" s="264"/>
      <c r="AP210" s="264"/>
      <c r="AQ210" s="264"/>
      <c r="AR210" s="264"/>
      <c r="AS210" s="264"/>
      <c r="AT210" s="264"/>
      <c r="AU210" s="264"/>
      <c r="AV210" s="264"/>
      <c r="AW210" s="264"/>
      <c r="AX210" s="264"/>
      <c r="AY210" s="264"/>
      <c r="AZ210" s="264"/>
      <c r="BA210" s="264"/>
      <c r="BB210" s="264"/>
      <c r="BC210" s="264"/>
      <c r="BD210" s="264"/>
      <c r="BE210" s="264"/>
      <c r="BF210" s="264"/>
      <c r="BG210" s="264"/>
      <c r="BH210" s="264"/>
      <c r="BI210" s="264"/>
      <c r="BJ210" s="264"/>
      <c r="BK210" s="264"/>
      <c r="BL210" s="264"/>
      <c r="BM210" s="264"/>
      <c r="BN210" s="264"/>
      <c r="BO210" s="264"/>
      <c r="BP210" s="264"/>
      <c r="BQ210" s="264"/>
      <c r="BR210" s="264"/>
      <c r="BS210" s="264"/>
      <c r="BT210" s="264"/>
      <c r="BU210" s="264"/>
      <c r="BV210" s="264"/>
      <c r="BW210" s="264"/>
      <c r="BX210" s="264"/>
      <c r="BY210" s="264"/>
      <c r="BZ210" s="264"/>
      <c r="CA210" s="264"/>
      <c r="CB210" s="264"/>
      <c r="CC210" s="264"/>
      <c r="CD210" s="264"/>
      <c r="CE210" s="264"/>
      <c r="CF210" s="264"/>
      <c r="CG210" s="264"/>
      <c r="CH210" s="264"/>
      <c r="CI210" s="264"/>
    </row>
    <row r="211" spans="1:87" customFormat="1">
      <c r="A211" s="270"/>
      <c r="B211" s="270"/>
      <c r="C211" s="270"/>
      <c r="D211" s="270"/>
      <c r="E211" s="270"/>
      <c r="F211" s="270"/>
      <c r="G211" s="270"/>
      <c r="H211" s="270"/>
      <c r="I211" s="270"/>
      <c r="J211" s="270"/>
      <c r="K211" s="270"/>
      <c r="L211" s="270"/>
      <c r="M211" s="270"/>
      <c r="N211" s="270"/>
      <c r="O211" s="270"/>
      <c r="P211" s="270"/>
      <c r="Q211" s="270"/>
      <c r="R211" s="270"/>
      <c r="S211" s="270"/>
      <c r="T211" s="270"/>
      <c r="U211" s="270"/>
      <c r="V211" s="270"/>
      <c r="W211" s="260"/>
      <c r="X211" s="1041"/>
      <c r="Y211" s="270"/>
      <c r="Z211" s="270"/>
      <c r="AA211" s="270"/>
      <c r="AB211" s="270"/>
      <c r="AC211" s="270"/>
      <c r="AD211" s="270"/>
      <c r="AE211" s="260"/>
      <c r="AF211" s="264"/>
      <c r="AG211" s="264"/>
      <c r="AH211" s="264"/>
      <c r="AI211" s="264"/>
      <c r="AJ211" s="264"/>
      <c r="AK211" s="264"/>
      <c r="AL211" s="264"/>
      <c r="AM211" s="264"/>
      <c r="AN211" s="264"/>
      <c r="AO211" s="264"/>
      <c r="AP211" s="264"/>
      <c r="AQ211" s="264"/>
      <c r="AR211" s="264"/>
      <c r="AS211" s="264"/>
      <c r="AT211" s="264"/>
      <c r="AU211" s="264"/>
      <c r="AV211" s="264"/>
      <c r="AW211" s="264"/>
      <c r="AX211" s="264"/>
      <c r="AY211" s="264"/>
      <c r="AZ211" s="264"/>
      <c r="BA211" s="264"/>
      <c r="BB211" s="264"/>
      <c r="BC211" s="264"/>
      <c r="BD211" s="264"/>
      <c r="BE211" s="264"/>
      <c r="BF211" s="264"/>
      <c r="BG211" s="264"/>
      <c r="BH211" s="264"/>
      <c r="BI211" s="264"/>
      <c r="BJ211" s="264"/>
      <c r="BK211" s="264"/>
      <c r="BL211" s="264"/>
      <c r="BM211" s="264"/>
      <c r="BN211" s="264"/>
      <c r="BO211" s="264"/>
      <c r="BP211" s="264"/>
      <c r="BQ211" s="264"/>
      <c r="BR211" s="264"/>
      <c r="BS211" s="264"/>
      <c r="BT211" s="264"/>
      <c r="BU211" s="264"/>
      <c r="BV211" s="264"/>
      <c r="BW211" s="264"/>
      <c r="BX211" s="264"/>
      <c r="BY211" s="264"/>
      <c r="BZ211" s="264"/>
      <c r="CA211" s="264"/>
      <c r="CB211" s="264"/>
      <c r="CC211" s="264"/>
      <c r="CD211" s="264"/>
      <c r="CE211" s="264"/>
      <c r="CF211" s="264"/>
      <c r="CG211" s="264"/>
      <c r="CH211" s="264"/>
      <c r="CI211" s="264"/>
    </row>
    <row r="212" spans="1:87" customFormat="1">
      <c r="A212" s="270"/>
      <c r="B212" s="270"/>
      <c r="C212" s="270"/>
      <c r="D212" s="270"/>
      <c r="E212" s="270"/>
      <c r="F212" s="270"/>
      <c r="G212" s="270"/>
      <c r="H212" s="270"/>
      <c r="I212" s="270"/>
      <c r="J212" s="270"/>
      <c r="K212" s="270"/>
      <c r="L212" s="270"/>
      <c r="M212" s="270"/>
      <c r="N212" s="270"/>
      <c r="O212" s="270"/>
      <c r="P212" s="270"/>
      <c r="Q212" s="270"/>
      <c r="R212" s="270"/>
      <c r="S212" s="270"/>
      <c r="T212" s="270"/>
      <c r="U212" s="270"/>
      <c r="V212" s="270"/>
      <c r="W212" s="260"/>
      <c r="X212" s="1041"/>
      <c r="Y212" s="270"/>
      <c r="Z212" s="270"/>
      <c r="AA212" s="270"/>
      <c r="AB212" s="270"/>
      <c r="AC212" s="270"/>
      <c r="AD212" s="270"/>
      <c r="AE212" s="260"/>
      <c r="AF212" s="264"/>
      <c r="AG212" s="264"/>
      <c r="AH212" s="264"/>
      <c r="AI212" s="264"/>
      <c r="AJ212" s="264"/>
      <c r="AK212" s="264"/>
      <c r="AL212" s="264"/>
      <c r="AM212" s="264"/>
      <c r="AN212" s="264"/>
      <c r="AO212" s="264"/>
      <c r="AP212" s="264"/>
      <c r="AQ212" s="264"/>
      <c r="AR212" s="264"/>
      <c r="AS212" s="264"/>
      <c r="AT212" s="264"/>
      <c r="AU212" s="264"/>
      <c r="AV212" s="264"/>
      <c r="AW212" s="264"/>
      <c r="AX212" s="264"/>
      <c r="AY212" s="264"/>
      <c r="AZ212" s="264"/>
      <c r="BA212" s="264"/>
      <c r="BB212" s="264"/>
      <c r="BC212" s="264"/>
      <c r="BD212" s="264"/>
      <c r="BE212" s="264"/>
      <c r="BF212" s="264"/>
      <c r="BG212" s="264"/>
      <c r="BH212" s="264"/>
      <c r="BI212" s="264"/>
      <c r="BJ212" s="264"/>
      <c r="BK212" s="264"/>
      <c r="BL212" s="264"/>
      <c r="BM212" s="264"/>
      <c r="BN212" s="264"/>
      <c r="BO212" s="264"/>
      <c r="BP212" s="264"/>
      <c r="BQ212" s="264"/>
      <c r="BR212" s="264"/>
      <c r="BS212" s="264"/>
      <c r="BT212" s="264"/>
      <c r="BU212" s="264"/>
      <c r="BV212" s="264"/>
      <c r="BW212" s="264"/>
      <c r="BX212" s="264"/>
      <c r="BY212" s="264"/>
      <c r="BZ212" s="264"/>
      <c r="CA212" s="264"/>
      <c r="CB212" s="264"/>
      <c r="CC212" s="264"/>
      <c r="CD212" s="264"/>
      <c r="CE212" s="264"/>
      <c r="CF212" s="264"/>
      <c r="CG212" s="264"/>
      <c r="CH212" s="264"/>
      <c r="CI212" s="264"/>
    </row>
    <row r="213" spans="1:87" customFormat="1">
      <c r="A213" s="270"/>
      <c r="B213" s="270"/>
      <c r="C213" s="270"/>
      <c r="D213" s="270"/>
      <c r="E213" s="270"/>
      <c r="F213" s="270"/>
      <c r="G213" s="270"/>
      <c r="H213" s="270"/>
      <c r="I213" s="270"/>
      <c r="J213" s="270"/>
      <c r="K213" s="270"/>
      <c r="L213" s="270"/>
      <c r="M213" s="270"/>
      <c r="N213" s="270"/>
      <c r="O213" s="270"/>
      <c r="P213" s="270"/>
      <c r="Q213" s="270"/>
      <c r="R213" s="270"/>
      <c r="S213" s="270"/>
      <c r="T213" s="270"/>
      <c r="U213" s="270"/>
      <c r="V213" s="270"/>
      <c r="W213" s="260"/>
      <c r="X213" s="1041"/>
      <c r="Y213" s="270"/>
      <c r="Z213" s="270"/>
      <c r="AA213" s="270"/>
      <c r="AB213" s="270"/>
      <c r="AC213" s="270"/>
      <c r="AD213" s="270"/>
      <c r="AE213" s="260"/>
      <c r="AF213" s="264"/>
      <c r="AG213" s="264"/>
      <c r="AH213" s="264"/>
      <c r="AI213" s="264"/>
      <c r="AJ213" s="264"/>
      <c r="AK213" s="264"/>
      <c r="AL213" s="264"/>
      <c r="AM213" s="264"/>
      <c r="AN213" s="264"/>
      <c r="AO213" s="264"/>
      <c r="AP213" s="264"/>
      <c r="AQ213" s="264"/>
      <c r="AR213" s="264"/>
      <c r="AS213" s="264"/>
      <c r="AT213" s="264"/>
      <c r="AU213" s="264"/>
      <c r="AV213" s="264"/>
      <c r="AW213" s="264"/>
      <c r="AX213" s="264"/>
      <c r="AY213" s="264"/>
      <c r="AZ213" s="264"/>
      <c r="BA213" s="264"/>
      <c r="BB213" s="264"/>
      <c r="BC213" s="264"/>
      <c r="BD213" s="264"/>
      <c r="BE213" s="264"/>
      <c r="BF213" s="264"/>
      <c r="BG213" s="264"/>
      <c r="BH213" s="264"/>
      <c r="BI213" s="264"/>
      <c r="BJ213" s="264"/>
      <c r="BK213" s="264"/>
      <c r="BL213" s="264"/>
      <c r="BM213" s="264"/>
      <c r="BN213" s="264"/>
      <c r="BO213" s="264"/>
      <c r="BP213" s="264"/>
      <c r="BQ213" s="264"/>
      <c r="BR213" s="264"/>
      <c r="BS213" s="264"/>
      <c r="BT213" s="264"/>
      <c r="BU213" s="264"/>
      <c r="BV213" s="264"/>
      <c r="BW213" s="264"/>
      <c r="BX213" s="264"/>
      <c r="BY213" s="264"/>
      <c r="BZ213" s="264"/>
      <c r="CA213" s="264"/>
      <c r="CB213" s="264"/>
      <c r="CC213" s="264"/>
      <c r="CD213" s="264"/>
      <c r="CE213" s="264"/>
      <c r="CF213" s="264"/>
      <c r="CG213" s="264"/>
      <c r="CH213" s="264"/>
      <c r="CI213" s="264"/>
    </row>
    <row r="214" spans="1:87" customFormat="1">
      <c r="A214" s="270"/>
      <c r="B214" s="270"/>
      <c r="C214" s="270"/>
      <c r="D214" s="270"/>
      <c r="E214" s="270"/>
      <c r="F214" s="270"/>
      <c r="G214" s="270"/>
      <c r="H214" s="270"/>
      <c r="I214" s="270"/>
      <c r="J214" s="270"/>
      <c r="K214" s="270"/>
      <c r="L214" s="270"/>
      <c r="M214" s="270"/>
      <c r="N214" s="270"/>
      <c r="O214" s="270"/>
      <c r="P214" s="270"/>
      <c r="Q214" s="270"/>
      <c r="R214" s="270"/>
      <c r="S214" s="270"/>
      <c r="T214" s="270"/>
      <c r="U214" s="270"/>
      <c r="V214" s="270"/>
      <c r="W214" s="260"/>
      <c r="X214" s="1041"/>
      <c r="Y214" s="270"/>
      <c r="Z214" s="270"/>
      <c r="AA214" s="270"/>
      <c r="AB214" s="270"/>
      <c r="AC214" s="270"/>
      <c r="AD214" s="270"/>
      <c r="AE214" s="260"/>
      <c r="AF214" s="264"/>
      <c r="AG214" s="264"/>
      <c r="AH214" s="264"/>
      <c r="AI214" s="264"/>
      <c r="AJ214" s="264"/>
      <c r="AK214" s="264"/>
      <c r="AL214" s="264"/>
      <c r="AM214" s="264"/>
      <c r="AN214" s="264"/>
      <c r="AO214" s="264"/>
      <c r="AP214" s="264"/>
      <c r="AQ214" s="264"/>
      <c r="AR214" s="264"/>
      <c r="AS214" s="264"/>
      <c r="AT214" s="264"/>
      <c r="AU214" s="264"/>
      <c r="AV214" s="264"/>
      <c r="AW214" s="264"/>
      <c r="AX214" s="264"/>
      <c r="AY214" s="264"/>
      <c r="AZ214" s="264"/>
      <c r="BA214" s="264"/>
      <c r="BB214" s="264"/>
      <c r="BC214" s="264"/>
      <c r="BD214" s="264"/>
      <c r="BE214" s="264"/>
      <c r="BF214" s="264"/>
      <c r="BG214" s="264"/>
      <c r="BH214" s="264"/>
      <c r="BI214" s="264"/>
      <c r="BJ214" s="264"/>
      <c r="BK214" s="264"/>
      <c r="BL214" s="264"/>
      <c r="BM214" s="264"/>
      <c r="BN214" s="264"/>
      <c r="BO214" s="264"/>
      <c r="BP214" s="264"/>
      <c r="BQ214" s="264"/>
      <c r="BR214" s="264"/>
      <c r="BS214" s="264"/>
      <c r="BT214" s="264"/>
      <c r="BU214" s="264"/>
      <c r="BV214" s="264"/>
      <c r="BW214" s="264"/>
      <c r="BX214" s="264"/>
      <c r="BY214" s="264"/>
      <c r="BZ214" s="264"/>
      <c r="CA214" s="264"/>
      <c r="CB214" s="264"/>
      <c r="CC214" s="264"/>
      <c r="CD214" s="264"/>
      <c r="CE214" s="264"/>
      <c r="CF214" s="264"/>
      <c r="CG214" s="264"/>
      <c r="CH214" s="264"/>
      <c r="CI214" s="264"/>
    </row>
    <row r="215" spans="1:87" customFormat="1">
      <c r="A215" s="270"/>
      <c r="B215" s="270"/>
      <c r="C215" s="270"/>
      <c r="D215" s="270"/>
      <c r="E215" s="270"/>
      <c r="F215" s="270"/>
      <c r="G215" s="270"/>
      <c r="H215" s="270"/>
      <c r="I215" s="270"/>
      <c r="J215" s="270"/>
      <c r="K215" s="270"/>
      <c r="L215" s="270"/>
      <c r="M215" s="270"/>
      <c r="N215" s="270"/>
      <c r="O215" s="270"/>
      <c r="P215" s="270"/>
      <c r="Q215" s="270"/>
      <c r="R215" s="270"/>
      <c r="S215" s="270"/>
      <c r="T215" s="270"/>
      <c r="U215" s="270"/>
      <c r="V215" s="270"/>
      <c r="W215" s="260"/>
      <c r="X215" s="1041"/>
      <c r="Y215" s="270"/>
      <c r="Z215" s="270"/>
      <c r="AA215" s="270"/>
      <c r="AB215" s="270"/>
      <c r="AC215" s="270"/>
      <c r="AD215" s="270"/>
      <c r="AE215" s="260"/>
      <c r="AF215" s="264"/>
      <c r="AG215" s="264"/>
      <c r="AH215" s="264"/>
      <c r="AI215" s="264"/>
      <c r="AJ215" s="264"/>
      <c r="AK215" s="264"/>
      <c r="AL215" s="264"/>
      <c r="AM215" s="264"/>
      <c r="AN215" s="264"/>
      <c r="AO215" s="264"/>
      <c r="AP215" s="264"/>
      <c r="AQ215" s="264"/>
      <c r="AR215" s="264"/>
      <c r="AS215" s="264"/>
      <c r="AT215" s="264"/>
      <c r="AU215" s="264"/>
      <c r="AV215" s="264"/>
      <c r="AW215" s="264"/>
      <c r="AX215" s="264"/>
      <c r="AY215" s="264"/>
      <c r="AZ215" s="264"/>
      <c r="BA215" s="264"/>
      <c r="BB215" s="264"/>
      <c r="BC215" s="264"/>
      <c r="BD215" s="264"/>
      <c r="BE215" s="264"/>
      <c r="BF215" s="264"/>
      <c r="BG215" s="264"/>
      <c r="BH215" s="264"/>
      <c r="BI215" s="264"/>
      <c r="BJ215" s="264"/>
      <c r="BK215" s="264"/>
      <c r="BL215" s="264"/>
      <c r="BM215" s="264"/>
      <c r="BN215" s="264"/>
      <c r="BO215" s="264"/>
      <c r="BP215" s="264"/>
      <c r="BQ215" s="264"/>
      <c r="BR215" s="264"/>
      <c r="BS215" s="264"/>
      <c r="BT215" s="264"/>
      <c r="BU215" s="264"/>
      <c r="BV215" s="264"/>
      <c r="BW215" s="264"/>
      <c r="BX215" s="264"/>
      <c r="BY215" s="264"/>
      <c r="BZ215" s="264"/>
      <c r="CA215" s="264"/>
      <c r="CB215" s="264"/>
      <c r="CC215" s="264"/>
      <c r="CD215" s="264"/>
      <c r="CE215" s="264"/>
      <c r="CF215" s="264"/>
      <c r="CG215" s="264"/>
      <c r="CH215" s="264"/>
      <c r="CI215" s="264"/>
    </row>
    <row r="216" spans="1:87" customFormat="1">
      <c r="A216" s="270"/>
      <c r="B216" s="270"/>
      <c r="C216" s="270"/>
      <c r="D216" s="270"/>
      <c r="E216" s="270"/>
      <c r="F216" s="270"/>
      <c r="G216" s="270"/>
      <c r="H216" s="270"/>
      <c r="I216" s="270"/>
      <c r="J216" s="270"/>
      <c r="K216" s="270"/>
      <c r="L216" s="270"/>
      <c r="M216" s="270"/>
      <c r="N216" s="270"/>
      <c r="O216" s="270"/>
      <c r="P216" s="270"/>
      <c r="Q216" s="270"/>
      <c r="R216" s="270"/>
      <c r="S216" s="270"/>
      <c r="T216" s="270"/>
      <c r="U216" s="270"/>
      <c r="V216" s="270"/>
      <c r="W216" s="260"/>
      <c r="X216" s="1041"/>
      <c r="Y216" s="270"/>
      <c r="Z216" s="270"/>
      <c r="AA216" s="270"/>
      <c r="AB216" s="270"/>
      <c r="AC216" s="270"/>
      <c r="AD216" s="270"/>
      <c r="AE216" s="260"/>
      <c r="AF216" s="264"/>
      <c r="AG216" s="264"/>
      <c r="AH216" s="264"/>
      <c r="AI216" s="264"/>
      <c r="AJ216" s="264"/>
      <c r="AK216" s="264"/>
      <c r="AL216" s="264"/>
      <c r="AM216" s="264"/>
      <c r="AN216" s="264"/>
      <c r="AO216" s="264"/>
      <c r="AP216" s="264"/>
      <c r="AQ216" s="264"/>
      <c r="AR216" s="264"/>
      <c r="AS216" s="264"/>
      <c r="AT216" s="264"/>
      <c r="AU216" s="264"/>
      <c r="AV216" s="264"/>
      <c r="AW216" s="264"/>
      <c r="AX216" s="264"/>
      <c r="AY216" s="264"/>
      <c r="AZ216" s="264"/>
      <c r="BA216" s="264"/>
      <c r="BB216" s="264"/>
      <c r="BC216" s="264"/>
      <c r="BD216" s="264"/>
      <c r="BE216" s="264"/>
      <c r="BF216" s="264"/>
      <c r="BG216" s="264"/>
      <c r="BH216" s="264"/>
      <c r="BI216" s="264"/>
      <c r="BJ216" s="264"/>
      <c r="BK216" s="264"/>
      <c r="BL216" s="264"/>
      <c r="BM216" s="264"/>
      <c r="BN216" s="264"/>
      <c r="BO216" s="264"/>
      <c r="BP216" s="264"/>
      <c r="BQ216" s="264"/>
      <c r="BR216" s="264"/>
      <c r="BS216" s="264"/>
      <c r="BT216" s="264"/>
      <c r="BU216" s="264"/>
      <c r="BV216" s="264"/>
      <c r="BW216" s="264"/>
      <c r="BX216" s="264"/>
      <c r="BY216" s="264"/>
      <c r="BZ216" s="264"/>
      <c r="CA216" s="264"/>
      <c r="CB216" s="264"/>
      <c r="CC216" s="264"/>
      <c r="CD216" s="264"/>
      <c r="CE216" s="264"/>
      <c r="CF216" s="264"/>
      <c r="CG216" s="264"/>
      <c r="CH216" s="264"/>
      <c r="CI216" s="264"/>
    </row>
    <row r="217" spans="1:87" customFormat="1">
      <c r="A217" s="270"/>
      <c r="B217" s="270"/>
      <c r="C217" s="270"/>
      <c r="D217" s="270"/>
      <c r="E217" s="270"/>
      <c r="F217" s="270"/>
      <c r="G217" s="270"/>
      <c r="H217" s="270"/>
      <c r="I217" s="270"/>
      <c r="J217" s="270"/>
      <c r="K217" s="270"/>
      <c r="L217" s="270"/>
      <c r="M217" s="270"/>
      <c r="N217" s="270"/>
      <c r="O217" s="270"/>
      <c r="P217" s="270"/>
      <c r="Q217" s="270"/>
      <c r="R217" s="270"/>
      <c r="S217" s="270"/>
      <c r="T217" s="270"/>
      <c r="U217" s="270"/>
      <c r="V217" s="270"/>
      <c r="W217" s="260"/>
      <c r="X217" s="1041"/>
      <c r="Y217" s="270"/>
      <c r="Z217" s="270"/>
      <c r="AA217" s="270"/>
      <c r="AB217" s="270"/>
      <c r="AC217" s="270"/>
      <c r="AD217" s="270"/>
      <c r="AE217" s="260"/>
      <c r="AF217" s="264"/>
      <c r="AG217" s="264"/>
      <c r="AH217" s="264"/>
      <c r="AI217" s="264"/>
      <c r="AJ217" s="264"/>
      <c r="AK217" s="264"/>
      <c r="AL217" s="264"/>
      <c r="AM217" s="264"/>
      <c r="AN217" s="264"/>
      <c r="AO217" s="264"/>
      <c r="AP217" s="264"/>
      <c r="AQ217" s="264"/>
      <c r="AR217" s="264"/>
      <c r="AS217" s="264"/>
      <c r="AT217" s="264"/>
      <c r="AU217" s="264"/>
      <c r="AV217" s="264"/>
      <c r="AW217" s="264"/>
      <c r="AX217" s="264"/>
      <c r="AY217" s="264"/>
      <c r="AZ217" s="264"/>
      <c r="BA217" s="264"/>
      <c r="BB217" s="264"/>
      <c r="BC217" s="264"/>
      <c r="BD217" s="264"/>
      <c r="BE217" s="264"/>
      <c r="BF217" s="264"/>
      <c r="BG217" s="264"/>
      <c r="BH217" s="264"/>
      <c r="BI217" s="264"/>
      <c r="BJ217" s="264"/>
      <c r="BK217" s="264"/>
      <c r="BL217" s="264"/>
      <c r="BM217" s="264"/>
      <c r="BN217" s="264"/>
      <c r="BO217" s="264"/>
      <c r="BP217" s="264"/>
      <c r="BQ217" s="264"/>
      <c r="BR217" s="264"/>
      <c r="BS217" s="264"/>
      <c r="BT217" s="264"/>
      <c r="BU217" s="264"/>
      <c r="BV217" s="264"/>
      <c r="BW217" s="264"/>
      <c r="BX217" s="264"/>
      <c r="BY217" s="264"/>
      <c r="BZ217" s="264"/>
      <c r="CA217" s="264"/>
      <c r="CB217" s="264"/>
      <c r="CC217" s="264"/>
      <c r="CD217" s="264"/>
      <c r="CE217" s="264"/>
      <c r="CF217" s="264"/>
      <c r="CG217" s="264"/>
      <c r="CH217" s="264"/>
      <c r="CI217" s="264"/>
    </row>
    <row r="218" spans="1:87" customFormat="1">
      <c r="A218" s="270"/>
      <c r="B218" s="270"/>
      <c r="C218" s="270"/>
      <c r="D218" s="270"/>
      <c r="E218" s="270"/>
      <c r="F218" s="270"/>
      <c r="G218" s="270"/>
      <c r="H218" s="270"/>
      <c r="I218" s="270"/>
      <c r="J218" s="270"/>
      <c r="K218" s="270"/>
      <c r="L218" s="270"/>
      <c r="M218" s="270"/>
      <c r="N218" s="270"/>
      <c r="O218" s="270"/>
      <c r="P218" s="270"/>
      <c r="Q218" s="270"/>
      <c r="R218" s="270"/>
      <c r="S218" s="270"/>
      <c r="T218" s="270"/>
      <c r="U218" s="270"/>
      <c r="V218" s="270"/>
      <c r="W218" s="260"/>
      <c r="X218" s="1041"/>
      <c r="Y218" s="270"/>
      <c r="Z218" s="270"/>
      <c r="AA218" s="270"/>
      <c r="AB218" s="270"/>
      <c r="AC218" s="270"/>
      <c r="AD218" s="270"/>
      <c r="AE218" s="260"/>
      <c r="AF218" s="264"/>
      <c r="AG218" s="264"/>
      <c r="AH218" s="264"/>
      <c r="AI218" s="264"/>
      <c r="AJ218" s="264"/>
      <c r="AK218" s="264"/>
      <c r="AL218" s="264"/>
      <c r="AM218" s="264"/>
      <c r="AN218" s="264"/>
      <c r="AO218" s="264"/>
      <c r="AP218" s="264"/>
      <c r="AQ218" s="264"/>
      <c r="AR218" s="264"/>
      <c r="AS218" s="264"/>
      <c r="AT218" s="264"/>
      <c r="AU218" s="264"/>
      <c r="AV218" s="264"/>
      <c r="AW218" s="264"/>
      <c r="AX218" s="264"/>
      <c r="AY218" s="264"/>
      <c r="AZ218" s="264"/>
      <c r="BA218" s="264"/>
      <c r="BB218" s="264"/>
      <c r="BC218" s="264"/>
      <c r="BD218" s="264"/>
      <c r="BE218" s="264"/>
      <c r="BF218" s="264"/>
      <c r="BG218" s="264"/>
      <c r="BH218" s="264"/>
      <c r="BI218" s="264"/>
      <c r="BJ218" s="264"/>
      <c r="BK218" s="264"/>
      <c r="BL218" s="264"/>
      <c r="BM218" s="264"/>
      <c r="BN218" s="264"/>
      <c r="BO218" s="264"/>
      <c r="BP218" s="264"/>
      <c r="BQ218" s="264"/>
      <c r="BR218" s="264"/>
      <c r="BS218" s="264"/>
      <c r="BT218" s="264"/>
      <c r="BU218" s="264"/>
      <c r="BV218" s="264"/>
      <c r="BW218" s="264"/>
      <c r="BX218" s="264"/>
      <c r="BY218" s="264"/>
      <c r="BZ218" s="264"/>
      <c r="CA218" s="264"/>
      <c r="CB218" s="264"/>
      <c r="CC218" s="264"/>
      <c r="CD218" s="264"/>
      <c r="CE218" s="264"/>
      <c r="CF218" s="264"/>
      <c r="CG218" s="264"/>
      <c r="CH218" s="264"/>
      <c r="CI218" s="264"/>
    </row>
    <row r="219" spans="1:87" customFormat="1">
      <c r="A219" s="270"/>
      <c r="B219" s="270"/>
      <c r="C219" s="270"/>
      <c r="D219" s="270"/>
      <c r="E219" s="270"/>
      <c r="F219" s="270"/>
      <c r="G219" s="270"/>
      <c r="H219" s="270"/>
      <c r="I219" s="270"/>
      <c r="J219" s="270"/>
      <c r="K219" s="270"/>
      <c r="L219" s="270"/>
      <c r="M219" s="270"/>
      <c r="N219" s="270"/>
      <c r="O219" s="270"/>
      <c r="P219" s="270"/>
      <c r="Q219" s="270"/>
      <c r="R219" s="270"/>
      <c r="S219" s="270"/>
      <c r="T219" s="270"/>
      <c r="U219" s="270"/>
      <c r="V219" s="270"/>
      <c r="W219" s="260"/>
      <c r="X219" s="1041"/>
      <c r="Y219" s="270"/>
      <c r="Z219" s="270"/>
      <c r="AA219" s="270"/>
      <c r="AB219" s="270"/>
      <c r="AC219" s="270"/>
      <c r="AD219" s="270"/>
      <c r="AE219" s="260"/>
      <c r="AF219" s="264"/>
      <c r="AG219" s="264"/>
      <c r="AH219" s="264"/>
      <c r="AI219" s="264"/>
      <c r="AJ219" s="264"/>
      <c r="AK219" s="264"/>
      <c r="AL219" s="264"/>
      <c r="AM219" s="264"/>
      <c r="AN219" s="264"/>
      <c r="AO219" s="264"/>
      <c r="AP219" s="264"/>
      <c r="AQ219" s="264"/>
      <c r="AR219" s="264"/>
      <c r="AS219" s="264"/>
      <c r="AT219" s="264"/>
      <c r="AU219" s="264"/>
      <c r="AV219" s="264"/>
      <c r="AW219" s="264"/>
      <c r="AX219" s="264"/>
      <c r="AY219" s="264"/>
      <c r="AZ219" s="264"/>
      <c r="BA219" s="264"/>
      <c r="BB219" s="264"/>
      <c r="BC219" s="264"/>
      <c r="BD219" s="264"/>
      <c r="BE219" s="264"/>
      <c r="BF219" s="264"/>
      <c r="BG219" s="264"/>
      <c r="BH219" s="264"/>
      <c r="BI219" s="264"/>
      <c r="BJ219" s="264"/>
      <c r="BK219" s="264"/>
      <c r="BL219" s="264"/>
      <c r="BM219" s="264"/>
      <c r="BN219" s="264"/>
      <c r="BO219" s="264"/>
      <c r="BP219" s="264"/>
      <c r="BQ219" s="264"/>
      <c r="BR219" s="264"/>
      <c r="BS219" s="264"/>
      <c r="BT219" s="264"/>
      <c r="BU219" s="264"/>
      <c r="BV219" s="264"/>
      <c r="BW219" s="264"/>
      <c r="BX219" s="264"/>
      <c r="BY219" s="264"/>
      <c r="BZ219" s="264"/>
      <c r="CA219" s="264"/>
      <c r="CB219" s="264"/>
      <c r="CC219" s="264"/>
      <c r="CD219" s="264"/>
      <c r="CE219" s="264"/>
      <c r="CF219" s="264"/>
      <c r="CG219" s="264"/>
      <c r="CH219" s="264"/>
      <c r="CI219" s="264"/>
    </row>
    <row r="220" spans="1:87" customFormat="1">
      <c r="A220" s="270"/>
      <c r="B220" s="270"/>
      <c r="C220" s="270"/>
      <c r="D220" s="270"/>
      <c r="E220" s="270"/>
      <c r="F220" s="270"/>
      <c r="G220" s="270"/>
      <c r="H220" s="270"/>
      <c r="I220" s="270"/>
      <c r="J220" s="270"/>
      <c r="K220" s="270"/>
      <c r="L220" s="270"/>
      <c r="M220" s="270"/>
      <c r="N220" s="270"/>
      <c r="O220" s="270"/>
      <c r="P220" s="270"/>
      <c r="Q220" s="270"/>
      <c r="R220" s="270"/>
      <c r="S220" s="270"/>
      <c r="T220" s="270"/>
      <c r="U220" s="270"/>
      <c r="V220" s="270"/>
      <c r="W220" s="260"/>
      <c r="X220" s="1041"/>
      <c r="Y220" s="270"/>
      <c r="Z220" s="270"/>
      <c r="AA220" s="270"/>
      <c r="AB220" s="270"/>
      <c r="AC220" s="270"/>
      <c r="AD220" s="270"/>
      <c r="AE220" s="260"/>
      <c r="AF220" s="264"/>
      <c r="AG220" s="264"/>
      <c r="AH220" s="264"/>
      <c r="AI220" s="264"/>
      <c r="AJ220" s="264"/>
      <c r="AK220" s="264"/>
      <c r="AL220" s="264"/>
      <c r="AM220" s="264"/>
      <c r="AN220" s="264"/>
      <c r="AO220" s="264"/>
      <c r="AP220" s="264"/>
      <c r="AQ220" s="264"/>
      <c r="AR220" s="264"/>
      <c r="AS220" s="264"/>
      <c r="AT220" s="264"/>
      <c r="AU220" s="264"/>
      <c r="AV220" s="264"/>
      <c r="AW220" s="264"/>
      <c r="AX220" s="264"/>
      <c r="AY220" s="264"/>
      <c r="AZ220" s="264"/>
      <c r="BA220" s="264"/>
      <c r="BB220" s="264"/>
      <c r="BC220" s="264"/>
      <c r="BD220" s="264"/>
      <c r="BE220" s="264"/>
      <c r="BF220" s="264"/>
      <c r="BG220" s="264"/>
      <c r="BH220" s="264"/>
      <c r="BI220" s="264"/>
      <c r="BJ220" s="264"/>
      <c r="BK220" s="264"/>
      <c r="BL220" s="264"/>
      <c r="BM220" s="264"/>
      <c r="BN220" s="264"/>
      <c r="BO220" s="264"/>
      <c r="BP220" s="264"/>
      <c r="BQ220" s="264"/>
      <c r="BR220" s="264"/>
      <c r="BS220" s="264"/>
      <c r="BT220" s="264"/>
      <c r="BU220" s="264"/>
      <c r="BV220" s="264"/>
      <c r="BW220" s="264"/>
      <c r="BX220" s="264"/>
      <c r="BY220" s="264"/>
      <c r="BZ220" s="264"/>
      <c r="CA220" s="264"/>
      <c r="CB220" s="264"/>
      <c r="CC220" s="264"/>
      <c r="CD220" s="264"/>
      <c r="CE220" s="264"/>
      <c r="CF220" s="264"/>
      <c r="CG220" s="264"/>
      <c r="CH220" s="264"/>
      <c r="CI220" s="264"/>
    </row>
    <row r="221" spans="1:87" customFormat="1">
      <c r="A221" s="270"/>
      <c r="B221" s="270"/>
      <c r="C221" s="270"/>
      <c r="D221" s="270"/>
      <c r="E221" s="270"/>
      <c r="F221" s="270"/>
      <c r="G221" s="270"/>
      <c r="H221" s="270"/>
      <c r="I221" s="270"/>
      <c r="J221" s="270"/>
      <c r="K221" s="270"/>
      <c r="L221" s="270"/>
      <c r="M221" s="270"/>
      <c r="N221" s="270"/>
      <c r="O221" s="270"/>
      <c r="P221" s="270"/>
      <c r="Q221" s="270"/>
      <c r="R221" s="270"/>
      <c r="S221" s="270"/>
      <c r="T221" s="270"/>
      <c r="U221" s="270"/>
      <c r="V221" s="270"/>
      <c r="W221" s="260"/>
      <c r="X221" s="1041"/>
      <c r="Y221" s="270"/>
      <c r="Z221" s="270"/>
      <c r="AA221" s="270"/>
      <c r="AB221" s="270"/>
      <c r="AC221" s="270"/>
      <c r="AD221" s="270"/>
      <c r="AE221" s="260"/>
      <c r="AF221" s="264"/>
      <c r="AG221" s="264"/>
      <c r="AH221" s="264"/>
      <c r="AI221" s="264"/>
      <c r="AJ221" s="264"/>
      <c r="AK221" s="264"/>
      <c r="AL221" s="264"/>
      <c r="AM221" s="264"/>
      <c r="AN221" s="264"/>
      <c r="AO221" s="264"/>
      <c r="AP221" s="264"/>
      <c r="AQ221" s="264"/>
      <c r="AR221" s="264"/>
      <c r="AS221" s="264"/>
      <c r="AT221" s="264"/>
      <c r="AU221" s="264"/>
      <c r="AV221" s="264"/>
      <c r="AW221" s="264"/>
      <c r="AX221" s="264"/>
      <c r="AY221" s="264"/>
      <c r="AZ221" s="264"/>
      <c r="BA221" s="264"/>
      <c r="BB221" s="264"/>
      <c r="BC221" s="264"/>
      <c r="BD221" s="264"/>
      <c r="BE221" s="264"/>
      <c r="BF221" s="264"/>
      <c r="BG221" s="264"/>
      <c r="BH221" s="264"/>
      <c r="BI221" s="264"/>
      <c r="BJ221" s="264"/>
      <c r="BK221" s="264"/>
      <c r="BL221" s="264"/>
      <c r="BM221" s="264"/>
      <c r="BN221" s="264"/>
      <c r="BO221" s="264"/>
      <c r="BP221" s="264"/>
      <c r="BQ221" s="264"/>
      <c r="BR221" s="264"/>
      <c r="BS221" s="264"/>
      <c r="BT221" s="264"/>
      <c r="BU221" s="264"/>
      <c r="BV221" s="264"/>
      <c r="BW221" s="264"/>
      <c r="BX221" s="264"/>
      <c r="BY221" s="264"/>
      <c r="BZ221" s="264"/>
      <c r="CA221" s="264"/>
      <c r="CB221" s="264"/>
      <c r="CC221" s="264"/>
      <c r="CD221" s="264"/>
      <c r="CE221" s="264"/>
      <c r="CF221" s="264"/>
      <c r="CG221" s="264"/>
      <c r="CH221" s="264"/>
      <c r="CI221" s="264"/>
    </row>
    <row r="222" spans="1:87" customFormat="1">
      <c r="A222" s="270"/>
      <c r="B222" s="270"/>
      <c r="C222" s="270"/>
      <c r="D222" s="270"/>
      <c r="E222" s="270"/>
      <c r="F222" s="270"/>
      <c r="G222" s="270"/>
      <c r="H222" s="270"/>
      <c r="I222" s="270"/>
      <c r="J222" s="270"/>
      <c r="K222" s="270"/>
      <c r="L222" s="270"/>
      <c r="M222" s="270"/>
      <c r="N222" s="270"/>
      <c r="O222" s="270"/>
      <c r="P222" s="270"/>
      <c r="Q222" s="270"/>
      <c r="R222" s="270"/>
      <c r="S222" s="270"/>
      <c r="T222" s="270"/>
      <c r="U222" s="270"/>
      <c r="V222" s="270"/>
      <c r="W222" s="260"/>
      <c r="X222" s="1041"/>
      <c r="Y222" s="270"/>
      <c r="Z222" s="270"/>
      <c r="AA222" s="270"/>
      <c r="AB222" s="270"/>
      <c r="AC222" s="270"/>
      <c r="AD222" s="270"/>
      <c r="AE222" s="260"/>
      <c r="AF222" s="264"/>
      <c r="AG222" s="264"/>
      <c r="AH222" s="264"/>
      <c r="AI222" s="264"/>
      <c r="AJ222" s="264"/>
      <c r="AK222" s="264"/>
      <c r="AL222" s="264"/>
      <c r="AM222" s="264"/>
      <c r="AN222" s="264"/>
      <c r="AO222" s="264"/>
      <c r="AP222" s="264"/>
      <c r="AQ222" s="264"/>
      <c r="AR222" s="264"/>
      <c r="AS222" s="264"/>
      <c r="AT222" s="264"/>
      <c r="AU222" s="264"/>
      <c r="AV222" s="264"/>
      <c r="AW222" s="264"/>
      <c r="AX222" s="264"/>
      <c r="AY222" s="264"/>
      <c r="AZ222" s="264"/>
      <c r="BA222" s="264"/>
      <c r="BB222" s="264"/>
      <c r="BC222" s="264"/>
      <c r="BD222" s="264"/>
      <c r="BE222" s="264"/>
      <c r="BF222" s="264"/>
      <c r="BG222" s="264"/>
      <c r="BH222" s="264"/>
      <c r="BI222" s="264"/>
      <c r="BJ222" s="264"/>
      <c r="BK222" s="264"/>
      <c r="BL222" s="264"/>
      <c r="BM222" s="264"/>
      <c r="BN222" s="264"/>
      <c r="BO222" s="264"/>
      <c r="BP222" s="264"/>
      <c r="BQ222" s="264"/>
      <c r="BR222" s="264"/>
      <c r="BS222" s="264"/>
      <c r="BT222" s="264"/>
      <c r="BU222" s="264"/>
      <c r="BV222" s="264"/>
      <c r="BW222" s="264"/>
      <c r="BX222" s="264"/>
      <c r="BY222" s="264"/>
      <c r="BZ222" s="264"/>
      <c r="CA222" s="264"/>
      <c r="CB222" s="264"/>
      <c r="CC222" s="264"/>
      <c r="CD222" s="264"/>
      <c r="CE222" s="264"/>
      <c r="CF222" s="264"/>
      <c r="CG222" s="264"/>
      <c r="CH222" s="264"/>
      <c r="CI222" s="264"/>
    </row>
    <row r="223" spans="1:87" customFormat="1">
      <c r="A223" s="270"/>
      <c r="B223" s="270"/>
      <c r="C223" s="270"/>
      <c r="D223" s="270"/>
      <c r="E223" s="270"/>
      <c r="F223" s="270"/>
      <c r="G223" s="270"/>
      <c r="H223" s="270"/>
      <c r="I223" s="270"/>
      <c r="J223" s="270"/>
      <c r="K223" s="270"/>
      <c r="L223" s="270"/>
      <c r="M223" s="270"/>
      <c r="N223" s="270"/>
      <c r="O223" s="270"/>
      <c r="P223" s="270"/>
      <c r="Q223" s="270"/>
      <c r="R223" s="270"/>
      <c r="S223" s="270"/>
      <c r="T223" s="270"/>
      <c r="U223" s="270"/>
      <c r="V223" s="270"/>
      <c r="W223" s="260"/>
      <c r="X223" s="1041"/>
      <c r="Y223" s="270"/>
      <c r="Z223" s="270"/>
      <c r="AA223" s="270"/>
      <c r="AB223" s="270"/>
      <c r="AC223" s="270"/>
      <c r="AD223" s="270"/>
      <c r="AE223" s="260"/>
      <c r="AF223" s="264"/>
      <c r="AG223" s="264"/>
      <c r="AH223" s="264"/>
      <c r="AI223" s="264"/>
      <c r="AJ223" s="264"/>
      <c r="AK223" s="264"/>
      <c r="AL223" s="264"/>
      <c r="AM223" s="264"/>
      <c r="AN223" s="264"/>
      <c r="AO223" s="264"/>
      <c r="AP223" s="264"/>
      <c r="AQ223" s="264"/>
      <c r="AR223" s="264"/>
      <c r="AS223" s="264"/>
      <c r="AT223" s="264"/>
      <c r="AU223" s="264"/>
      <c r="AV223" s="264"/>
      <c r="AW223" s="264"/>
      <c r="AX223" s="264"/>
      <c r="AY223" s="264"/>
      <c r="AZ223" s="264"/>
      <c r="BA223" s="264"/>
      <c r="BB223" s="264"/>
      <c r="BC223" s="264"/>
      <c r="BD223" s="264"/>
      <c r="BE223" s="264"/>
      <c r="BF223" s="264"/>
      <c r="BG223" s="264"/>
      <c r="BH223" s="264"/>
      <c r="BI223" s="264"/>
      <c r="BJ223" s="264"/>
      <c r="BK223" s="264"/>
      <c r="BL223" s="264"/>
      <c r="BM223" s="264"/>
      <c r="BN223" s="264"/>
      <c r="BO223" s="264"/>
      <c r="BP223" s="264"/>
      <c r="BQ223" s="264"/>
      <c r="BR223" s="264"/>
      <c r="BS223" s="264"/>
      <c r="BT223" s="264"/>
      <c r="BU223" s="264"/>
      <c r="BV223" s="264"/>
      <c r="BW223" s="264"/>
      <c r="BX223" s="264"/>
      <c r="BY223" s="264"/>
      <c r="BZ223" s="264"/>
      <c r="CA223" s="264"/>
      <c r="CB223" s="264"/>
      <c r="CC223" s="264"/>
      <c r="CD223" s="264"/>
      <c r="CE223" s="264"/>
      <c r="CF223" s="264"/>
      <c r="CG223" s="264"/>
      <c r="CH223" s="264"/>
      <c r="CI223" s="264"/>
    </row>
    <row r="224" spans="1:87" customFormat="1">
      <c r="A224" s="270"/>
      <c r="B224" s="270"/>
      <c r="C224" s="270"/>
      <c r="D224" s="270"/>
      <c r="E224" s="270"/>
      <c r="F224" s="270"/>
      <c r="G224" s="270"/>
      <c r="H224" s="270"/>
      <c r="I224" s="270"/>
      <c r="J224" s="270"/>
      <c r="K224" s="270"/>
      <c r="L224" s="270"/>
      <c r="M224" s="270"/>
      <c r="N224" s="270"/>
      <c r="O224" s="270"/>
      <c r="P224" s="270"/>
      <c r="Q224" s="270"/>
      <c r="R224" s="270"/>
      <c r="S224" s="270"/>
      <c r="T224" s="270"/>
      <c r="U224" s="270"/>
      <c r="V224" s="270"/>
      <c r="W224" s="260"/>
      <c r="X224" s="1041"/>
      <c r="Y224" s="270"/>
      <c r="Z224" s="270"/>
      <c r="AA224" s="270"/>
      <c r="AB224" s="270"/>
      <c r="AC224" s="270"/>
      <c r="AD224" s="270"/>
      <c r="AE224" s="260"/>
      <c r="AF224" s="264"/>
      <c r="AG224" s="264"/>
      <c r="AH224" s="264"/>
      <c r="AI224" s="264"/>
      <c r="AJ224" s="264"/>
      <c r="AK224" s="264"/>
      <c r="AL224" s="264"/>
      <c r="AM224" s="264"/>
      <c r="AN224" s="264"/>
      <c r="AO224" s="264"/>
      <c r="AP224" s="264"/>
      <c r="AQ224" s="264"/>
      <c r="AR224" s="264"/>
      <c r="AS224" s="264"/>
      <c r="AT224" s="264"/>
      <c r="AU224" s="264"/>
      <c r="AV224" s="264"/>
      <c r="AW224" s="264"/>
      <c r="AX224" s="264"/>
      <c r="AY224" s="264"/>
      <c r="AZ224" s="264"/>
      <c r="BA224" s="264"/>
      <c r="BB224" s="264"/>
      <c r="BC224" s="264"/>
      <c r="BD224" s="264"/>
      <c r="BE224" s="264"/>
      <c r="BF224" s="264"/>
      <c r="BG224" s="264"/>
      <c r="BH224" s="264"/>
      <c r="BI224" s="264"/>
      <c r="BJ224" s="264"/>
      <c r="BK224" s="264"/>
      <c r="BL224" s="264"/>
      <c r="BM224" s="264"/>
      <c r="BN224" s="264"/>
      <c r="BO224" s="264"/>
      <c r="BP224" s="264"/>
      <c r="BQ224" s="264"/>
      <c r="BR224" s="264"/>
      <c r="BS224" s="264"/>
      <c r="BT224" s="264"/>
      <c r="BU224" s="264"/>
      <c r="BV224" s="264"/>
      <c r="BW224" s="264"/>
      <c r="BX224" s="264"/>
      <c r="BY224" s="264"/>
      <c r="BZ224" s="264"/>
      <c r="CA224" s="264"/>
      <c r="CB224" s="264"/>
      <c r="CC224" s="264"/>
      <c r="CD224" s="264"/>
      <c r="CE224" s="264"/>
      <c r="CF224" s="264"/>
      <c r="CG224" s="264"/>
      <c r="CH224" s="264"/>
      <c r="CI224" s="264"/>
    </row>
    <row r="225" spans="1:87" customFormat="1">
      <c r="A225" s="270"/>
      <c r="B225" s="270"/>
      <c r="C225" s="270"/>
      <c r="D225" s="270"/>
      <c r="E225" s="270"/>
      <c r="F225" s="270"/>
      <c r="G225" s="270"/>
      <c r="H225" s="270"/>
      <c r="I225" s="270"/>
      <c r="J225" s="270"/>
      <c r="K225" s="270"/>
      <c r="L225" s="270"/>
      <c r="M225" s="270"/>
      <c r="N225" s="270"/>
      <c r="O225" s="270"/>
      <c r="P225" s="270"/>
      <c r="Q225" s="270"/>
      <c r="R225" s="270"/>
      <c r="S225" s="270"/>
      <c r="T225" s="270"/>
      <c r="U225" s="270"/>
      <c r="V225" s="270"/>
      <c r="W225" s="260"/>
      <c r="X225" s="1041"/>
      <c r="Y225" s="270"/>
      <c r="Z225" s="270"/>
      <c r="AA225" s="270"/>
      <c r="AB225" s="270"/>
      <c r="AC225" s="270"/>
      <c r="AD225" s="270"/>
      <c r="AE225" s="260"/>
      <c r="AF225" s="264"/>
      <c r="AG225" s="264"/>
      <c r="AH225" s="264"/>
      <c r="AI225" s="264"/>
      <c r="AJ225" s="264"/>
      <c r="AK225" s="264"/>
      <c r="AL225" s="264"/>
      <c r="AM225" s="264"/>
      <c r="AN225" s="264"/>
      <c r="AO225" s="264"/>
      <c r="AP225" s="264"/>
      <c r="AQ225" s="264"/>
      <c r="AR225" s="264"/>
      <c r="AS225" s="264"/>
      <c r="AT225" s="264"/>
      <c r="AU225" s="264"/>
      <c r="AV225" s="264"/>
      <c r="AW225" s="264"/>
      <c r="AX225" s="264"/>
      <c r="AY225" s="264"/>
      <c r="AZ225" s="264"/>
      <c r="BA225" s="264"/>
      <c r="BB225" s="264"/>
      <c r="BC225" s="264"/>
      <c r="BD225" s="264"/>
      <c r="BE225" s="264"/>
      <c r="BF225" s="264"/>
      <c r="BG225" s="264"/>
      <c r="BH225" s="264"/>
      <c r="BI225" s="264"/>
      <c r="BJ225" s="264"/>
      <c r="BK225" s="264"/>
      <c r="BL225" s="264"/>
      <c r="BM225" s="264"/>
      <c r="BN225" s="264"/>
      <c r="BO225" s="264"/>
      <c r="BP225" s="264"/>
      <c r="BQ225" s="264"/>
      <c r="BR225" s="264"/>
      <c r="BS225" s="264"/>
      <c r="BT225" s="264"/>
      <c r="BU225" s="264"/>
      <c r="BV225" s="264"/>
      <c r="BW225" s="264"/>
      <c r="BX225" s="264"/>
      <c r="BY225" s="264"/>
      <c r="BZ225" s="264"/>
      <c r="CA225" s="264"/>
      <c r="CB225" s="264"/>
      <c r="CC225" s="264"/>
      <c r="CD225" s="264"/>
      <c r="CE225" s="264"/>
      <c r="CF225" s="264"/>
      <c r="CG225" s="264"/>
      <c r="CH225" s="264"/>
      <c r="CI225" s="264"/>
    </row>
    <row r="226" spans="1:87" customFormat="1">
      <c r="A226" s="270"/>
      <c r="B226" s="270"/>
      <c r="C226" s="270"/>
      <c r="D226" s="270"/>
      <c r="E226" s="270"/>
      <c r="F226" s="270"/>
      <c r="G226" s="270"/>
      <c r="H226" s="270"/>
      <c r="I226" s="270"/>
      <c r="J226" s="270"/>
      <c r="K226" s="270"/>
      <c r="L226" s="270"/>
      <c r="M226" s="270"/>
      <c r="N226" s="270"/>
      <c r="O226" s="270"/>
      <c r="P226" s="270"/>
      <c r="Q226" s="270"/>
      <c r="R226" s="270"/>
      <c r="S226" s="270"/>
      <c r="T226" s="270"/>
      <c r="U226" s="270"/>
      <c r="V226" s="270"/>
      <c r="W226" s="260"/>
      <c r="X226" s="1041"/>
      <c r="Y226" s="270"/>
      <c r="Z226" s="270"/>
      <c r="AA226" s="270"/>
      <c r="AB226" s="270"/>
      <c r="AC226" s="270"/>
      <c r="AD226" s="270"/>
      <c r="AE226" s="260"/>
      <c r="AF226" s="264"/>
      <c r="AG226" s="264"/>
      <c r="AH226" s="264"/>
      <c r="AI226" s="264"/>
      <c r="AJ226" s="264"/>
      <c r="AK226" s="264"/>
      <c r="AL226" s="264"/>
      <c r="AM226" s="264"/>
      <c r="AN226" s="264"/>
      <c r="AO226" s="264"/>
      <c r="AP226" s="264"/>
      <c r="AQ226" s="264"/>
      <c r="AR226" s="264"/>
      <c r="AS226" s="264"/>
      <c r="AT226" s="264"/>
      <c r="AU226" s="264"/>
      <c r="AV226" s="264"/>
      <c r="AW226" s="264"/>
      <c r="AX226" s="264"/>
      <c r="AY226" s="264"/>
      <c r="AZ226" s="264"/>
      <c r="BA226" s="264"/>
      <c r="BB226" s="264"/>
      <c r="BC226" s="264"/>
      <c r="BD226" s="264"/>
      <c r="BE226" s="264"/>
      <c r="BF226" s="264"/>
      <c r="BG226" s="264"/>
      <c r="BH226" s="264"/>
      <c r="BI226" s="264"/>
      <c r="BJ226" s="264"/>
      <c r="BK226" s="264"/>
      <c r="BL226" s="264"/>
      <c r="BM226" s="264"/>
      <c r="BN226" s="264"/>
      <c r="BO226" s="264"/>
      <c r="BP226" s="264"/>
      <c r="BQ226" s="264"/>
      <c r="BR226" s="264"/>
      <c r="BS226" s="264"/>
      <c r="BT226" s="264"/>
      <c r="BU226" s="264"/>
      <c r="BV226" s="264"/>
      <c r="BW226" s="264"/>
      <c r="BX226" s="264"/>
      <c r="BY226" s="264"/>
      <c r="BZ226" s="264"/>
      <c r="CA226" s="264"/>
      <c r="CB226" s="264"/>
      <c r="CC226" s="264"/>
      <c r="CD226" s="264"/>
      <c r="CE226" s="264"/>
      <c r="CF226" s="264"/>
      <c r="CG226" s="264"/>
      <c r="CH226" s="264"/>
      <c r="CI226" s="264"/>
    </row>
    <row r="227" spans="1:87" customFormat="1">
      <c r="A227" s="270"/>
      <c r="B227" s="270"/>
      <c r="C227" s="270"/>
      <c r="D227" s="270"/>
      <c r="E227" s="270"/>
      <c r="F227" s="270"/>
      <c r="G227" s="270"/>
      <c r="H227" s="270"/>
      <c r="I227" s="270"/>
      <c r="J227" s="270"/>
      <c r="K227" s="270"/>
      <c r="L227" s="270"/>
      <c r="M227" s="270"/>
      <c r="N227" s="270"/>
      <c r="O227" s="270"/>
      <c r="P227" s="270"/>
      <c r="Q227" s="270"/>
      <c r="R227" s="270"/>
      <c r="S227" s="270"/>
      <c r="T227" s="270"/>
      <c r="U227" s="270"/>
      <c r="V227" s="270"/>
      <c r="W227" s="260"/>
      <c r="X227" s="1041"/>
      <c r="Y227" s="270"/>
      <c r="Z227" s="270"/>
      <c r="AA227" s="270"/>
      <c r="AB227" s="270"/>
      <c r="AC227" s="270"/>
      <c r="AD227" s="270"/>
      <c r="AE227" s="260"/>
      <c r="AF227" s="264"/>
      <c r="AG227" s="264"/>
      <c r="AH227" s="264"/>
      <c r="AI227" s="264"/>
      <c r="AJ227" s="264"/>
      <c r="AK227" s="264"/>
      <c r="AL227" s="264"/>
      <c r="AM227" s="264"/>
      <c r="AN227" s="264"/>
      <c r="AO227" s="264"/>
      <c r="AP227" s="264"/>
      <c r="AQ227" s="264"/>
      <c r="AR227" s="264"/>
      <c r="AS227" s="264"/>
      <c r="AT227" s="264"/>
      <c r="AU227" s="264"/>
      <c r="AV227" s="264"/>
      <c r="AW227" s="264"/>
      <c r="AX227" s="264"/>
      <c r="AY227" s="264"/>
      <c r="AZ227" s="264"/>
      <c r="BA227" s="264"/>
      <c r="BB227" s="264"/>
      <c r="BC227" s="264"/>
      <c r="BD227" s="264"/>
      <c r="BE227" s="264"/>
      <c r="BF227" s="264"/>
      <c r="BG227" s="264"/>
      <c r="BH227" s="264"/>
      <c r="BI227" s="264"/>
      <c r="BJ227" s="264"/>
      <c r="BK227" s="264"/>
      <c r="BL227" s="264"/>
      <c r="BM227" s="264"/>
      <c r="BN227" s="264"/>
      <c r="BO227" s="264"/>
      <c r="BP227" s="264"/>
      <c r="BQ227" s="264"/>
      <c r="BR227" s="264"/>
      <c r="BS227" s="264"/>
      <c r="BT227" s="264"/>
      <c r="BU227" s="264"/>
      <c r="BV227" s="264"/>
      <c r="BW227" s="264"/>
      <c r="BX227" s="264"/>
      <c r="BY227" s="264"/>
      <c r="BZ227" s="264"/>
      <c r="CA227" s="264"/>
      <c r="CB227" s="264"/>
      <c r="CC227" s="264"/>
      <c r="CD227" s="264"/>
      <c r="CE227" s="264"/>
      <c r="CF227" s="264"/>
      <c r="CG227" s="264"/>
      <c r="CH227" s="264"/>
      <c r="CI227" s="264"/>
    </row>
    <row r="228" spans="1:87" customFormat="1">
      <c r="A228" s="270"/>
      <c r="B228" s="270"/>
      <c r="C228" s="270"/>
      <c r="D228" s="270"/>
      <c r="E228" s="270"/>
      <c r="F228" s="270"/>
      <c r="G228" s="270"/>
      <c r="H228" s="270"/>
      <c r="I228" s="270"/>
      <c r="J228" s="270"/>
      <c r="K228" s="270"/>
      <c r="L228" s="270"/>
      <c r="M228" s="270"/>
      <c r="N228" s="270"/>
      <c r="O228" s="270"/>
      <c r="P228" s="270"/>
      <c r="Q228" s="270"/>
      <c r="R228" s="270"/>
      <c r="S228" s="270"/>
      <c r="T228" s="270"/>
      <c r="U228" s="270"/>
      <c r="V228" s="270"/>
      <c r="W228" s="260"/>
      <c r="X228" s="1041"/>
      <c r="Y228" s="270"/>
      <c r="Z228" s="270"/>
      <c r="AA228" s="270"/>
      <c r="AB228" s="270"/>
      <c r="AC228" s="270"/>
      <c r="AD228" s="270"/>
      <c r="AE228" s="260"/>
      <c r="AF228" s="264"/>
      <c r="AG228" s="264"/>
      <c r="AH228" s="264"/>
      <c r="AI228" s="264"/>
      <c r="AJ228" s="264"/>
      <c r="AK228" s="264"/>
      <c r="AL228" s="264"/>
      <c r="AM228" s="264"/>
      <c r="AN228" s="264"/>
      <c r="AO228" s="264"/>
      <c r="AP228" s="264"/>
      <c r="AQ228" s="264"/>
      <c r="AR228" s="264"/>
      <c r="AS228" s="264"/>
      <c r="AT228" s="264"/>
      <c r="AU228" s="264"/>
      <c r="AV228" s="264"/>
      <c r="AW228" s="264"/>
      <c r="AX228" s="264"/>
      <c r="AY228" s="264"/>
      <c r="AZ228" s="264"/>
      <c r="BA228" s="264"/>
      <c r="BB228" s="264"/>
      <c r="BC228" s="264"/>
      <c r="BD228" s="264"/>
      <c r="BE228" s="264"/>
      <c r="BF228" s="264"/>
      <c r="BG228" s="264"/>
      <c r="BH228" s="264"/>
      <c r="BI228" s="264"/>
      <c r="BJ228" s="264"/>
      <c r="BK228" s="264"/>
      <c r="BL228" s="264"/>
      <c r="BM228" s="264"/>
      <c r="BN228" s="264"/>
      <c r="BO228" s="264"/>
      <c r="BP228" s="264"/>
      <c r="BQ228" s="264"/>
      <c r="BR228" s="264"/>
      <c r="BS228" s="264"/>
      <c r="BT228" s="264"/>
      <c r="BU228" s="264"/>
      <c r="BV228" s="264"/>
      <c r="BW228" s="264"/>
      <c r="BX228" s="264"/>
      <c r="BY228" s="264"/>
      <c r="BZ228" s="264"/>
      <c r="CA228" s="264"/>
      <c r="CB228" s="264"/>
      <c r="CC228" s="264"/>
      <c r="CD228" s="264"/>
      <c r="CE228" s="264"/>
      <c r="CF228" s="264"/>
      <c r="CG228" s="264"/>
      <c r="CH228" s="264"/>
      <c r="CI228" s="264"/>
    </row>
    <row r="229" spans="1:87" customFormat="1">
      <c r="A229" s="270"/>
      <c r="B229" s="270"/>
      <c r="C229" s="270"/>
      <c r="D229" s="270"/>
      <c r="E229" s="270"/>
      <c r="F229" s="270"/>
      <c r="G229" s="270"/>
      <c r="H229" s="270"/>
      <c r="I229" s="270"/>
      <c r="J229" s="270"/>
      <c r="K229" s="270"/>
      <c r="L229" s="270"/>
      <c r="M229" s="270"/>
      <c r="N229" s="270"/>
      <c r="O229" s="270"/>
      <c r="P229" s="270"/>
      <c r="Q229" s="270"/>
      <c r="R229" s="270"/>
      <c r="S229" s="270"/>
      <c r="T229" s="270"/>
      <c r="U229" s="270"/>
      <c r="V229" s="270"/>
      <c r="W229" s="260"/>
      <c r="X229" s="1041"/>
      <c r="Y229" s="270"/>
      <c r="Z229" s="270"/>
      <c r="AA229" s="270"/>
      <c r="AB229" s="270"/>
      <c r="AC229" s="270"/>
      <c r="AD229" s="270"/>
      <c r="AE229" s="260"/>
      <c r="AF229" s="264"/>
      <c r="AG229" s="264"/>
      <c r="AH229" s="264"/>
      <c r="AI229" s="264"/>
      <c r="AJ229" s="264"/>
      <c r="AK229" s="264"/>
      <c r="AL229" s="264"/>
      <c r="AM229" s="264"/>
      <c r="AN229" s="264"/>
      <c r="AO229" s="264"/>
      <c r="AP229" s="264"/>
      <c r="AQ229" s="264"/>
      <c r="AR229" s="264"/>
      <c r="AS229" s="264"/>
      <c r="AT229" s="264"/>
      <c r="AU229" s="264"/>
      <c r="AV229" s="264"/>
      <c r="AW229" s="264"/>
      <c r="AX229" s="264"/>
      <c r="AY229" s="264"/>
      <c r="AZ229" s="264"/>
      <c r="BA229" s="264"/>
      <c r="BB229" s="264"/>
      <c r="BC229" s="264"/>
      <c r="BD229" s="264"/>
      <c r="BE229" s="264"/>
      <c r="BF229" s="264"/>
      <c r="BG229" s="264"/>
      <c r="BH229" s="264"/>
      <c r="BI229" s="264"/>
      <c r="BJ229" s="264"/>
      <c r="BK229" s="264"/>
      <c r="BL229" s="264"/>
      <c r="BM229" s="264"/>
      <c r="BN229" s="264"/>
      <c r="BO229" s="264"/>
      <c r="BP229" s="264"/>
      <c r="BQ229" s="264"/>
      <c r="BR229" s="264"/>
      <c r="BS229" s="264"/>
      <c r="BT229" s="264"/>
      <c r="BU229" s="264"/>
      <c r="BV229" s="264"/>
      <c r="BW229" s="264"/>
      <c r="BX229" s="264"/>
      <c r="BY229" s="264"/>
      <c r="BZ229" s="264"/>
      <c r="CA229" s="264"/>
      <c r="CB229" s="264"/>
      <c r="CC229" s="264"/>
      <c r="CD229" s="264"/>
      <c r="CE229" s="264"/>
      <c r="CF229" s="264"/>
      <c r="CG229" s="264"/>
      <c r="CH229" s="264"/>
      <c r="CI229" s="264"/>
    </row>
    <row r="230" spans="1:87" customFormat="1">
      <c r="A230" s="270"/>
      <c r="B230" s="270"/>
      <c r="C230" s="270"/>
      <c r="D230" s="270"/>
      <c r="E230" s="270"/>
      <c r="F230" s="270"/>
      <c r="G230" s="270"/>
      <c r="H230" s="270"/>
      <c r="I230" s="270"/>
      <c r="J230" s="270"/>
      <c r="K230" s="270"/>
      <c r="L230" s="270"/>
      <c r="M230" s="270"/>
      <c r="N230" s="270"/>
      <c r="O230" s="270"/>
      <c r="P230" s="270"/>
      <c r="Q230" s="270"/>
      <c r="R230" s="270"/>
      <c r="S230" s="270"/>
      <c r="T230" s="270"/>
      <c r="U230" s="270"/>
      <c r="V230" s="270"/>
      <c r="W230" s="260"/>
      <c r="X230" s="1041"/>
      <c r="Y230" s="270"/>
      <c r="Z230" s="270"/>
      <c r="AA230" s="270"/>
      <c r="AB230" s="270"/>
      <c r="AC230" s="270"/>
      <c r="AD230" s="270"/>
      <c r="AE230" s="260"/>
      <c r="AF230" s="264"/>
      <c r="AG230" s="264"/>
      <c r="AH230" s="264"/>
      <c r="AI230" s="264"/>
      <c r="AJ230" s="264"/>
      <c r="AK230" s="264"/>
      <c r="AL230" s="264"/>
      <c r="AM230" s="264"/>
      <c r="AN230" s="264"/>
      <c r="AO230" s="264"/>
      <c r="AP230" s="264"/>
      <c r="AQ230" s="264"/>
      <c r="AR230" s="264"/>
      <c r="AS230" s="264"/>
      <c r="AT230" s="264"/>
      <c r="AU230" s="264"/>
      <c r="AV230" s="264"/>
      <c r="AW230" s="264"/>
      <c r="AX230" s="264"/>
      <c r="AY230" s="264"/>
      <c r="AZ230" s="264"/>
      <c r="BA230" s="264"/>
      <c r="BB230" s="264"/>
      <c r="BC230" s="264"/>
      <c r="BD230" s="264"/>
      <c r="BE230" s="264"/>
      <c r="BF230" s="264"/>
      <c r="BG230" s="264"/>
      <c r="BH230" s="264"/>
      <c r="BI230" s="264"/>
      <c r="BJ230" s="264"/>
      <c r="BK230" s="264"/>
      <c r="BL230" s="264"/>
      <c r="BM230" s="264"/>
      <c r="BN230" s="264"/>
      <c r="BO230" s="264"/>
      <c r="BP230" s="264"/>
      <c r="BQ230" s="264"/>
      <c r="BR230" s="264"/>
      <c r="BS230" s="264"/>
      <c r="BT230" s="264"/>
      <c r="BU230" s="264"/>
      <c r="BV230" s="264"/>
      <c r="BW230" s="264"/>
      <c r="BX230" s="264"/>
      <c r="BY230" s="264"/>
      <c r="BZ230" s="264"/>
      <c r="CA230" s="264"/>
      <c r="CB230" s="264"/>
      <c r="CC230" s="264"/>
      <c r="CD230" s="264"/>
      <c r="CE230" s="264"/>
      <c r="CF230" s="264"/>
      <c r="CG230" s="264"/>
      <c r="CH230" s="264"/>
      <c r="CI230" s="264"/>
    </row>
    <row r="231" spans="1:87" customFormat="1">
      <c r="A231" s="189"/>
      <c r="B231" s="189"/>
      <c r="C231" s="189"/>
      <c r="D231" s="189"/>
      <c r="E231" s="189"/>
      <c r="F231" s="909"/>
      <c r="G231" s="189"/>
      <c r="H231" s="189"/>
      <c r="I231" s="189"/>
      <c r="J231" s="189"/>
      <c r="K231" s="189"/>
      <c r="L231" s="189"/>
      <c r="M231" s="189"/>
      <c r="N231" s="189"/>
      <c r="O231" s="189"/>
      <c r="P231" s="189"/>
      <c r="Q231" s="189"/>
      <c r="R231" s="189"/>
      <c r="S231" s="189"/>
      <c r="T231" s="189"/>
      <c r="U231" s="909"/>
      <c r="V231" s="909"/>
      <c r="W231" s="190"/>
      <c r="X231" s="1045"/>
      <c r="Y231" s="189"/>
      <c r="Z231" s="189"/>
      <c r="AA231" s="189"/>
      <c r="AB231" s="189"/>
      <c r="AC231" s="189"/>
      <c r="AD231" s="189"/>
      <c r="AE231" s="190"/>
    </row>
    <row r="232" spans="1:87" customFormat="1">
      <c r="A232" s="189"/>
      <c r="B232" s="189"/>
      <c r="C232" s="189"/>
      <c r="D232" s="189"/>
      <c r="E232" s="189"/>
      <c r="F232" s="909"/>
      <c r="G232" s="189"/>
      <c r="H232" s="189"/>
      <c r="I232" s="189"/>
      <c r="J232" s="189"/>
      <c r="K232" s="189"/>
      <c r="L232" s="189"/>
      <c r="M232" s="189"/>
      <c r="N232" s="189"/>
      <c r="O232" s="189"/>
      <c r="P232" s="189"/>
      <c r="Q232" s="189"/>
      <c r="R232" s="189"/>
      <c r="S232" s="189"/>
      <c r="T232" s="189"/>
      <c r="U232" s="909"/>
      <c r="V232" s="909"/>
      <c r="W232" s="190"/>
      <c r="X232" s="1045"/>
      <c r="Y232" s="189"/>
      <c r="Z232" s="189"/>
      <c r="AA232" s="189"/>
      <c r="AB232" s="189"/>
      <c r="AC232" s="189"/>
      <c r="AD232" s="189"/>
      <c r="AE232" s="190"/>
    </row>
    <row r="233" spans="1:87" customFormat="1">
      <c r="A233" s="189"/>
      <c r="B233" s="189"/>
      <c r="C233" s="189"/>
      <c r="D233" s="189"/>
      <c r="E233" s="189"/>
      <c r="F233" s="909"/>
      <c r="G233" s="189"/>
      <c r="H233" s="189"/>
      <c r="I233" s="189"/>
      <c r="J233" s="189"/>
      <c r="K233" s="189"/>
      <c r="L233" s="189"/>
      <c r="M233" s="189"/>
      <c r="N233" s="189"/>
      <c r="O233" s="189"/>
      <c r="P233" s="189"/>
      <c r="Q233" s="189"/>
      <c r="R233" s="189"/>
      <c r="S233" s="189"/>
      <c r="T233" s="189"/>
      <c r="U233" s="909"/>
      <c r="V233" s="909"/>
      <c r="W233" s="190"/>
      <c r="X233" s="1045"/>
      <c r="Y233" s="189"/>
      <c r="Z233" s="189"/>
      <c r="AA233" s="189"/>
      <c r="AB233" s="189"/>
      <c r="AC233" s="189"/>
      <c r="AD233" s="189"/>
      <c r="AE233" s="190"/>
    </row>
    <row r="234" spans="1:87" customFormat="1">
      <c r="A234" s="189"/>
      <c r="B234" s="189"/>
      <c r="C234" s="189"/>
      <c r="D234" s="189"/>
      <c r="E234" s="189"/>
      <c r="F234" s="909"/>
      <c r="G234" s="189"/>
      <c r="H234" s="189"/>
      <c r="I234" s="189"/>
      <c r="J234" s="189"/>
      <c r="K234" s="189"/>
      <c r="L234" s="189"/>
      <c r="M234" s="189"/>
      <c r="N234" s="189"/>
      <c r="O234" s="189"/>
      <c r="P234" s="189"/>
      <c r="Q234" s="189"/>
      <c r="R234" s="189"/>
      <c r="S234" s="189"/>
      <c r="T234" s="189"/>
      <c r="U234" s="909"/>
      <c r="V234" s="909"/>
      <c r="W234" s="190"/>
      <c r="X234" s="1045"/>
      <c r="Y234" s="189"/>
      <c r="Z234" s="189"/>
      <c r="AA234" s="189"/>
      <c r="AB234" s="189"/>
      <c r="AC234" s="189"/>
      <c r="AD234" s="189"/>
      <c r="AE234" s="190"/>
    </row>
    <row r="235" spans="1:87" customFormat="1">
      <c r="A235" s="189"/>
      <c r="B235" s="189"/>
      <c r="C235" s="189"/>
      <c r="D235" s="189"/>
      <c r="E235" s="189"/>
      <c r="F235" s="909"/>
      <c r="G235" s="189"/>
      <c r="H235" s="189"/>
      <c r="I235" s="189"/>
      <c r="J235" s="189"/>
      <c r="K235" s="189"/>
      <c r="L235" s="189"/>
      <c r="M235" s="189"/>
      <c r="N235" s="189"/>
      <c r="O235" s="189"/>
      <c r="P235" s="189"/>
      <c r="Q235" s="189"/>
      <c r="R235" s="189"/>
      <c r="S235" s="189"/>
      <c r="T235" s="189"/>
      <c r="U235" s="909"/>
      <c r="V235" s="909"/>
      <c r="W235" s="190"/>
      <c r="X235" s="1045"/>
      <c r="Y235" s="189"/>
      <c r="Z235" s="189"/>
      <c r="AA235" s="189"/>
      <c r="AB235" s="189"/>
      <c r="AC235" s="189"/>
      <c r="AD235" s="189"/>
      <c r="AE235" s="190"/>
    </row>
    <row r="236" spans="1:87" customFormat="1">
      <c r="A236" s="189"/>
      <c r="B236" s="189"/>
      <c r="C236" s="189"/>
      <c r="D236" s="189"/>
      <c r="E236" s="189"/>
      <c r="F236" s="909"/>
      <c r="G236" s="189"/>
      <c r="H236" s="189"/>
      <c r="I236" s="189"/>
      <c r="J236" s="189"/>
      <c r="K236" s="189"/>
      <c r="L236" s="189"/>
      <c r="M236" s="189"/>
      <c r="N236" s="189"/>
      <c r="O236" s="189"/>
      <c r="P236" s="189"/>
      <c r="Q236" s="189"/>
      <c r="R236" s="189"/>
      <c r="S236" s="189"/>
      <c r="T236" s="189"/>
      <c r="U236" s="909"/>
      <c r="V236" s="909"/>
      <c r="W236" s="190"/>
      <c r="X236" s="1045"/>
      <c r="Y236" s="189"/>
      <c r="Z236" s="189"/>
      <c r="AA236" s="189"/>
      <c r="AB236" s="189"/>
      <c r="AC236" s="189"/>
      <c r="AD236" s="189"/>
      <c r="AE236" s="190"/>
    </row>
    <row r="237" spans="1:87" customFormat="1">
      <c r="A237" s="189"/>
      <c r="B237" s="189"/>
      <c r="C237" s="189"/>
      <c r="D237" s="189"/>
      <c r="E237" s="189"/>
      <c r="F237" s="909"/>
      <c r="G237" s="189"/>
      <c r="H237" s="189"/>
      <c r="I237" s="189"/>
      <c r="J237" s="189"/>
      <c r="K237" s="189"/>
      <c r="L237" s="189"/>
      <c r="M237" s="189"/>
      <c r="N237" s="189"/>
      <c r="O237" s="189"/>
      <c r="P237" s="189"/>
      <c r="Q237" s="189"/>
      <c r="R237" s="189"/>
      <c r="S237" s="189"/>
      <c r="T237" s="189"/>
      <c r="U237" s="909"/>
      <c r="V237" s="909"/>
      <c r="W237" s="190"/>
      <c r="X237" s="1045"/>
      <c r="Y237" s="189"/>
      <c r="Z237" s="189"/>
      <c r="AA237" s="189"/>
      <c r="AB237" s="189"/>
      <c r="AC237" s="189"/>
      <c r="AD237" s="189"/>
      <c r="AE237" s="190"/>
    </row>
    <row r="238" spans="1:87" customFormat="1">
      <c r="A238" s="189"/>
      <c r="B238" s="189"/>
      <c r="C238" s="189"/>
      <c r="D238" s="189"/>
      <c r="E238" s="189"/>
      <c r="F238" s="909"/>
      <c r="G238" s="189"/>
      <c r="H238" s="189"/>
      <c r="I238" s="189"/>
      <c r="J238" s="189"/>
      <c r="K238" s="189"/>
      <c r="L238" s="189"/>
      <c r="M238" s="189"/>
      <c r="N238" s="189"/>
      <c r="O238" s="189"/>
      <c r="P238" s="189"/>
      <c r="Q238" s="189"/>
      <c r="R238" s="189"/>
      <c r="S238" s="189"/>
      <c r="T238" s="189"/>
      <c r="U238" s="909"/>
      <c r="V238" s="909"/>
      <c r="W238" s="190"/>
      <c r="X238" s="1045"/>
      <c r="Y238" s="189"/>
      <c r="Z238" s="189"/>
      <c r="AA238" s="189"/>
      <c r="AB238" s="189"/>
      <c r="AC238" s="189"/>
      <c r="AD238" s="189"/>
      <c r="AE238" s="190"/>
    </row>
    <row r="239" spans="1:87" customFormat="1">
      <c r="A239" s="189"/>
      <c r="B239" s="189"/>
      <c r="C239" s="189"/>
      <c r="D239" s="189"/>
      <c r="E239" s="189"/>
      <c r="F239" s="909"/>
      <c r="G239" s="189"/>
      <c r="H239" s="189"/>
      <c r="I239" s="189"/>
      <c r="J239" s="189"/>
      <c r="K239" s="189"/>
      <c r="L239" s="189"/>
      <c r="M239" s="189"/>
      <c r="N239" s="189"/>
      <c r="O239" s="189"/>
      <c r="P239" s="189"/>
      <c r="Q239" s="189"/>
      <c r="R239" s="189"/>
      <c r="S239" s="189"/>
      <c r="T239" s="189"/>
      <c r="U239" s="909"/>
      <c r="V239" s="909"/>
      <c r="W239" s="190"/>
      <c r="X239" s="1045"/>
      <c r="Y239" s="189"/>
      <c r="Z239" s="189"/>
      <c r="AA239" s="189"/>
      <c r="AB239" s="189"/>
      <c r="AC239" s="189"/>
      <c r="AD239" s="189"/>
      <c r="AE239" s="190"/>
    </row>
    <row r="240" spans="1:87" customFormat="1">
      <c r="A240" s="189"/>
      <c r="B240" s="189"/>
      <c r="C240" s="189"/>
      <c r="D240" s="189"/>
      <c r="E240" s="189"/>
      <c r="F240" s="909"/>
      <c r="G240" s="189"/>
      <c r="H240" s="189"/>
      <c r="I240" s="189"/>
      <c r="J240" s="189"/>
      <c r="K240" s="189"/>
      <c r="L240" s="189"/>
      <c r="M240" s="189"/>
      <c r="N240" s="189"/>
      <c r="O240" s="189"/>
      <c r="P240" s="189"/>
      <c r="Q240" s="189"/>
      <c r="R240" s="189"/>
      <c r="S240" s="189"/>
      <c r="T240" s="189"/>
      <c r="U240" s="909"/>
      <c r="V240" s="909"/>
      <c r="W240" s="190"/>
      <c r="X240" s="1045"/>
      <c r="Y240" s="189"/>
      <c r="Z240" s="189"/>
      <c r="AA240" s="189"/>
      <c r="AB240" s="189"/>
      <c r="AC240" s="189"/>
      <c r="AD240" s="189"/>
      <c r="AE240" s="190"/>
    </row>
    <row r="241" spans="1:31" customFormat="1">
      <c r="A241" s="189"/>
      <c r="B241" s="189"/>
      <c r="C241" s="189"/>
      <c r="D241" s="189"/>
      <c r="E241" s="189"/>
      <c r="F241" s="909"/>
      <c r="G241" s="189"/>
      <c r="H241" s="189"/>
      <c r="I241" s="189"/>
      <c r="J241" s="189"/>
      <c r="K241" s="189"/>
      <c r="L241" s="189"/>
      <c r="M241" s="189"/>
      <c r="N241" s="189"/>
      <c r="O241" s="189"/>
      <c r="P241" s="189"/>
      <c r="Q241" s="189"/>
      <c r="R241" s="189"/>
      <c r="S241" s="189"/>
      <c r="T241" s="189"/>
      <c r="U241" s="909"/>
      <c r="V241" s="909"/>
      <c r="W241" s="190"/>
      <c r="X241" s="1045"/>
      <c r="Y241" s="189"/>
      <c r="Z241" s="189"/>
      <c r="AA241" s="189"/>
      <c r="AB241" s="189"/>
      <c r="AC241" s="189"/>
      <c r="AD241" s="189"/>
      <c r="AE241" s="190"/>
    </row>
    <row r="242" spans="1:31" customFormat="1">
      <c r="A242" s="189"/>
      <c r="B242" s="189"/>
      <c r="C242" s="189"/>
      <c r="D242" s="189"/>
      <c r="E242" s="189"/>
      <c r="F242" s="909"/>
      <c r="G242" s="189"/>
      <c r="H242" s="189"/>
      <c r="I242" s="189"/>
      <c r="J242" s="189"/>
      <c r="K242" s="189"/>
      <c r="L242" s="189"/>
      <c r="M242" s="189"/>
      <c r="N242" s="189"/>
      <c r="O242" s="189"/>
      <c r="P242" s="189"/>
      <c r="Q242" s="189"/>
      <c r="R242" s="189"/>
      <c r="S242" s="189"/>
      <c r="T242" s="189"/>
      <c r="U242" s="909"/>
      <c r="V242" s="909"/>
      <c r="W242" s="190"/>
      <c r="X242" s="1045"/>
      <c r="Y242" s="189"/>
      <c r="Z242" s="189"/>
      <c r="AA242" s="189"/>
      <c r="AB242" s="189"/>
      <c r="AC242" s="189"/>
      <c r="AD242" s="189"/>
      <c r="AE242" s="190"/>
    </row>
    <row r="243" spans="1:31" customFormat="1">
      <c r="A243" s="189"/>
      <c r="B243" s="189"/>
      <c r="C243" s="189"/>
      <c r="D243" s="189"/>
      <c r="E243" s="189"/>
      <c r="F243" s="909"/>
      <c r="G243" s="189"/>
      <c r="H243" s="189"/>
      <c r="I243" s="189"/>
      <c r="J243" s="189"/>
      <c r="K243" s="189"/>
      <c r="L243" s="189"/>
      <c r="M243" s="189"/>
      <c r="N243" s="189"/>
      <c r="O243" s="189"/>
      <c r="P243" s="189"/>
      <c r="Q243" s="189"/>
      <c r="R243" s="189"/>
      <c r="S243" s="189"/>
      <c r="T243" s="189"/>
      <c r="U243" s="909"/>
      <c r="V243" s="909"/>
      <c r="W243" s="190"/>
      <c r="X243" s="1045"/>
      <c r="Y243" s="189"/>
      <c r="Z243" s="189"/>
      <c r="AA243" s="189"/>
      <c r="AB243" s="189"/>
      <c r="AC243" s="189"/>
      <c r="AD243" s="189"/>
      <c r="AE243" s="190"/>
    </row>
    <row r="244" spans="1:31" customFormat="1">
      <c r="A244" s="189"/>
      <c r="B244" s="189"/>
      <c r="C244" s="189"/>
      <c r="D244" s="189"/>
      <c r="E244" s="189"/>
      <c r="F244" s="909"/>
      <c r="G244" s="189"/>
      <c r="H244" s="189"/>
      <c r="I244" s="189"/>
      <c r="J244" s="189"/>
      <c r="K244" s="189"/>
      <c r="L244" s="189"/>
      <c r="M244" s="189"/>
      <c r="N244" s="189"/>
      <c r="O244" s="189"/>
      <c r="P244" s="189"/>
      <c r="Q244" s="189"/>
      <c r="R244" s="189"/>
      <c r="S244" s="189"/>
      <c r="T244" s="189"/>
      <c r="U244" s="909"/>
      <c r="V244" s="909"/>
      <c r="W244" s="190"/>
      <c r="X244" s="1045"/>
      <c r="Y244" s="189"/>
      <c r="Z244" s="189"/>
      <c r="AA244" s="189"/>
      <c r="AB244" s="189"/>
      <c r="AC244" s="189"/>
      <c r="AD244" s="189"/>
      <c r="AE244" s="190"/>
    </row>
    <row r="245" spans="1:31" customFormat="1">
      <c r="A245" s="189"/>
      <c r="B245" s="189"/>
      <c r="C245" s="189"/>
      <c r="D245" s="189"/>
      <c r="E245" s="189"/>
      <c r="F245" s="909"/>
      <c r="G245" s="189"/>
      <c r="H245" s="189"/>
      <c r="I245" s="189"/>
      <c r="J245" s="189"/>
      <c r="K245" s="189"/>
      <c r="L245" s="189"/>
      <c r="M245" s="189"/>
      <c r="N245" s="189"/>
      <c r="O245" s="189"/>
      <c r="P245" s="189"/>
      <c r="Q245" s="189"/>
      <c r="R245" s="189"/>
      <c r="S245" s="189"/>
      <c r="T245" s="189"/>
      <c r="U245" s="909"/>
      <c r="V245" s="909"/>
      <c r="W245" s="190"/>
      <c r="X245" s="1045"/>
      <c r="Y245" s="189"/>
      <c r="Z245" s="189"/>
      <c r="AA245" s="189"/>
      <c r="AB245" s="189"/>
      <c r="AC245" s="189"/>
      <c r="AD245" s="189"/>
      <c r="AE245" s="190"/>
    </row>
    <row r="246" spans="1:31" customFormat="1">
      <c r="A246" s="189"/>
      <c r="B246" s="189"/>
      <c r="C246" s="189"/>
      <c r="D246" s="189"/>
      <c r="E246" s="189"/>
      <c r="F246" s="909"/>
      <c r="G246" s="189"/>
      <c r="H246" s="189"/>
      <c r="I246" s="189"/>
      <c r="J246" s="189"/>
      <c r="K246" s="189"/>
      <c r="L246" s="189"/>
      <c r="M246" s="189"/>
      <c r="N246" s="189"/>
      <c r="O246" s="189"/>
      <c r="P246" s="189"/>
      <c r="Q246" s="189"/>
      <c r="R246" s="189"/>
      <c r="S246" s="189"/>
      <c r="T246" s="189"/>
      <c r="U246" s="909"/>
      <c r="V246" s="909"/>
      <c r="W246" s="190"/>
      <c r="X246" s="1045"/>
      <c r="Y246" s="189"/>
      <c r="Z246" s="189"/>
      <c r="AA246" s="189"/>
      <c r="AB246" s="189"/>
      <c r="AC246" s="189"/>
      <c r="AD246" s="189"/>
      <c r="AE246" s="190"/>
    </row>
    <row r="247" spans="1:31" customFormat="1">
      <c r="A247" s="189"/>
      <c r="B247" s="189"/>
      <c r="C247" s="189"/>
      <c r="D247" s="189"/>
      <c r="E247" s="189"/>
      <c r="F247" s="909"/>
      <c r="G247" s="189"/>
      <c r="H247" s="189"/>
      <c r="I247" s="189"/>
      <c r="J247" s="189"/>
      <c r="K247" s="189"/>
      <c r="L247" s="189"/>
      <c r="M247" s="189"/>
      <c r="N247" s="189"/>
      <c r="O247" s="189"/>
      <c r="P247" s="189"/>
      <c r="Q247" s="189"/>
      <c r="R247" s="189"/>
      <c r="S247" s="189"/>
      <c r="T247" s="189"/>
      <c r="U247" s="909"/>
      <c r="V247" s="909"/>
      <c r="W247" s="190"/>
      <c r="X247" s="1045"/>
      <c r="Y247" s="189"/>
      <c r="Z247" s="189"/>
      <c r="AA247" s="189"/>
      <c r="AB247" s="189"/>
      <c r="AC247" s="189"/>
      <c r="AD247" s="189"/>
      <c r="AE247" s="190"/>
    </row>
    <row r="248" spans="1:31" customFormat="1">
      <c r="A248" s="189"/>
      <c r="B248" s="189"/>
      <c r="C248" s="189"/>
      <c r="D248" s="189"/>
      <c r="E248" s="189"/>
      <c r="F248" s="909"/>
      <c r="G248" s="189"/>
      <c r="H248" s="189"/>
      <c r="I248" s="189"/>
      <c r="J248" s="189"/>
      <c r="K248" s="189"/>
      <c r="L248" s="189"/>
      <c r="M248" s="189"/>
      <c r="N248" s="189"/>
      <c r="O248" s="189"/>
      <c r="P248" s="189"/>
      <c r="Q248" s="189"/>
      <c r="R248" s="189"/>
      <c r="S248" s="189"/>
      <c r="T248" s="189"/>
      <c r="U248" s="909"/>
      <c r="V248" s="909"/>
      <c r="W248" s="190"/>
      <c r="X248" s="1045"/>
      <c r="Y248" s="189"/>
      <c r="Z248" s="189"/>
      <c r="AA248" s="189"/>
      <c r="AB248" s="189"/>
      <c r="AC248" s="189"/>
      <c r="AD248" s="189"/>
      <c r="AE248" s="190"/>
    </row>
    <row r="249" spans="1:31" customFormat="1">
      <c r="A249" s="189"/>
      <c r="B249" s="189"/>
      <c r="C249" s="189"/>
      <c r="D249" s="189"/>
      <c r="E249" s="189"/>
      <c r="F249" s="909"/>
      <c r="G249" s="189"/>
      <c r="H249" s="189"/>
      <c r="I249" s="189"/>
      <c r="J249" s="189"/>
      <c r="K249" s="189"/>
      <c r="L249" s="189"/>
      <c r="M249" s="189"/>
      <c r="N249" s="189"/>
      <c r="O249" s="189"/>
      <c r="P249" s="189"/>
      <c r="Q249" s="189"/>
      <c r="R249" s="189"/>
      <c r="S249" s="189"/>
      <c r="T249" s="189"/>
      <c r="U249" s="909"/>
      <c r="V249" s="909"/>
      <c r="W249" s="190"/>
      <c r="X249" s="1045"/>
      <c r="Y249" s="189"/>
      <c r="Z249" s="189"/>
      <c r="AA249" s="189"/>
      <c r="AB249" s="189"/>
      <c r="AC249" s="189"/>
      <c r="AD249" s="189"/>
      <c r="AE249" s="190"/>
    </row>
    <row r="250" spans="1:31" customFormat="1">
      <c r="A250" s="189"/>
      <c r="B250" s="189"/>
      <c r="C250" s="189"/>
      <c r="D250" s="189"/>
      <c r="E250" s="189"/>
      <c r="F250" s="909"/>
      <c r="G250" s="189"/>
      <c r="H250" s="189"/>
      <c r="I250" s="189"/>
      <c r="J250" s="189"/>
      <c r="K250" s="189"/>
      <c r="L250" s="189"/>
      <c r="M250" s="189"/>
      <c r="N250" s="189"/>
      <c r="O250" s="189"/>
      <c r="P250" s="189"/>
      <c r="Q250" s="189"/>
      <c r="R250" s="189"/>
      <c r="S250" s="189"/>
      <c r="T250" s="189"/>
      <c r="U250" s="909"/>
      <c r="V250" s="909"/>
      <c r="W250" s="190"/>
      <c r="X250" s="1045"/>
      <c r="Y250" s="189"/>
      <c r="Z250" s="189"/>
      <c r="AA250" s="189"/>
      <c r="AB250" s="189"/>
      <c r="AC250" s="189"/>
      <c r="AD250" s="189"/>
      <c r="AE250" s="190"/>
    </row>
    <row r="251" spans="1:31" customFormat="1">
      <c r="A251" s="189"/>
      <c r="B251" s="189"/>
      <c r="C251" s="189"/>
      <c r="D251" s="189"/>
      <c r="E251" s="189"/>
      <c r="F251" s="909"/>
      <c r="G251" s="189"/>
      <c r="H251" s="189"/>
      <c r="I251" s="189"/>
      <c r="J251" s="189"/>
      <c r="K251" s="189"/>
      <c r="L251" s="189"/>
      <c r="M251" s="189"/>
      <c r="N251" s="189"/>
      <c r="O251" s="189"/>
      <c r="P251" s="189"/>
      <c r="Q251" s="189"/>
      <c r="R251" s="189"/>
      <c r="S251" s="189"/>
      <c r="T251" s="189"/>
      <c r="U251" s="909"/>
      <c r="V251" s="909"/>
      <c r="W251" s="190"/>
      <c r="X251" s="1045"/>
      <c r="Y251" s="189"/>
      <c r="Z251" s="189"/>
      <c r="AA251" s="189"/>
      <c r="AB251" s="189"/>
      <c r="AC251" s="189"/>
      <c r="AD251" s="189"/>
      <c r="AE251" s="190"/>
    </row>
    <row r="252" spans="1:31" customFormat="1">
      <c r="A252" s="189"/>
      <c r="B252" s="189"/>
      <c r="C252" s="189"/>
      <c r="D252" s="189"/>
      <c r="E252" s="189"/>
      <c r="F252" s="909"/>
      <c r="G252" s="189"/>
      <c r="H252" s="189"/>
      <c r="I252" s="189"/>
      <c r="J252" s="189"/>
      <c r="K252" s="189"/>
      <c r="L252" s="189"/>
      <c r="M252" s="189"/>
      <c r="N252" s="189"/>
      <c r="O252" s="189"/>
      <c r="P252" s="189"/>
      <c r="Q252" s="189"/>
      <c r="R252" s="189"/>
      <c r="S252" s="189"/>
      <c r="T252" s="189"/>
      <c r="U252" s="909"/>
      <c r="V252" s="909"/>
      <c r="W252" s="190"/>
      <c r="X252" s="1045"/>
      <c r="Y252" s="189"/>
      <c r="Z252" s="189"/>
      <c r="AA252" s="189"/>
      <c r="AB252" s="189"/>
      <c r="AC252" s="189"/>
      <c r="AD252" s="189"/>
      <c r="AE252" s="190"/>
    </row>
    <row r="253" spans="1:31" customFormat="1">
      <c r="A253" s="189"/>
      <c r="B253" s="189"/>
      <c r="C253" s="189"/>
      <c r="D253" s="189"/>
      <c r="E253" s="189"/>
      <c r="F253" s="909"/>
      <c r="G253" s="189"/>
      <c r="H253" s="189"/>
      <c r="I253" s="189"/>
      <c r="J253" s="189"/>
      <c r="K253" s="189"/>
      <c r="L253" s="189"/>
      <c r="M253" s="189"/>
      <c r="N253" s="189"/>
      <c r="O253" s="189"/>
      <c r="P253" s="189"/>
      <c r="Q253" s="189"/>
      <c r="R253" s="189"/>
      <c r="S253" s="189"/>
      <c r="T253" s="189"/>
      <c r="U253" s="909"/>
      <c r="V253" s="909"/>
      <c r="W253" s="190"/>
      <c r="X253" s="1045"/>
      <c r="Y253" s="189"/>
      <c r="Z253" s="189"/>
      <c r="AA253" s="189"/>
      <c r="AB253" s="189"/>
      <c r="AC253" s="189"/>
      <c r="AD253" s="189"/>
      <c r="AE253" s="190"/>
    </row>
  </sheetData>
  <sheetProtection algorithmName="SHA-512" hashValue="e0RqiUAg33NKMdj5vimAk94hILjK810/LBM4a3PaT63jaH4iWE6Z9ih7j3DpDsJx8HIuiXcwBCMkNZP4hfh2TA==" saltValue="T4QJTby2ggNUHKYp6vuQKQ==" spinCount="100000" sheet="1" objects="1" scenarios="1"/>
  <phoneticPr fontId="0" type="noConversion"/>
  <pageMargins left="0.17" right="0.17" top="0.36" bottom="0.23" header="0.17" footer="0.17"/>
  <pageSetup orientation="landscape"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3" r:id="rId4" name="Button 1">
              <controlPr defaultSize="0" print="0" autoFill="0" autoPict="0" macro="[0]!toquoteentry">
                <anchor moveWithCells="1">
                  <from>
                    <xdr:col>0</xdr:col>
                    <xdr:colOff>0</xdr:colOff>
                    <xdr:row>0</xdr:row>
                    <xdr:rowOff>0</xdr:rowOff>
                  </from>
                  <to>
                    <xdr:col>1</xdr:col>
                    <xdr:colOff>152400</xdr:colOff>
                    <xdr:row>1</xdr:row>
                    <xdr:rowOff>66675</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C49"/>
  <sheetViews>
    <sheetView zoomScale="75" workbookViewId="0">
      <selection activeCell="C46" sqref="C46"/>
    </sheetView>
  </sheetViews>
  <sheetFormatPr defaultColWidth="8.85546875" defaultRowHeight="12.75"/>
  <cols>
    <col min="1" max="1" width="30.28515625" style="161" bestFit="1" customWidth="1"/>
    <col min="2" max="2" width="15.7109375" style="161" bestFit="1" customWidth="1"/>
    <col min="3" max="4" width="24.7109375" style="161" customWidth="1"/>
    <col min="5" max="6" width="12.7109375" style="161" customWidth="1"/>
    <col min="7" max="16384" width="8.85546875" style="161"/>
  </cols>
  <sheetData>
    <row r="1" spans="1:3" ht="15.75">
      <c r="A1" s="170" t="s">
        <v>1237</v>
      </c>
    </row>
    <row r="3" spans="1:3">
      <c r="A3" s="162" t="s">
        <v>1238</v>
      </c>
      <c r="B3" s="162" t="s">
        <v>3411</v>
      </c>
      <c r="C3" s="163" t="s">
        <v>4994</v>
      </c>
    </row>
    <row r="5" spans="1:3">
      <c r="A5" s="161" t="s">
        <v>1239</v>
      </c>
      <c r="B5" s="164">
        <v>4325003</v>
      </c>
      <c r="C5" s="185">
        <v>6</v>
      </c>
    </row>
    <row r="6" spans="1:3">
      <c r="A6" s="161" t="s">
        <v>1240</v>
      </c>
      <c r="B6" s="164">
        <v>660815</v>
      </c>
      <c r="C6" s="185">
        <f t="shared" ref="C6:C13" si="0">B6/$B$44</f>
        <v>1.9719993196040573</v>
      </c>
    </row>
    <row r="7" spans="1:3">
      <c r="A7" s="161" t="s">
        <v>4545</v>
      </c>
      <c r="B7" s="164">
        <v>79376</v>
      </c>
      <c r="C7" s="185">
        <f t="shared" si="0"/>
        <v>0.23687328222405915</v>
      </c>
    </row>
    <row r="8" spans="1:3">
      <c r="A8" s="161" t="s">
        <v>168</v>
      </c>
      <c r="B8" s="164">
        <v>1553711</v>
      </c>
      <c r="C8" s="185">
        <f t="shared" si="0"/>
        <v>4.6365730724353105</v>
      </c>
    </row>
    <row r="9" spans="1:3">
      <c r="A9" s="161" t="s">
        <v>169</v>
      </c>
      <c r="B9" s="164">
        <v>1014616</v>
      </c>
      <c r="C9" s="185">
        <f t="shared" si="0"/>
        <v>3.0278096920611519</v>
      </c>
    </row>
    <row r="10" spans="1:3">
      <c r="A10" s="161" t="s">
        <v>170</v>
      </c>
      <c r="B10" s="164">
        <v>892698</v>
      </c>
      <c r="C10" s="185">
        <f t="shared" si="0"/>
        <v>2.6639828826704943</v>
      </c>
    </row>
    <row r="11" spans="1:3">
      <c r="A11" s="161" t="s">
        <v>900</v>
      </c>
      <c r="B11" s="164">
        <v>680865</v>
      </c>
      <c r="C11" s="185">
        <f t="shared" si="0"/>
        <v>2.0318323838626795</v>
      </c>
    </row>
    <row r="12" spans="1:3">
      <c r="A12" s="161" t="s">
        <v>1463</v>
      </c>
      <c r="B12" s="164">
        <v>17144</v>
      </c>
      <c r="C12" s="185">
        <f t="shared" si="0"/>
        <v>5.116100018203576E-2</v>
      </c>
    </row>
    <row r="13" spans="1:3">
      <c r="A13" s="161" t="s">
        <v>3978</v>
      </c>
      <c r="B13" s="164">
        <v>-583405</v>
      </c>
      <c r="C13" s="185">
        <f t="shared" si="0"/>
        <v>-1.7409929602893472</v>
      </c>
    </row>
    <row r="14" spans="1:3">
      <c r="B14" s="165"/>
    </row>
    <row r="15" spans="1:3">
      <c r="A15" s="162" t="s">
        <v>2585</v>
      </c>
      <c r="B15" s="166">
        <f>SUM(B5:B14)</f>
        <v>8640823</v>
      </c>
      <c r="C15" s="167">
        <f>SUM(C5:C14)</f>
        <v>18.879238672750439</v>
      </c>
    </row>
    <row r="17" spans="1:3">
      <c r="A17" s="161" t="s">
        <v>2586</v>
      </c>
      <c r="B17" s="164">
        <v>3458727</v>
      </c>
      <c r="C17" s="185">
        <f t="shared" ref="C17:C39" si="1">B17/$B$44</f>
        <v>10.321507972270881</v>
      </c>
    </row>
    <row r="18" spans="1:3">
      <c r="A18" s="161" t="s">
        <v>772</v>
      </c>
      <c r="B18" s="164">
        <v>312800</v>
      </c>
      <c r="C18" s="185">
        <f t="shared" si="1"/>
        <v>0.93345548628912645</v>
      </c>
    </row>
    <row r="19" spans="1:3">
      <c r="A19" s="161" t="s">
        <v>168</v>
      </c>
      <c r="B19" s="164">
        <v>878321</v>
      </c>
      <c r="C19" s="185">
        <f t="shared" si="1"/>
        <v>2.6210791437754217</v>
      </c>
    </row>
    <row r="20" spans="1:3">
      <c r="A20" s="161" t="s">
        <v>5192</v>
      </c>
      <c r="B20" s="164">
        <v>37917</v>
      </c>
      <c r="C20" s="185">
        <f t="shared" si="1"/>
        <v>0.11315163578524555</v>
      </c>
    </row>
    <row r="21" spans="1:3">
      <c r="A21" s="161" t="s">
        <v>1118</v>
      </c>
      <c r="B21" s="164">
        <v>14036</v>
      </c>
      <c r="C21" s="185">
        <f t="shared" si="1"/>
        <v>4.1886129173766558E-2</v>
      </c>
    </row>
    <row r="22" spans="1:3">
      <c r="A22" s="161" t="s">
        <v>3809</v>
      </c>
      <c r="B22" s="164">
        <v>-24</v>
      </c>
      <c r="C22" s="185">
        <f t="shared" si="1"/>
        <v>-7.1620625546480292E-5</v>
      </c>
    </row>
    <row r="23" spans="1:3">
      <c r="A23" s="161" t="s">
        <v>3810</v>
      </c>
      <c r="B23" s="164">
        <v>33</v>
      </c>
      <c r="C23" s="185">
        <f t="shared" si="1"/>
        <v>9.847836012641041E-5</v>
      </c>
    </row>
    <row r="24" spans="1:3">
      <c r="A24" s="161" t="s">
        <v>4460</v>
      </c>
      <c r="B24" s="164">
        <v>38756</v>
      </c>
      <c r="C24" s="185">
        <f t="shared" si="1"/>
        <v>0.11565537348664126</v>
      </c>
    </row>
    <row r="25" spans="1:3">
      <c r="A25" s="161" t="s">
        <v>2103</v>
      </c>
      <c r="B25" s="164">
        <v>4808</v>
      </c>
      <c r="C25" s="185">
        <f t="shared" si="1"/>
        <v>1.4347998651144885E-2</v>
      </c>
    </row>
    <row r="26" spans="1:3">
      <c r="A26" s="161" t="s">
        <v>4545</v>
      </c>
      <c r="B26" s="164">
        <v>127121</v>
      </c>
      <c r="C26" s="185">
        <f t="shared" si="1"/>
        <v>0.37935356417058841</v>
      </c>
    </row>
    <row r="27" spans="1:3">
      <c r="A27" s="161" t="s">
        <v>1261</v>
      </c>
      <c r="B27" s="164">
        <v>153</v>
      </c>
      <c r="C27" s="185">
        <f t="shared" si="1"/>
        <v>4.565814878588119E-4</v>
      </c>
    </row>
    <row r="28" spans="1:3">
      <c r="A28" s="161" t="s">
        <v>1262</v>
      </c>
      <c r="B28" s="164">
        <v>146</v>
      </c>
      <c r="C28" s="185">
        <f t="shared" si="1"/>
        <v>4.3569213874108844E-4</v>
      </c>
    </row>
    <row r="29" spans="1:3">
      <c r="A29" s="161" t="s">
        <v>1318</v>
      </c>
      <c r="B29" s="164">
        <v>96647</v>
      </c>
      <c r="C29" s="185">
        <f t="shared" si="1"/>
        <v>0.28841327488294505</v>
      </c>
    </row>
    <row r="30" spans="1:3">
      <c r="A30" s="161" t="s">
        <v>4256</v>
      </c>
      <c r="B30" s="164">
        <v>15140</v>
      </c>
      <c r="C30" s="185">
        <f t="shared" si="1"/>
        <v>4.5180677948904652E-2</v>
      </c>
    </row>
    <row r="31" spans="1:3">
      <c r="A31" s="161" t="s">
        <v>4257</v>
      </c>
      <c r="B31" s="164">
        <v>48897</v>
      </c>
      <c r="C31" s="185">
        <f t="shared" si="1"/>
        <v>0.1459180719727603</v>
      </c>
    </row>
    <row r="32" spans="1:3">
      <c r="A32" s="161" t="s">
        <v>4258</v>
      </c>
      <c r="B32" s="164">
        <v>0</v>
      </c>
      <c r="C32" s="185">
        <f t="shared" si="1"/>
        <v>0</v>
      </c>
    </row>
    <row r="33" spans="1:3">
      <c r="A33" s="161" t="s">
        <v>4259</v>
      </c>
      <c r="B33" s="164">
        <v>1376799</v>
      </c>
      <c r="C33" s="185">
        <f t="shared" si="1"/>
        <v>4.1086335679903554</v>
      </c>
    </row>
    <row r="34" spans="1:3">
      <c r="A34" s="161" t="s">
        <v>1252</v>
      </c>
      <c r="B34" s="164">
        <v>0</v>
      </c>
      <c r="C34" s="185">
        <f t="shared" si="1"/>
        <v>0</v>
      </c>
    </row>
    <row r="35" spans="1:3">
      <c r="A35" s="161" t="s">
        <v>52</v>
      </c>
      <c r="B35" s="164">
        <v>25827</v>
      </c>
      <c r="C35" s="185">
        <f t="shared" si="1"/>
        <v>7.7072745666206102E-2</v>
      </c>
    </row>
    <row r="36" spans="1:3">
      <c r="A36" s="161" t="s">
        <v>53</v>
      </c>
      <c r="B36" s="164">
        <v>219279</v>
      </c>
      <c r="C36" s="185">
        <f t="shared" si="1"/>
        <v>0.65437079788361052</v>
      </c>
    </row>
    <row r="37" spans="1:3">
      <c r="A37" s="161" t="s">
        <v>992</v>
      </c>
      <c r="B37" s="164">
        <v>73</v>
      </c>
      <c r="C37" s="185">
        <f t="shared" si="1"/>
        <v>2.1784606937054422E-4</v>
      </c>
    </row>
    <row r="38" spans="1:3">
      <c r="A38" s="161" t="s">
        <v>4211</v>
      </c>
      <c r="B38" s="164">
        <v>-184000</v>
      </c>
      <c r="C38" s="185">
        <f t="shared" si="1"/>
        <v>-0.54909146252301555</v>
      </c>
    </row>
    <row r="39" spans="1:3">
      <c r="A39" s="161" t="s">
        <v>3978</v>
      </c>
      <c r="B39" s="164">
        <v>181979</v>
      </c>
      <c r="C39" s="185">
        <f t="shared" si="1"/>
        <v>0.54306040901345576</v>
      </c>
    </row>
    <row r="41" spans="1:3">
      <c r="A41" s="162" t="s">
        <v>4212</v>
      </c>
      <c r="B41" s="168">
        <f>SUM(B17:B40)</f>
        <v>6653435</v>
      </c>
      <c r="C41" s="167">
        <f>SUM(C17:C40)</f>
        <v>19.855132363868591</v>
      </c>
    </row>
    <row r="43" spans="1:3">
      <c r="A43" s="162" t="s">
        <v>22</v>
      </c>
      <c r="B43" s="168">
        <f>B15+B41</f>
        <v>15294258</v>
      </c>
    </row>
    <row r="44" spans="1:3">
      <c r="A44" s="162" t="s">
        <v>23</v>
      </c>
      <c r="B44" s="169">
        <v>335099</v>
      </c>
    </row>
    <row r="46" spans="1:3" ht="15.75">
      <c r="A46" s="170" t="s">
        <v>24</v>
      </c>
      <c r="B46" s="171">
        <f>B43/B44</f>
        <v>45.641013551219189</v>
      </c>
      <c r="C46" s="167">
        <f>C41+C15</f>
        <v>38.734371036619031</v>
      </c>
    </row>
    <row r="48" spans="1:3">
      <c r="A48" s="161" t="s">
        <v>4995</v>
      </c>
      <c r="B48" s="172">
        <v>44857027</v>
      </c>
    </row>
    <row r="49" spans="1:2">
      <c r="A49" s="161" t="s">
        <v>4996</v>
      </c>
      <c r="B49" s="167">
        <f>B48/B44</f>
        <v>133.86201391230651</v>
      </c>
    </row>
  </sheetData>
  <sheetProtection algorithmName="SHA-512" hashValue="box17PDodZaK+Q5fN9mHh+2VRnFNcr0AKt88yFTX8t++iTqD5DL6xw4qvEjcA3UvXDDoon3l9GaNBdXjw6ZkRA==" saltValue="mRL3AquWrzZ/5LOcf3mQOw==" spinCount="100000" sheet="1" objects="1" scenarios="1"/>
  <phoneticPr fontId="22" type="noConversion"/>
  <pageMargins left="0.25" right="0.25" top="0.75" bottom="0.5" header="0.5" footer="0.5"/>
  <pageSetup orientation="portrait" horizontalDpi="300" verticalDpi="300" r:id="rId1"/>
  <headerFooter alignWithMargins="0">
    <oddHeader>&amp;L&amp;"Arial,Bold"&amp;12Quote Number &amp;F&amp;C&amp;A&amp;R&amp;D  &amp;T</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8433" r:id="rId4" name="Button 1">
              <controlPr defaultSize="0" print="0" autoFill="0" autoPict="0" macro="[0]!AddChangePressRate">
                <anchor moveWithCells="1" sizeWithCells="1">
                  <from>
                    <xdr:col>1</xdr:col>
                    <xdr:colOff>9525</xdr:colOff>
                    <xdr:row>0</xdr:row>
                    <xdr:rowOff>0</xdr:rowOff>
                  </from>
                  <to>
                    <xdr:col>1</xdr:col>
                    <xdr:colOff>466725</xdr:colOff>
                    <xdr:row>1</xdr:row>
                    <xdr:rowOff>28575</xdr:rowOff>
                  </to>
                </anchor>
              </controlPr>
            </control>
          </mc:Choice>
        </mc:AlternateContent>
        <mc:AlternateContent xmlns:mc="http://schemas.openxmlformats.org/markup-compatibility/2006">
          <mc:Choice Requires="x14">
            <control shapeId="18434" r:id="rId5" name="Button 2">
              <controlPr defaultSize="0" print="0" autoFill="0" autoPict="0" macro="[0]!toquoteentry">
                <anchor moveWithCells="1" sizeWithCells="1">
                  <from>
                    <xdr:col>1</xdr:col>
                    <xdr:colOff>466725</xdr:colOff>
                    <xdr:row>0</xdr:row>
                    <xdr:rowOff>0</xdr:rowOff>
                  </from>
                  <to>
                    <xdr:col>1</xdr:col>
                    <xdr:colOff>923925</xdr:colOff>
                    <xdr:row>1</xdr:row>
                    <xdr:rowOff>28575</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2:I66"/>
  <sheetViews>
    <sheetView showGridLines="0" showOutlineSymbols="0" workbookViewId="0">
      <selection activeCell="A19" sqref="A19"/>
    </sheetView>
  </sheetViews>
  <sheetFormatPr defaultColWidth="8.85546875" defaultRowHeight="11.25"/>
  <cols>
    <col min="1" max="1" width="5.5703125" style="127" customWidth="1"/>
    <col min="2" max="9" width="10.7109375" style="127" customWidth="1"/>
    <col min="10" max="16384" width="8.85546875" style="128"/>
  </cols>
  <sheetData>
    <row r="12" spans="1:1">
      <c r="A12" s="127" t="s">
        <v>1172</v>
      </c>
    </row>
    <row r="13" spans="1:1">
      <c r="A13" s="127" t="str">
        <f>QECustAttn</f>
        <v>Larry Burton</v>
      </c>
    </row>
    <row r="14" spans="1:1">
      <c r="A14" s="127" t="s">
        <v>3292</v>
      </c>
    </row>
    <row r="16" spans="1:1">
      <c r="A16" s="127" t="s">
        <v>6228</v>
      </c>
    </row>
    <row r="19" spans="1:2">
      <c r="A19" s="129" t="str">
        <f>VSPrecFoamSal</f>
        <v>Dear Larry Burton</v>
      </c>
      <c r="B19" s="129"/>
    </row>
    <row r="21" spans="1:2">
      <c r="A21" s="130" t="s">
        <v>1635</v>
      </c>
    </row>
    <row r="22" spans="1:2">
      <c r="A22" s="130" t="s">
        <v>5596</v>
      </c>
    </row>
    <row r="23" spans="1:2">
      <c r="A23" s="130" t="s">
        <v>2140</v>
      </c>
    </row>
    <row r="24" spans="1:2">
      <c r="A24" s="130" t="s">
        <v>350</v>
      </c>
    </row>
    <row r="25" spans="1:2">
      <c r="A25" s="130" t="s">
        <v>5029</v>
      </c>
    </row>
    <row r="26" spans="1:2">
      <c r="A26" s="130"/>
    </row>
    <row r="27" spans="1:2">
      <c r="A27" s="131" t="s">
        <v>4674</v>
      </c>
    </row>
    <row r="28" spans="1:2">
      <c r="A28" s="130" t="s">
        <v>5253</v>
      </c>
    </row>
    <row r="29" spans="1:2">
      <c r="A29" s="130" t="s">
        <v>2662</v>
      </c>
    </row>
    <row r="30" spans="1:2">
      <c r="A30" s="130" t="s">
        <v>5544</v>
      </c>
    </row>
    <row r="31" spans="1:2">
      <c r="A31" s="130" t="s">
        <v>5973</v>
      </c>
    </row>
    <row r="32" spans="1:2">
      <c r="A32" s="130"/>
    </row>
    <row r="33" spans="1:1">
      <c r="A33" s="131" t="s">
        <v>6269</v>
      </c>
    </row>
    <row r="34" spans="1:1">
      <c r="A34" s="130" t="s">
        <v>738</v>
      </c>
    </row>
    <row r="35" spans="1:1">
      <c r="A35" s="130" t="s">
        <v>4917</v>
      </c>
    </row>
    <row r="36" spans="1:1">
      <c r="A36" s="130"/>
    </row>
    <row r="37" spans="1:1">
      <c r="A37" s="131" t="s">
        <v>2994</v>
      </c>
    </row>
    <row r="38" spans="1:1">
      <c r="A38" s="130" t="s">
        <v>3748</v>
      </c>
    </row>
    <row r="39" spans="1:1">
      <c r="A39" s="130" t="s">
        <v>4673</v>
      </c>
    </row>
    <row r="40" spans="1:1">
      <c r="A40" s="130" t="s">
        <v>4525</v>
      </c>
    </row>
    <row r="41" spans="1:1">
      <c r="A41" s="130"/>
    </row>
    <row r="42" spans="1:1">
      <c r="A42" s="131" t="s">
        <v>6265</v>
      </c>
    </row>
    <row r="43" spans="1:1">
      <c r="A43" s="130" t="s">
        <v>1386</v>
      </c>
    </row>
    <row r="44" spans="1:1">
      <c r="A44" s="130"/>
    </row>
    <row r="45" spans="1:1">
      <c r="A45" s="131" t="s">
        <v>6246</v>
      </c>
    </row>
    <row r="46" spans="1:1">
      <c r="A46" s="130" t="s">
        <v>2200</v>
      </c>
    </row>
    <row r="47" spans="1:1">
      <c r="A47" s="130" t="s">
        <v>3864</v>
      </c>
    </row>
    <row r="48" spans="1:1">
      <c r="A48" s="130" t="s">
        <v>3023</v>
      </c>
    </row>
    <row r="49" spans="1:1">
      <c r="A49" s="130"/>
    </row>
    <row r="50" spans="1:1">
      <c r="A50" s="131" t="s">
        <v>4928</v>
      </c>
    </row>
    <row r="51" spans="1:1">
      <c r="A51" s="130" t="s">
        <v>1204</v>
      </c>
    </row>
    <row r="52" spans="1:1">
      <c r="A52" s="130" t="s">
        <v>6315</v>
      </c>
    </row>
    <row r="53" spans="1:1">
      <c r="A53" s="130"/>
    </row>
    <row r="54" spans="1:1">
      <c r="A54" s="131" t="s">
        <v>2211</v>
      </c>
    </row>
    <row r="55" spans="1:1">
      <c r="A55" s="130" t="s">
        <v>1981</v>
      </c>
    </row>
    <row r="56" spans="1:1">
      <c r="A56" s="130" t="s">
        <v>4146</v>
      </c>
    </row>
    <row r="57" spans="1:1">
      <c r="A57" s="130" t="s">
        <v>655</v>
      </c>
    </row>
    <row r="58" spans="1:1">
      <c r="A58" s="130" t="s">
        <v>2961</v>
      </c>
    </row>
    <row r="59" spans="1:1">
      <c r="A59" s="130"/>
    </row>
    <row r="60" spans="1:1">
      <c r="A60" s="130" t="s">
        <v>3907</v>
      </c>
    </row>
    <row r="61" spans="1:1">
      <c r="A61" s="130"/>
    </row>
    <row r="62" spans="1:1">
      <c r="A62" s="130" t="s">
        <v>4969</v>
      </c>
    </row>
    <row r="63" spans="1:1">
      <c r="A63" s="130"/>
    </row>
    <row r="64" spans="1:1" ht="20.25">
      <c r="A64" s="132" t="s">
        <v>1179</v>
      </c>
    </row>
    <row r="65" spans="1:1">
      <c r="A65" s="130" t="s">
        <v>1179</v>
      </c>
    </row>
    <row r="66" spans="1:1">
      <c r="A66" s="130" t="s">
        <v>1723</v>
      </c>
    </row>
  </sheetData>
  <sheetProtection algorithmName="SHA-512" hashValue="MS9gQPa4SlK76qX0DdfsIdBpZRbyvaLyqn4Sfi0w1PgV6f/7L0hvDcvGxpwC4bqBo5GPsgfXrMVp7N517BrWsQ==" saltValue="BwbnZ314bhWbaqtl0jE2PQ==" spinCount="100000" sheet="1" objects="1" scenarios="1"/>
  <phoneticPr fontId="0" type="noConversion"/>
  <pageMargins left="0.5" right="0.5" top="0.5" bottom="0" header="0.25" footer="0.25"/>
  <pageSetup orientation="portrait" horizontalDpi="4294967292" r:id="rId1"/>
  <headerFooter alignWithMargins="0">
    <oddHeader>&amp;LQuote Number &amp;F</oddHeader>
  </headerFooter>
  <drawing r:id="rId2"/>
  <legacyDrawing r:id="rId3"/>
  <oleObjects>
    <mc:AlternateContent xmlns:mc="http://schemas.openxmlformats.org/markup-compatibility/2006">
      <mc:Choice Requires="x14">
        <oleObject progId="MSPhotoEd.3" shapeId="15368" r:id="rId4">
          <objectPr defaultSize="0" autoPict="0" r:id="rId5">
            <anchor moveWithCells="1">
              <from>
                <xdr:col>0</xdr:col>
                <xdr:colOff>0</xdr:colOff>
                <xdr:row>0</xdr:row>
                <xdr:rowOff>0</xdr:rowOff>
              </from>
              <to>
                <xdr:col>3</xdr:col>
                <xdr:colOff>542925</xdr:colOff>
                <xdr:row>9</xdr:row>
                <xdr:rowOff>76200</xdr:rowOff>
              </to>
            </anchor>
          </objectPr>
        </oleObject>
      </mc:Choice>
      <mc:Fallback>
        <oleObject progId="MSPhotoEd.3" shapeId="15368" r:id="rId4"/>
      </mc:Fallback>
    </mc:AlternateContent>
  </oleObjects>
  <mc:AlternateContent xmlns:mc="http://schemas.openxmlformats.org/markup-compatibility/2006">
    <mc:Choice Requires="x14">
      <controls>
        <mc:AlternateContent xmlns:mc="http://schemas.openxmlformats.org/markup-compatibility/2006">
          <mc:Choice Requires="x14">
            <control shapeId="15369" r:id="rId6" name="Button 9">
              <controlPr defaultSize="0" print="0" autoFill="0" autoPict="0" macro="[0]!toquoteentry">
                <anchor moveWithCells="1" sizeWithCells="1">
                  <from>
                    <xdr:col>6</xdr:col>
                    <xdr:colOff>9525</xdr:colOff>
                    <xdr:row>0</xdr:row>
                    <xdr:rowOff>0</xdr:rowOff>
                  </from>
                  <to>
                    <xdr:col>6</xdr:col>
                    <xdr:colOff>466725</xdr:colOff>
                    <xdr:row>1</xdr:row>
                    <xdr:rowOff>85725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D58"/>
  <sheetViews>
    <sheetView showZeros="0" workbookViewId="0">
      <selection activeCell="B1" sqref="B1"/>
    </sheetView>
  </sheetViews>
  <sheetFormatPr defaultColWidth="22.7109375" defaultRowHeight="12.75"/>
  <sheetData>
    <row r="1" spans="1:4" ht="20.25">
      <c r="A1" s="407" t="s">
        <v>388</v>
      </c>
      <c r="B1" s="159" t="str">
        <f>QuoteEntryQuoteNumber</f>
        <v>23276D</v>
      </c>
    </row>
    <row r="3" spans="1:4">
      <c r="A3" s="348" t="str">
        <f>StartQuoteEntry</f>
        <v>Quote Data:</v>
      </c>
    </row>
    <row r="4" spans="1:4">
      <c r="A4" s="405" t="str">
        <f>'Quote Entry'!A2</f>
        <v>Plant:</v>
      </c>
      <c r="B4" s="160">
        <f>QuoteEntryPlantNumber</f>
        <v>2101</v>
      </c>
      <c r="C4" s="405" t="str">
        <f>'Quote Entry'!C2</f>
        <v>Part Number:</v>
      </c>
      <c r="D4" s="160" t="str">
        <f>QEPtNum</f>
        <v>HL328823</v>
      </c>
    </row>
    <row r="5" spans="1:4">
      <c r="A5" s="405" t="str">
        <f>'Quote Entry'!A3</f>
        <v>Customer Number:</v>
      </c>
      <c r="B5" s="406">
        <f>QECustNum</f>
        <v>38</v>
      </c>
      <c r="C5" s="405" t="str">
        <f>'Quote Entry'!C3</f>
        <v>Revision:</v>
      </c>
      <c r="D5" s="160">
        <f>QERevLevel</f>
        <v>0</v>
      </c>
    </row>
    <row r="6" spans="1:4">
      <c r="A6" s="405" t="str">
        <f>'Quote Entry'!A4</f>
        <v>Quote Number:</v>
      </c>
      <c r="B6" s="406" t="str">
        <f>QuoteEntryQuoteNumber</f>
        <v>23276D</v>
      </c>
      <c r="C6" s="405" t="str">
        <f>'Quote Entry'!C4</f>
        <v>Part Name:</v>
      </c>
      <c r="D6" s="160" t="str">
        <f>QEPtName</f>
        <v>Adjust Screw</v>
      </c>
    </row>
    <row r="7" spans="1:4">
      <c r="A7" s="405" t="str">
        <f>'Quote Entry'!A5</f>
        <v>Customer Name:</v>
      </c>
      <c r="B7" s="406" t="str">
        <f>'Quote Entry'!B5</f>
        <v>Hitachi Automotive Products</v>
      </c>
      <c r="C7" s="405" t="str">
        <f>'Quote Entry'!C5</f>
        <v>Cust Inquiry:</v>
      </c>
      <c r="D7" s="160" t="str">
        <f>QECustInq</f>
        <v>6058</v>
      </c>
    </row>
    <row r="8" spans="1:4">
      <c r="A8" s="405" t="str">
        <f>'Quote Entry'!A6</f>
        <v>Attention:</v>
      </c>
      <c r="B8" s="160" t="str">
        <f>'Quote Entry'!B6</f>
        <v>Larry Burton</v>
      </c>
      <c r="C8" s="405"/>
      <c r="D8" s="160"/>
    </row>
    <row r="9" spans="1:4">
      <c r="A9" s="405" t="str">
        <f>'Quote Entry'!A7</f>
        <v>Phone Number:</v>
      </c>
      <c r="B9" s="160" t="str">
        <f>'Quote Entry'!B7</f>
        <v>859-734-6468</v>
      </c>
      <c r="C9" s="405" t="str">
        <f>'Quote Entry'!C6</f>
        <v>Date Received:</v>
      </c>
      <c r="D9" s="408">
        <f>QEDateRec</f>
        <v>38608</v>
      </c>
    </row>
    <row r="10" spans="1:4">
      <c r="A10" s="405" t="str">
        <f>'Quote Entry'!A8</f>
        <v>Fax Number:</v>
      </c>
      <c r="B10" s="160" t="str">
        <f>'Quote Entry'!B8</f>
        <v>859-734-6469</v>
      </c>
      <c r="C10" s="405" t="str">
        <f>'Quote Entry'!C7</f>
        <v>Date Due:</v>
      </c>
      <c r="D10" s="408">
        <f>QEDateDue</f>
        <v>38611</v>
      </c>
    </row>
    <row r="12" spans="1:4">
      <c r="A12" s="348" t="str">
        <f>'Quote Entry'!E2</f>
        <v>Rep Contact:</v>
      </c>
    </row>
    <row r="13" spans="1:4">
      <c r="A13" s="405" t="str">
        <f>'Quote Entry'!E2</f>
        <v>Rep Contact:</v>
      </c>
      <c r="B13" s="406" t="str">
        <f>'Quote Entry'!G2</f>
        <v>Ben Tomblinson</v>
      </c>
      <c r="C13" s="405" t="str">
        <f>'Quote Entry'!H2</f>
        <v>Qty 1:</v>
      </c>
      <c r="D13" s="409">
        <f>Quantity1</f>
        <v>480000</v>
      </c>
    </row>
    <row r="14" spans="1:4">
      <c r="A14" s="405" t="str">
        <f>'Quote Entry'!E3</f>
        <v>Commission:</v>
      </c>
      <c r="B14" s="406">
        <f>QECommVal</f>
        <v>0.05</v>
      </c>
      <c r="C14" s="405" t="str">
        <f>'Quote Entry'!H3</f>
        <v>Qty 2:</v>
      </c>
      <c r="D14" s="409">
        <f>Quantity2</f>
        <v>0</v>
      </c>
    </row>
    <row r="15" spans="1:4">
      <c r="A15" s="405" t="str">
        <f>'Quote Entry'!E4</f>
        <v>Sales Contact:</v>
      </c>
      <c r="B15" s="173" t="str">
        <f>'Quote Entry'!G4</f>
        <v>Rick Caron</v>
      </c>
      <c r="C15" s="405" t="str">
        <f>'Quote Entry'!H4</f>
        <v>Qty 3:</v>
      </c>
      <c r="D15" s="409">
        <f>Quantity3</f>
        <v>0</v>
      </c>
    </row>
    <row r="16" spans="1:4">
      <c r="A16" s="405" t="str">
        <f>'Quote Entry'!E5</f>
        <v>Order Contact:</v>
      </c>
      <c r="B16" s="173" t="str">
        <f>'Quote Entry'!G5</f>
        <v>Rick Caron</v>
      </c>
      <c r="C16" s="405" t="str">
        <f>'Quote Entry'!H5</f>
        <v>Qty 4:</v>
      </c>
      <c r="D16" s="409">
        <f>Quantity4</f>
        <v>0</v>
      </c>
    </row>
    <row r="17" spans="1:4">
      <c r="A17" s="405" t="str">
        <f>'Quote Entry'!E6</f>
        <v>Estimator:</v>
      </c>
      <c r="B17" s="173" t="str">
        <f>'Quote Entry'!G6</f>
        <v>Charley Carlson</v>
      </c>
      <c r="C17" s="405" t="str">
        <f>'Quote Entry'!H6</f>
        <v>Qty 5:</v>
      </c>
      <c r="D17" s="409">
        <f>Quantity5</f>
        <v>0</v>
      </c>
    </row>
    <row r="18" spans="1:4">
      <c r="A18" s="405" t="str">
        <f>'Quote Entry'!C8</f>
        <v>Est. Status:</v>
      </c>
      <c r="B18" s="406" t="str">
        <f>QEStatus</f>
        <v>Sales</v>
      </c>
    </row>
    <row r="19" spans="1:4">
      <c r="A19" s="405" t="str">
        <f>'Quote Entry'!C9</f>
        <v>Market Code:</v>
      </c>
      <c r="B19" t="str">
        <f>QEMarketCode</f>
        <v>Automotive</v>
      </c>
    </row>
    <row r="20" spans="1:4">
      <c r="A20" s="405" t="str">
        <f>'Quote Entry'!E7</f>
        <v>Hierarchy 1:</v>
      </c>
      <c r="B20" t="str">
        <f>QEHierarchy1</f>
        <v>Thermoplastic Molding</v>
      </c>
    </row>
    <row r="21" spans="1:4">
      <c r="A21" s="405" t="str">
        <f>'Quote Entry'!E8</f>
        <v>Hierarchy 2:</v>
      </c>
      <c r="B21" t="str">
        <f>QEHierarchy2</f>
        <v>No Assembly</v>
      </c>
    </row>
    <row r="22" spans="1:4">
      <c r="A22" s="405" t="str">
        <f>'Quote Entry'!E9</f>
        <v>Hierarchy 3:</v>
      </c>
      <c r="B22" t="str">
        <f>QEHierarchy3</f>
        <v>No Value Added</v>
      </c>
    </row>
    <row r="23" spans="1:4">
      <c r="A23" s="405"/>
    </row>
    <row r="24" spans="1:4">
      <c r="A24" s="348" t="str">
        <f>'Quote Entry'!L1</f>
        <v>Part Wgt.:</v>
      </c>
      <c r="B24" s="14" t="str">
        <f>'Quote Entry'!M1</f>
        <v>Scenario 1</v>
      </c>
      <c r="C24" s="14" t="str">
        <f>'Quote Entry'!N1</f>
        <v>Scenario 2</v>
      </c>
    </row>
    <row r="25" spans="1:4">
      <c r="A25" s="405" t="str">
        <f>'Quote Entry'!L2</f>
        <v>Cavities:</v>
      </c>
      <c r="B25" s="160">
        <f>CavityScr1</f>
        <v>8</v>
      </c>
      <c r="C25" s="160">
        <f>CavityScr2</f>
        <v>0</v>
      </c>
    </row>
    <row r="26" spans="1:4">
      <c r="A26" s="405" t="str">
        <f>'Quote Entry'!L3</f>
        <v>Part Weight:</v>
      </c>
      <c r="B26" s="160">
        <f>QEPartWeight1</f>
        <v>1</v>
      </c>
      <c r="C26" s="160" t="str">
        <f>QEPartWeight2</f>
        <v/>
      </c>
    </row>
    <row r="27" spans="1:4">
      <c r="A27" s="405" t="str">
        <f>'Quote Entry'!L4</f>
        <v>Runner Weight:</v>
      </c>
      <c r="B27" s="160">
        <f>QERunnerWeight1</f>
        <v>17.45</v>
      </c>
      <c r="C27" s="160" t="str">
        <f>QERunnerWeight2</f>
        <v/>
      </c>
    </row>
    <row r="28" spans="1:4">
      <c r="A28" s="405" t="str">
        <f>'Quote Entry'!L5</f>
        <v>Regrind %:</v>
      </c>
      <c r="B28" s="410">
        <f>QERegrind1</f>
        <v>0.25</v>
      </c>
      <c r="C28" s="410" t="str">
        <f>QERegrind2</f>
        <v/>
      </c>
    </row>
    <row r="29" spans="1:4">
      <c r="A29" s="405" t="str">
        <f>'Quote Entry'!L6</f>
        <v>Quantity Per M:</v>
      </c>
      <c r="B29" s="160">
        <f>BOMReq1</f>
        <v>2.3859374999999998</v>
      </c>
      <c r="C29" s="160">
        <f>BOMReq2</f>
        <v>0</v>
      </c>
    </row>
    <row r="30" spans="1:4">
      <c r="A30" s="405" t="str">
        <f>'Quote Entry'!L7</f>
        <v>Shot OZ:</v>
      </c>
      <c r="B30" s="160">
        <f>QEShotSize1</f>
        <v>0.40720000000000001</v>
      </c>
      <c r="C30" s="160">
        <f>QEShotSize2</f>
        <v>0</v>
      </c>
    </row>
    <row r="32" spans="1:4">
      <c r="A32" s="348" t="s">
        <v>1180</v>
      </c>
    </row>
    <row r="34" spans="1:1">
      <c r="A34" s="406" t="str">
        <f>'Quote Entry'!C161</f>
        <v>Master data in previous quoptation by Charley is good to use , quote generated to reprice in Fortron because spec material is obsolete.</v>
      </c>
    </row>
    <row r="35" spans="1:1">
      <c r="A35" s="406" t="str">
        <f>'Quote Entry'!C162</f>
        <v>Reference mold file 6058.</v>
      </c>
    </row>
    <row r="36" spans="1:1">
      <c r="A36" s="406" t="str">
        <f>'Quote Entry'!C163</f>
        <v>Material inc. .66  and lower quantities.</v>
      </c>
    </row>
    <row r="37" spans="1:1">
      <c r="A37" s="406">
        <f>'Quote Entry'!C164</f>
        <v>0</v>
      </c>
    </row>
    <row r="38" spans="1:1">
      <c r="A38" s="406">
        <f>'Quote Entry'!C165</f>
        <v>0</v>
      </c>
    </row>
    <row r="39" spans="1:1">
      <c r="A39" s="406">
        <f>'Quote Entry'!C166</f>
        <v>0</v>
      </c>
    </row>
    <row r="40" spans="1:1">
      <c r="A40" s="406">
        <f>'Quote Entry'!C167</f>
        <v>0</v>
      </c>
    </row>
    <row r="41" spans="1:1">
      <c r="A41" s="406">
        <f>'Quote Entry'!C168</f>
        <v>0</v>
      </c>
    </row>
    <row r="42" spans="1:1">
      <c r="A42" s="406">
        <f>'Quote Entry'!C169</f>
        <v>0</v>
      </c>
    </row>
    <row r="43" spans="1:1">
      <c r="A43" s="406">
        <f>'Quote Entry'!C170</f>
        <v>0</v>
      </c>
    </row>
    <row r="44" spans="1:1">
      <c r="A44" s="406">
        <f>'Quote Entry'!C171</f>
        <v>0</v>
      </c>
    </row>
    <row r="45" spans="1:1">
      <c r="A45" s="406">
        <f>'Quote Entry'!C172</f>
        <v>0</v>
      </c>
    </row>
    <row r="46" spans="1:1">
      <c r="A46" s="406">
        <f>'Quote Entry'!C173</f>
        <v>0</v>
      </c>
    </row>
    <row r="47" spans="1:1">
      <c r="A47" s="406">
        <f>'Quote Entry'!C174</f>
        <v>0</v>
      </c>
    </row>
    <row r="48" spans="1:1">
      <c r="A48" s="406">
        <f>'Quote Entry'!C175</f>
        <v>0</v>
      </c>
    </row>
    <row r="49" spans="1:1">
      <c r="A49" s="406">
        <f>'Quote Entry'!C176</f>
        <v>0</v>
      </c>
    </row>
    <row r="50" spans="1:1">
      <c r="A50" s="406">
        <f>'Quote Entry'!C177</f>
        <v>0</v>
      </c>
    </row>
    <row r="51" spans="1:1">
      <c r="A51" s="406">
        <f>'Quote Entry'!C178</f>
        <v>0</v>
      </c>
    </row>
    <row r="52" spans="1:1">
      <c r="A52" s="406">
        <f>'Quote Entry'!C179</f>
        <v>0</v>
      </c>
    </row>
    <row r="53" spans="1:1">
      <c r="A53" s="406">
        <f>'Quote Entry'!C180</f>
        <v>0</v>
      </c>
    </row>
    <row r="54" spans="1:1">
      <c r="A54" s="406">
        <f>'Quote Entry'!C181</f>
        <v>0</v>
      </c>
    </row>
    <row r="55" spans="1:1">
      <c r="A55" s="406">
        <f>'Quote Entry'!C182</f>
        <v>0</v>
      </c>
    </row>
    <row r="56" spans="1:1">
      <c r="A56" s="406">
        <f>'Quote Entry'!C183</f>
        <v>0</v>
      </c>
    </row>
    <row r="57" spans="1:1">
      <c r="A57" s="406">
        <f>'Quote Entry'!C184</f>
        <v>0</v>
      </c>
    </row>
    <row r="58" spans="1:1">
      <c r="A58" s="406">
        <f>'Quote Entry'!C185</f>
        <v>0</v>
      </c>
    </row>
  </sheetData>
  <sheetProtection algorithmName="SHA-512" hashValue="pkYEE1a/xp6mIBk+Vs5qbpLgFcwi6/XS59UdI+o5CM/GeCoeezuiRTaNG4bNa7oc0VrkXfMMeFromgCJcroIYw==" saltValue="WjPDVJaW7W7JXDR3ziOXJQ==" spinCount="100000" sheet="1" objects="1" scenarios="1"/>
  <phoneticPr fontId="22" type="noConversion"/>
  <pageMargins left="0.25" right="0.25" top="0.5" bottom="0.5" header="0.5" footer="0.5"/>
  <pageSetup scale="99" orientation="portrait" horizontalDpi="4294967292" r:id="rId1"/>
  <headerFooter alignWithMargins="0">
    <oddHeader>&amp;R&amp;"Arial,Bold"&amp;12&amp;D&amp;T</oddHead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9"/>
  <sheetViews>
    <sheetView zoomScale="75" workbookViewId="0">
      <selection activeCell="A53" sqref="A53:IV61"/>
    </sheetView>
  </sheetViews>
  <sheetFormatPr defaultColWidth="8.85546875" defaultRowHeight="12.75"/>
  <cols>
    <col min="1" max="1" width="119.7109375" style="304" customWidth="1"/>
    <col min="2" max="2" width="18.42578125" style="1" bestFit="1" customWidth="1"/>
    <col min="3" max="3" width="17.5703125" style="1" bestFit="1" customWidth="1"/>
    <col min="4" max="7" width="12.7109375" style="1" customWidth="1"/>
    <col min="8" max="16384" width="8.85546875" style="1"/>
  </cols>
  <sheetData>
    <row r="1" spans="1:3">
      <c r="A1" s="349" t="s">
        <v>4214</v>
      </c>
      <c r="B1" s="31"/>
      <c r="C1" s="31"/>
    </row>
    <row r="3" spans="1:3" ht="15.6" customHeight="1">
      <c r="A3" s="349" t="s">
        <v>4215</v>
      </c>
    </row>
    <row r="4" spans="1:3" s="216" customFormat="1">
      <c r="A4" s="1167"/>
      <c r="B4" s="1167"/>
      <c r="C4" s="1167"/>
    </row>
    <row r="5" spans="1:3" s="216" customFormat="1">
      <c r="A5" s="1167"/>
      <c r="B5" s="1167"/>
      <c r="C5" s="1167"/>
    </row>
    <row r="6" spans="1:3" s="216" customFormat="1">
      <c r="A6" s="1167"/>
      <c r="B6" s="1167"/>
      <c r="C6" s="1167"/>
    </row>
    <row r="7" spans="1:3" s="216" customFormat="1">
      <c r="A7" s="1167"/>
      <c r="B7" s="1167"/>
      <c r="C7" s="1167"/>
    </row>
    <row r="8" spans="1:3" s="216" customFormat="1">
      <c r="A8" s="1167"/>
      <c r="B8" s="1167"/>
      <c r="C8" s="1167"/>
    </row>
    <row r="9" spans="1:3" s="216" customFormat="1">
      <c r="A9" s="1167"/>
      <c r="B9" s="1167"/>
      <c r="C9" s="1167"/>
    </row>
    <row r="10" spans="1:3" s="216" customFormat="1">
      <c r="A10" s="1167"/>
      <c r="B10" s="1167"/>
      <c r="C10" s="1167"/>
    </row>
    <row r="11" spans="1:3" s="216" customFormat="1">
      <c r="A11" s="1167"/>
      <c r="B11" s="1167"/>
      <c r="C11" s="1167"/>
    </row>
    <row r="12" spans="1:3" s="216" customFormat="1">
      <c r="A12" s="1167"/>
      <c r="B12" s="1167"/>
      <c r="C12" s="1167"/>
    </row>
    <row r="13" spans="1:3" s="216" customFormat="1">
      <c r="A13" s="1167"/>
      <c r="B13" s="1167"/>
      <c r="C13" s="1167"/>
    </row>
    <row r="14" spans="1:3" s="216" customFormat="1">
      <c r="A14" s="1167"/>
      <c r="B14" s="1167"/>
      <c r="C14" s="1167"/>
    </row>
    <row r="15" spans="1:3" s="216" customFormat="1">
      <c r="A15" s="1167"/>
      <c r="B15" s="1167"/>
      <c r="C15" s="1167"/>
    </row>
    <row r="16" spans="1:3" s="216" customFormat="1">
      <c r="A16" s="1167"/>
      <c r="B16" s="1167"/>
      <c r="C16" s="1167"/>
    </row>
    <row r="17" spans="1:3" s="216" customFormat="1">
      <c r="A17" s="1167"/>
      <c r="B17" s="1167"/>
      <c r="C17" s="1167"/>
    </row>
    <row r="18" spans="1:3" s="216" customFormat="1">
      <c r="A18" s="1167"/>
      <c r="B18" s="1167"/>
      <c r="C18" s="1167"/>
    </row>
    <row r="19" spans="1:3" s="216" customFormat="1">
      <c r="A19" s="1167"/>
      <c r="B19" s="1167"/>
      <c r="C19" s="1167"/>
    </row>
    <row r="20" spans="1:3" s="216" customFormat="1">
      <c r="A20" s="1167"/>
      <c r="B20" s="1167"/>
      <c r="C20" s="1167"/>
    </row>
    <row r="21" spans="1:3" s="216" customFormat="1">
      <c r="A21" s="1167"/>
      <c r="B21" s="1167"/>
      <c r="C21" s="1167"/>
    </row>
    <row r="22" spans="1:3" s="216" customFormat="1">
      <c r="A22" s="1167"/>
      <c r="B22" s="1167"/>
      <c r="C22" s="1167"/>
    </row>
    <row r="23" spans="1:3" s="216" customFormat="1">
      <c r="A23" s="1167"/>
      <c r="B23" s="1167"/>
      <c r="C23" s="1167"/>
    </row>
    <row r="24" spans="1:3" s="216" customFormat="1">
      <c r="A24" s="1167"/>
      <c r="B24" s="1167"/>
      <c r="C24" s="1167"/>
    </row>
    <row r="25" spans="1:3" s="216" customFormat="1">
      <c r="A25" s="1167"/>
      <c r="B25" s="1167"/>
      <c r="C25" s="1167"/>
    </row>
    <row r="26" spans="1:3" s="216" customFormat="1">
      <c r="A26" s="1167"/>
      <c r="B26" s="1167"/>
      <c r="C26" s="1167"/>
    </row>
    <row r="27" spans="1:3" s="216" customFormat="1">
      <c r="A27" s="1167"/>
      <c r="B27" s="1167"/>
      <c r="C27" s="1167"/>
    </row>
    <row r="28" spans="1:3" s="216" customFormat="1">
      <c r="A28" s="1167"/>
      <c r="B28" s="1167"/>
      <c r="C28" s="1167"/>
    </row>
    <row r="29" spans="1:3" s="216" customFormat="1">
      <c r="A29" s="1167"/>
      <c r="B29" s="1167"/>
      <c r="C29" s="1167"/>
    </row>
    <row r="30" spans="1:3" s="216" customFormat="1">
      <c r="A30" s="1167"/>
      <c r="B30" s="1167"/>
      <c r="C30" s="1167"/>
    </row>
    <row r="31" spans="1:3" s="216" customFormat="1">
      <c r="A31" s="1167"/>
      <c r="B31" s="1167"/>
      <c r="C31" s="1167"/>
    </row>
    <row r="32" spans="1:3" s="216" customFormat="1">
      <c r="A32" s="1167"/>
      <c r="B32" s="1167"/>
      <c r="C32" s="1167"/>
    </row>
    <row r="33" spans="1:3" s="216" customFormat="1">
      <c r="A33" s="1167"/>
      <c r="B33" s="1167"/>
      <c r="C33" s="1167"/>
    </row>
    <row r="34" spans="1:3" s="216" customFormat="1">
      <c r="A34" s="1167"/>
      <c r="B34" s="1167"/>
      <c r="C34" s="1167"/>
    </row>
    <row r="35" spans="1:3" s="216" customFormat="1">
      <c r="A35" s="1167"/>
      <c r="B35" s="1167"/>
      <c r="C35" s="1167"/>
    </row>
    <row r="36" spans="1:3" s="216" customFormat="1">
      <c r="A36" s="1167"/>
      <c r="B36" s="1167"/>
      <c r="C36" s="1167"/>
    </row>
    <row r="37" spans="1:3" s="216" customFormat="1">
      <c r="A37" s="1167"/>
      <c r="B37" s="1167"/>
      <c r="C37" s="1167"/>
    </row>
    <row r="38" spans="1:3" s="216" customFormat="1">
      <c r="A38" s="1168"/>
      <c r="B38" s="1169"/>
      <c r="C38" s="1169"/>
    </row>
    <row r="39" spans="1:3" s="216" customFormat="1">
      <c r="A39" s="1168"/>
      <c r="B39" s="1169"/>
      <c r="C39" s="1169"/>
    </row>
    <row r="40" spans="1:3" s="216" customFormat="1">
      <c r="A40" s="1168"/>
      <c r="B40" s="1169"/>
      <c r="C40" s="1169"/>
    </row>
    <row r="41" spans="1:3" s="216" customFormat="1" ht="48" customHeight="1">
      <c r="A41" s="1168"/>
      <c r="B41" s="1169"/>
      <c r="C41" s="1169"/>
    </row>
    <row r="42" spans="1:3" s="216" customFormat="1">
      <c r="A42" s="1168"/>
      <c r="B42" s="1169"/>
      <c r="C42" s="1169"/>
    </row>
    <row r="43" spans="1:3" s="216" customFormat="1">
      <c r="A43" s="1168"/>
      <c r="B43" s="1169"/>
      <c r="C43" s="1169"/>
    </row>
    <row r="44" spans="1:3" s="216" customFormat="1">
      <c r="A44" s="1166"/>
    </row>
    <row r="45" spans="1:3" s="216" customFormat="1">
      <c r="A45" s="1166"/>
    </row>
    <row r="46" spans="1:3">
      <c r="A46" s="349"/>
    </row>
    <row r="47" spans="1:3">
      <c r="A47" s="349"/>
    </row>
    <row r="48" spans="1:3">
      <c r="A48" s="349"/>
    </row>
    <row r="49" spans="1:1">
      <c r="A49" s="349"/>
    </row>
    <row r="50" spans="1:1">
      <c r="A50" s="349"/>
    </row>
    <row r="51" spans="1:1">
      <c r="A51" s="349"/>
    </row>
    <row r="52" spans="1:1">
      <c r="A52" s="349"/>
    </row>
    <row r="53" spans="1:1">
      <c r="A53" s="349"/>
    </row>
    <row r="54" spans="1:1">
      <c r="A54" s="349"/>
    </row>
    <row r="55" spans="1:1">
      <c r="A55" s="304" t="s">
        <v>264</v>
      </c>
    </row>
    <row r="56" spans="1:1">
      <c r="A56" s="304" t="s">
        <v>2996</v>
      </c>
    </row>
    <row r="57" spans="1:1">
      <c r="A57" s="304" t="s">
        <v>3056</v>
      </c>
    </row>
    <row r="58" spans="1:1">
      <c r="A58" s="304" t="s">
        <v>5691</v>
      </c>
    </row>
    <row r="59" spans="1:1">
      <c r="A59" s="304" t="s">
        <v>1567</v>
      </c>
    </row>
    <row r="60" spans="1:1">
      <c r="A60" s="304" t="s">
        <v>3352</v>
      </c>
    </row>
    <row r="61" spans="1:1">
      <c r="A61" s="304" t="s">
        <v>1504</v>
      </c>
    </row>
    <row r="62" spans="1:1">
      <c r="A62" s="304" t="s">
        <v>1652</v>
      </c>
    </row>
    <row r="63" spans="1:1">
      <c r="A63" s="304" t="s">
        <v>1252</v>
      </c>
    </row>
    <row r="64" spans="1:1">
      <c r="A64" s="304" t="s">
        <v>2705</v>
      </c>
    </row>
    <row r="65" spans="1:1">
      <c r="A65" s="184" t="s">
        <v>6025</v>
      </c>
    </row>
    <row r="66" spans="1:1">
      <c r="A66" s="184" t="s">
        <v>880</v>
      </c>
    </row>
    <row r="67" spans="1:1">
      <c r="A67" s="304" t="s">
        <v>978</v>
      </c>
    </row>
    <row r="68" spans="1:1">
      <c r="A68" s="304" t="s">
        <v>5399</v>
      </c>
    </row>
    <row r="69" spans="1:1">
      <c r="A69" s="304" t="s">
        <v>3040</v>
      </c>
    </row>
    <row r="70" spans="1:1">
      <c r="A70" s="304" t="s">
        <v>5400</v>
      </c>
    </row>
    <row r="71" spans="1:1">
      <c r="A71" s="304" t="s">
        <v>4467</v>
      </c>
    </row>
    <row r="72" spans="1:1">
      <c r="A72" s="304" t="s">
        <v>5401</v>
      </c>
    </row>
    <row r="73" spans="1:1">
      <c r="A73" s="304" t="s">
        <v>5568</v>
      </c>
    </row>
    <row r="74" spans="1:1">
      <c r="A74" s="304" t="s">
        <v>3238</v>
      </c>
    </row>
    <row r="75" spans="1:1">
      <c r="A75" s="304" t="s">
        <v>3106</v>
      </c>
    </row>
    <row r="76" spans="1:1">
      <c r="A76" s="304" t="s">
        <v>2706</v>
      </c>
    </row>
    <row r="77" spans="1:1">
      <c r="A77" s="304" t="s">
        <v>5613</v>
      </c>
    </row>
    <row r="78" spans="1:1">
      <c r="A78" s="304" t="s">
        <v>4918</v>
      </c>
    </row>
    <row r="79" spans="1:1">
      <c r="A79" s="304" t="s">
        <v>6002</v>
      </c>
    </row>
    <row r="80" spans="1:1" ht="25.5">
      <c r="A80" s="304" t="s">
        <v>3664</v>
      </c>
    </row>
    <row r="83" spans="1:1" ht="25.5">
      <c r="A83" s="304" t="s">
        <v>1701</v>
      </c>
    </row>
    <row r="84" spans="1:1">
      <c r="A84" s="304" t="s">
        <v>5923</v>
      </c>
    </row>
    <row r="85" spans="1:1">
      <c r="A85" s="304" t="s">
        <v>5644</v>
      </c>
    </row>
    <row r="86" spans="1:1">
      <c r="A86" s="304" t="s">
        <v>745</v>
      </c>
    </row>
    <row r="87" spans="1:1">
      <c r="A87" s="304" t="s">
        <v>1963</v>
      </c>
    </row>
    <row r="89" spans="1:1">
      <c r="A89" s="347" t="s">
        <v>3636</v>
      </c>
    </row>
    <row r="90" spans="1:1">
      <c r="A90" s="304" t="s">
        <v>2902</v>
      </c>
    </row>
    <row r="91" spans="1:1">
      <c r="A91" s="304" t="s">
        <v>3276</v>
      </c>
    </row>
    <row r="92" spans="1:1">
      <c r="A92" s="304" t="s">
        <v>1036</v>
      </c>
    </row>
    <row r="94" spans="1:1">
      <c r="A94" s="347" t="s">
        <v>1252</v>
      </c>
    </row>
    <row r="95" spans="1:1" ht="76.5">
      <c r="A95" s="304" t="s">
        <v>3635</v>
      </c>
    </row>
    <row r="97" spans="1:1">
      <c r="A97" s="347" t="s">
        <v>3037</v>
      </c>
    </row>
    <row r="98" spans="1:1">
      <c r="A98" s="304" t="s">
        <v>3038</v>
      </c>
    </row>
    <row r="99" spans="1:1">
      <c r="A99" s="304" t="s">
        <v>3039</v>
      </c>
    </row>
    <row r="101" spans="1:1">
      <c r="A101" s="347" t="s">
        <v>6137</v>
      </c>
    </row>
    <row r="102" spans="1:1">
      <c r="A102" s="304" t="s">
        <v>6138</v>
      </c>
    </row>
    <row r="103" spans="1:1">
      <c r="A103" s="304" t="s">
        <v>3831</v>
      </c>
    </row>
    <row r="104" spans="1:1">
      <c r="A104" s="304" t="s">
        <v>6239</v>
      </c>
    </row>
    <row r="105" spans="1:1">
      <c r="A105" s="304" t="s">
        <v>6240</v>
      </c>
    </row>
    <row r="106" spans="1:1">
      <c r="A106" s="304" t="s">
        <v>4985</v>
      </c>
    </row>
    <row r="107" spans="1:1">
      <c r="A107" s="304" t="s">
        <v>1272</v>
      </c>
    </row>
    <row r="109" spans="1:1">
      <c r="A109" s="348" t="s">
        <v>145</v>
      </c>
    </row>
  </sheetData>
  <phoneticPr fontId="0" type="noConversion"/>
  <pageMargins left="0.25" right="0.25" top="0.5" bottom="0.5" header="0.5" footer="0.5"/>
  <pageSetup orientation="portrait" horizontalDpi="300" verticalDpi="300" r:id="rId1"/>
  <headerFooter alignWithMargins="0"/>
  <drawing r:id="rId2"/>
  <legacyDrawing r:id="rId3"/>
  <oleObjects>
    <mc:AlternateContent xmlns:mc="http://schemas.openxmlformats.org/markup-compatibility/2006">
      <mc:Choice Requires="x14">
        <oleObject progId="Word.Document.8" shapeId="14340" r:id="rId4">
          <objectPr defaultSize="0" autoPict="0" r:id="rId5">
            <anchor moveWithCells="1">
              <from>
                <xdr:col>0</xdr:col>
                <xdr:colOff>0</xdr:colOff>
                <xdr:row>109</xdr:row>
                <xdr:rowOff>0</xdr:rowOff>
              </from>
              <to>
                <xdr:col>0</xdr:col>
                <xdr:colOff>7877175</xdr:colOff>
                <xdr:row>139</xdr:row>
                <xdr:rowOff>152400</xdr:rowOff>
              </to>
            </anchor>
          </objectPr>
        </oleObject>
      </mc:Choice>
      <mc:Fallback>
        <oleObject progId="Word.Document.8" shapeId="14340" r:id="rId4"/>
      </mc:Fallback>
    </mc:AlternateContent>
    <mc:AlternateContent xmlns:mc="http://schemas.openxmlformats.org/markup-compatibility/2006">
      <mc:Choice Requires="x14">
        <oleObject progId="Word.Document.8" shapeId="14341" r:id="rId6">
          <objectPr defaultSize="0" r:id="rId7">
            <anchor moveWithCells="1">
              <from>
                <xdr:col>0</xdr:col>
                <xdr:colOff>0</xdr:colOff>
                <xdr:row>141</xdr:row>
                <xdr:rowOff>19050</xdr:rowOff>
              </from>
              <to>
                <xdr:col>0</xdr:col>
                <xdr:colOff>7953375</xdr:colOff>
                <xdr:row>175</xdr:row>
                <xdr:rowOff>47625</xdr:rowOff>
              </to>
            </anchor>
          </objectPr>
        </oleObject>
      </mc:Choice>
      <mc:Fallback>
        <oleObject progId="Word.Document.8" shapeId="14341" r:id="rId6"/>
      </mc:Fallback>
    </mc:AlternateContent>
    <mc:AlternateContent xmlns:mc="http://schemas.openxmlformats.org/markup-compatibility/2006">
      <mc:Choice Requires="x14">
        <oleObject progId="Word.Document.8" shapeId="14342" r:id="rId8">
          <objectPr defaultSize="0" r:id="rId9">
            <anchor moveWithCells="1">
              <from>
                <xdr:col>0</xdr:col>
                <xdr:colOff>0</xdr:colOff>
                <xdr:row>177</xdr:row>
                <xdr:rowOff>19050</xdr:rowOff>
              </from>
              <to>
                <xdr:col>0</xdr:col>
                <xdr:colOff>7915275</xdr:colOff>
                <xdr:row>195</xdr:row>
                <xdr:rowOff>123825</xdr:rowOff>
              </to>
            </anchor>
          </objectPr>
        </oleObject>
      </mc:Choice>
      <mc:Fallback>
        <oleObject progId="Word.Document.8" shapeId="14342" r:id="rId8"/>
      </mc:Fallback>
    </mc:AlternateContent>
    <mc:AlternateContent xmlns:mc="http://schemas.openxmlformats.org/markup-compatibility/2006">
      <mc:Choice Requires="x14">
        <oleObject progId="Word.Document.8" shapeId="14343" r:id="rId10">
          <objectPr defaultSize="0" autoPict="0" r:id="rId11">
            <anchor moveWithCells="1">
              <from>
                <xdr:col>0</xdr:col>
                <xdr:colOff>0</xdr:colOff>
                <xdr:row>3</xdr:row>
                <xdr:rowOff>142875</xdr:rowOff>
              </from>
              <to>
                <xdr:col>0</xdr:col>
                <xdr:colOff>7953375</xdr:colOff>
                <xdr:row>52</xdr:row>
                <xdr:rowOff>142875</xdr:rowOff>
              </to>
            </anchor>
          </objectPr>
        </oleObject>
      </mc:Choice>
      <mc:Fallback>
        <oleObject progId="Word.Document.8" shapeId="14343" r:id="rId10"/>
      </mc:Fallback>
    </mc:AlternateContent>
  </oleObjects>
  <mc:AlternateContent xmlns:mc="http://schemas.openxmlformats.org/markup-compatibility/2006">
    <mc:Choice Requires="x14">
      <controls>
        <mc:AlternateContent xmlns:mc="http://schemas.openxmlformats.org/markup-compatibility/2006">
          <mc:Choice Requires="x14">
            <control shapeId="14337" r:id="rId12" name="Button 1">
              <controlPr defaultSize="0" print="0" autoFill="0" autoPict="0" macro="[0]!toquoteentry1">
                <anchor moveWithCells="1">
                  <from>
                    <xdr:col>0</xdr:col>
                    <xdr:colOff>28575</xdr:colOff>
                    <xdr:row>0</xdr:row>
                    <xdr:rowOff>0</xdr:rowOff>
                  </from>
                  <to>
                    <xdr:col>0</xdr:col>
                    <xdr:colOff>485775</xdr:colOff>
                    <xdr:row>1</xdr:row>
                    <xdr:rowOff>66675</xdr:rowOff>
                  </to>
                </anchor>
              </controlPr>
            </control>
          </mc:Choice>
        </mc:AlternateContent>
        <mc:AlternateContent xmlns:mc="http://schemas.openxmlformats.org/markup-compatibility/2006">
          <mc:Choice Requires="x14">
            <control shapeId="14338" r:id="rId13" name="Button 2">
              <controlPr defaultSize="0" print="0" autoFill="0" autoPict="0" macro="[0]!toquoteentry1">
                <anchor moveWithCells="1">
                  <from>
                    <xdr:col>0</xdr:col>
                    <xdr:colOff>0</xdr:colOff>
                    <xdr:row>85</xdr:row>
                    <xdr:rowOff>76200</xdr:rowOff>
                  </from>
                  <to>
                    <xdr:col>0</xdr:col>
                    <xdr:colOff>457200</xdr:colOff>
                    <xdr:row>86</xdr:row>
                    <xdr:rowOff>76200</xdr:rowOff>
                  </to>
                </anchor>
              </controlPr>
            </control>
          </mc:Choice>
        </mc:AlternateContent>
      </controls>
    </mc:Choice>
  </mc:AlternateConten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I34"/>
  <sheetViews>
    <sheetView showGridLines="0" zoomScale="75" workbookViewId="0">
      <selection activeCell="G30" sqref="G30"/>
    </sheetView>
  </sheetViews>
  <sheetFormatPr defaultColWidth="12.7109375" defaultRowHeight="12.75"/>
  <cols>
    <col min="1" max="1" width="21.28515625" style="139" bestFit="1" customWidth="1"/>
    <col min="2" max="6" width="12.7109375" style="36" customWidth="1"/>
    <col min="7" max="7" width="12.7109375" style="137" customWidth="1"/>
    <col min="8" max="9" width="12.7109375" style="138" customWidth="1"/>
    <col min="10" max="16384" width="12.7109375" style="36"/>
  </cols>
  <sheetData>
    <row r="1" spans="1:9">
      <c r="A1" s="422" t="s">
        <v>4765</v>
      </c>
      <c r="B1" s="498" t="s">
        <v>2091</v>
      </c>
      <c r="C1" s="188"/>
      <c r="D1" s="566"/>
      <c r="E1" s="136"/>
      <c r="F1" s="136"/>
    </row>
    <row r="2" spans="1:9">
      <c r="A2" s="422" t="s">
        <v>2967</v>
      </c>
      <c r="B2" s="498"/>
      <c r="C2" s="567"/>
      <c r="D2" s="567"/>
      <c r="E2" s="136"/>
      <c r="F2" s="136"/>
    </row>
    <row r="3" spans="1:9">
      <c r="G3" s="140" t="s">
        <v>6048</v>
      </c>
    </row>
    <row r="4" spans="1:9">
      <c r="B4" s="141" t="s">
        <v>3895</v>
      </c>
      <c r="C4" s="141" t="s">
        <v>1083</v>
      </c>
      <c r="D4" s="141" t="s">
        <v>3896</v>
      </c>
      <c r="E4" s="141" t="s">
        <v>1084</v>
      </c>
      <c r="F4" s="141"/>
      <c r="G4" s="140"/>
    </row>
    <row r="5" spans="1:9">
      <c r="A5" s="142" t="s">
        <v>866</v>
      </c>
      <c r="B5" s="143"/>
      <c r="C5" s="143"/>
      <c r="D5" s="143"/>
      <c r="E5" s="144">
        <f>IF(B1="x",(B5*C5*D5),IF(B2="x",(B5*C5*D5/'Variable Sheet'!B2)))</f>
        <v>0</v>
      </c>
      <c r="F5" s="141"/>
      <c r="G5" s="140"/>
    </row>
    <row r="6" spans="1:9">
      <c r="B6" s="141"/>
      <c r="C6" s="141"/>
      <c r="D6" s="141"/>
      <c r="E6" s="141"/>
      <c r="F6" s="141"/>
      <c r="G6" s="140"/>
      <c r="I6" s="570"/>
    </row>
    <row r="7" spans="1:9">
      <c r="B7" s="141" t="s">
        <v>1115</v>
      </c>
      <c r="C7" s="141" t="s">
        <v>867</v>
      </c>
      <c r="D7" s="141" t="s">
        <v>868</v>
      </c>
      <c r="E7" s="141" t="s">
        <v>869</v>
      </c>
      <c r="F7" s="141"/>
      <c r="G7" s="140"/>
      <c r="I7" s="487" t="s">
        <v>1757</v>
      </c>
    </row>
    <row r="8" spans="1:9">
      <c r="A8" s="142" t="s">
        <v>1645</v>
      </c>
      <c r="B8" s="88"/>
      <c r="C8" s="88"/>
      <c r="D8" s="145"/>
      <c r="E8" s="146">
        <f>IF(E5&gt;0,  E5*VSCIMultiplier*C8, 0)</f>
        <v>0</v>
      </c>
      <c r="F8" s="147"/>
      <c r="G8" s="146">
        <f>IF(E5&gt;0,  E5*'Variable Sheet'!$B$7*'Insert Quote'!C8*'Insert Quote'!D8, 0)</f>
        <v>0</v>
      </c>
      <c r="I8" s="571" t="s">
        <v>1758</v>
      </c>
    </row>
    <row r="9" spans="1:9">
      <c r="B9" s="141"/>
      <c r="C9" s="141"/>
      <c r="D9" s="141"/>
      <c r="E9" s="141"/>
      <c r="F9" s="141"/>
      <c r="G9" s="140"/>
      <c r="I9" s="571" t="s">
        <v>5774</v>
      </c>
    </row>
    <row r="10" spans="1:9">
      <c r="B10" s="141" t="s">
        <v>4764</v>
      </c>
      <c r="C10" s="141" t="s">
        <v>4763</v>
      </c>
      <c r="D10" s="141"/>
      <c r="E10" s="141"/>
      <c r="F10" s="141"/>
      <c r="G10" s="140"/>
      <c r="I10" s="571" t="s">
        <v>5775</v>
      </c>
    </row>
    <row r="11" spans="1:9">
      <c r="A11" s="142" t="s">
        <v>870</v>
      </c>
      <c r="B11" s="148"/>
      <c r="C11" s="88"/>
      <c r="D11" s="141"/>
      <c r="E11" s="141"/>
      <c r="F11" s="141"/>
      <c r="G11" s="149">
        <f>IF(B11&gt;0,B11/C11,0)</f>
        <v>0</v>
      </c>
      <c r="I11" s="571" t="s">
        <v>2904</v>
      </c>
    </row>
    <row r="12" spans="1:9">
      <c r="B12" s="141"/>
      <c r="C12" s="141"/>
      <c r="D12" s="141"/>
      <c r="E12" s="141"/>
      <c r="F12" s="141"/>
      <c r="G12" s="140"/>
      <c r="I12" s="571" t="s">
        <v>2001</v>
      </c>
    </row>
    <row r="13" spans="1:9">
      <c r="B13" s="141" t="s">
        <v>4764</v>
      </c>
      <c r="C13" s="141" t="s">
        <v>871</v>
      </c>
      <c r="D13" s="141"/>
      <c r="E13" s="141"/>
      <c r="F13" s="141"/>
      <c r="G13" s="140"/>
      <c r="I13" s="571" t="s">
        <v>2002</v>
      </c>
    </row>
    <row r="14" spans="1:9">
      <c r="A14" s="142" t="s">
        <v>872</v>
      </c>
      <c r="B14" s="148"/>
      <c r="C14" s="88"/>
      <c r="D14" s="141"/>
      <c r="E14" s="141"/>
      <c r="F14" s="141"/>
      <c r="G14" s="149">
        <f>IF(B14&gt;0,B14*C14/C11,0)</f>
        <v>0</v>
      </c>
      <c r="I14" s="570"/>
    </row>
    <row r="15" spans="1:9">
      <c r="B15" s="141"/>
      <c r="C15" s="141"/>
      <c r="D15" s="141"/>
      <c r="E15" s="141"/>
      <c r="F15" s="141"/>
      <c r="G15" s="140"/>
      <c r="I15" s="570"/>
    </row>
    <row r="16" spans="1:9">
      <c r="B16" s="141" t="s">
        <v>1559</v>
      </c>
      <c r="C16" s="141" t="s">
        <v>3210</v>
      </c>
      <c r="D16" s="141"/>
      <c r="E16" s="141"/>
      <c r="F16" s="141"/>
      <c r="G16" s="140"/>
    </row>
    <row r="17" spans="1:7">
      <c r="A17" s="142" t="s">
        <v>1755</v>
      </c>
      <c r="B17" s="148"/>
      <c r="C17" s="88"/>
      <c r="D17" s="141"/>
      <c r="E17" s="141"/>
      <c r="F17" s="141"/>
      <c r="G17" s="149">
        <f>IF(C17&gt;0,B17/C17,0)</f>
        <v>0</v>
      </c>
    </row>
    <row r="18" spans="1:7">
      <c r="A18" s="142" t="s">
        <v>4500</v>
      </c>
      <c r="B18" s="148"/>
      <c r="C18" s="88"/>
      <c r="D18" s="141"/>
      <c r="E18" s="141"/>
      <c r="F18" s="141"/>
      <c r="G18" s="149">
        <f>IF(C18&gt;0,B18/C18,0)</f>
        <v>0</v>
      </c>
    </row>
    <row r="19" spans="1:7">
      <c r="D19" s="141"/>
      <c r="E19" s="141"/>
      <c r="F19" s="141"/>
      <c r="G19" s="150"/>
    </row>
    <row r="20" spans="1:7">
      <c r="B20" s="141" t="s">
        <v>1645</v>
      </c>
      <c r="C20" s="141" t="s">
        <v>3410</v>
      </c>
      <c r="D20" s="141" t="s">
        <v>5786</v>
      </c>
      <c r="E20" s="141"/>
      <c r="F20" s="141"/>
      <c r="G20" s="140"/>
    </row>
    <row r="21" spans="1:7">
      <c r="A21" s="142" t="s">
        <v>5787</v>
      </c>
      <c r="B21" s="88"/>
      <c r="C21" s="148"/>
      <c r="D21" s="148"/>
      <c r="E21" s="141"/>
      <c r="F21" s="141"/>
      <c r="G21" s="149">
        <f>IF(D21&gt;0,C21*D21/1000,0)</f>
        <v>0</v>
      </c>
    </row>
    <row r="22" spans="1:7">
      <c r="A22" s="142" t="s">
        <v>5788</v>
      </c>
      <c r="B22" s="88"/>
      <c r="C22" s="148"/>
      <c r="D22" s="148"/>
      <c r="E22" s="141"/>
      <c r="F22" s="141"/>
      <c r="G22" s="149">
        <f>IF(D22&gt;0,C22*D22/1000,0)</f>
        <v>0</v>
      </c>
    </row>
    <row r="23" spans="1:7">
      <c r="A23" s="142" t="s">
        <v>5789</v>
      </c>
      <c r="B23" s="88"/>
      <c r="C23" s="148"/>
      <c r="D23" s="148"/>
      <c r="E23" s="141"/>
      <c r="F23" s="141"/>
      <c r="G23" s="149">
        <f>IF(D23&gt;0,C23*D23/1000,0)</f>
        <v>0</v>
      </c>
    </row>
    <row r="24" spans="1:7">
      <c r="A24" s="142" t="s">
        <v>3211</v>
      </c>
      <c r="B24" s="88"/>
      <c r="C24" s="148"/>
      <c r="D24" s="148"/>
      <c r="E24" s="141"/>
      <c r="F24" s="141"/>
      <c r="G24" s="149">
        <f>IF(D24&gt;0,C24*D24/1000,0)</f>
        <v>0</v>
      </c>
    </row>
    <row r="25" spans="1:7">
      <c r="A25" s="142" t="s">
        <v>5790</v>
      </c>
      <c r="B25" s="152"/>
      <c r="D25" s="153"/>
      <c r="E25" s="141"/>
      <c r="F25" s="141"/>
      <c r="G25" s="149">
        <f>IF(B25&gt;0,B25/1000,0)</f>
        <v>0</v>
      </c>
    </row>
    <row r="26" spans="1:7">
      <c r="E26" s="141"/>
      <c r="F26" s="141"/>
      <c r="G26" s="140"/>
    </row>
    <row r="27" spans="1:7">
      <c r="E27" s="142" t="s">
        <v>1234</v>
      </c>
      <c r="F27" s="142"/>
      <c r="G27" s="149">
        <f>IF(G8&gt;0, G8+G11+G14+G17+G18+G21+G22+G23+G24+G25,0)</f>
        <v>0</v>
      </c>
    </row>
    <row r="28" spans="1:7">
      <c r="E28" s="139"/>
      <c r="F28" s="139"/>
      <c r="G28" s="150"/>
    </row>
    <row r="29" spans="1:7">
      <c r="A29" s="142" t="s">
        <v>6049</v>
      </c>
      <c r="B29" s="154">
        <v>1.43</v>
      </c>
      <c r="E29" s="496" t="s">
        <v>4766</v>
      </c>
      <c r="F29" s="142"/>
      <c r="G29" s="149">
        <f>IF(G27&gt;0,G27*B29,0)</f>
        <v>0</v>
      </c>
    </row>
    <row r="30" spans="1:7">
      <c r="E30" s="138"/>
      <c r="F30" s="139"/>
    </row>
    <row r="31" spans="1:7">
      <c r="B31" s="141" t="s">
        <v>6048</v>
      </c>
      <c r="E31" s="138"/>
      <c r="F31" s="139"/>
    </row>
    <row r="32" spans="1:7">
      <c r="A32" s="151" t="s">
        <v>5791</v>
      </c>
      <c r="B32" s="155"/>
      <c r="E32" s="138"/>
      <c r="F32" s="139"/>
    </row>
    <row r="33" spans="1:7">
      <c r="A33" s="142" t="s">
        <v>336</v>
      </c>
      <c r="B33" s="156"/>
      <c r="E33" s="138"/>
      <c r="F33" s="139"/>
    </row>
    <row r="34" spans="1:7">
      <c r="A34" s="142" t="s">
        <v>337</v>
      </c>
      <c r="B34" s="157"/>
      <c r="E34" s="568" t="s">
        <v>1756</v>
      </c>
      <c r="F34" s="151"/>
      <c r="G34" s="569">
        <f>IF(B32&gt;0, B32+B33+B34,0)</f>
        <v>0</v>
      </c>
    </row>
  </sheetData>
  <sheetProtection algorithmName="SHA-512" hashValue="F5bP41nE9pvOvH3LR7bjDxaRKgWG8miJ5+ABso2o2+GdymoRgIbrr4DG5KpVPB4ofEH+FKafzAiM3bQTSwEvrg==" saltValue="NNHYSNI1KeETXD6spXeWZA==" spinCount="100000" sheet="1" objects="1" scenarios="1"/>
  <phoneticPr fontId="0" type="noConversion"/>
  <dataValidations count="3">
    <dataValidation allowBlank="1" showInputMessage="1" showErrorMessage="1" promptTitle="English Dimensions:" prompt="Place an &quot;X&quot; here if the dimensions are in english." sqref="B1"/>
    <dataValidation allowBlank="1" showInputMessage="1" showErrorMessage="1" promptTitle="Metric Dimensions:" prompt="Place an &quot;X&quot; here if the dimensions are in metric." sqref="B2"/>
    <dataValidation allowBlank="1" showInputMessage="1" showErrorMessage="1" promptTitle="Specific Gravity" prompt="Alum = 2.7_x000a_Brass = 8.6_x000a_Copper = 8.9_x000a_Steel = 7.9_x000a_St/Steel = 7.9" sqref="C8"/>
  </dataValidations>
  <hyperlinks>
    <hyperlink ref="I8" r:id="rId1"/>
    <hyperlink ref="I9" r:id="rId2"/>
    <hyperlink ref="I10" r:id="rId3"/>
    <hyperlink ref="I11" r:id="rId4"/>
    <hyperlink ref="I12" r:id="rId5"/>
    <hyperlink ref="I13" r:id="rId6"/>
  </hyperlinks>
  <printOptions gridLinesSet="0"/>
  <pageMargins left="0.15" right="0.15" top="1" bottom="0.5" header="0.5" footer="0.5"/>
  <pageSetup orientation="landscape" horizontalDpi="4294967292" verticalDpi="300" r:id="rId7"/>
  <headerFooter alignWithMargins="0">
    <oddHeader>&amp;L&amp;"Arial,Bold"&amp;12Quote Number &amp;F&amp;C&amp;"Arial,Bold"&amp;12Thermotech Insert Quote&amp;R&amp;"Arial,Bold"&amp;T      &amp;D</oddHeader>
  </headerFooter>
  <drawing r:id="rId8"/>
  <legacyDrawing r:id="rId9"/>
  <mc:AlternateContent xmlns:mc="http://schemas.openxmlformats.org/markup-compatibility/2006">
    <mc:Choice Requires="x14">
      <controls>
        <mc:AlternateContent xmlns:mc="http://schemas.openxmlformats.org/markup-compatibility/2006">
          <mc:Choice Requires="x14">
            <control shapeId="11265" r:id="rId10" name="Button 1">
              <controlPr defaultSize="0" print="0" autoFill="0" autoPict="0" macro="[0]!toquoteentry">
                <anchor moveWithCells="1" sizeWithCells="1">
                  <from>
                    <xdr:col>6</xdr:col>
                    <xdr:colOff>95250</xdr:colOff>
                    <xdr:row>36</xdr:row>
                    <xdr:rowOff>28575</xdr:rowOff>
                  </from>
                  <to>
                    <xdr:col>7</xdr:col>
                    <xdr:colOff>219075</xdr:colOff>
                    <xdr:row>38</xdr:row>
                    <xdr:rowOff>142875</xdr:rowOff>
                  </to>
                </anchor>
              </controlPr>
            </control>
          </mc:Choice>
        </mc:AlternateContent>
        <mc:AlternateContent xmlns:mc="http://schemas.openxmlformats.org/markup-compatibility/2006">
          <mc:Choice Requires="x14">
            <control shapeId="11266" r:id="rId11" name="Button 2">
              <controlPr defaultSize="0" print="0" autoFill="0" autoPict="0" macro="[0]!toquoteentry">
                <anchor moveWithCells="1" sizeWithCells="1">
                  <from>
                    <xdr:col>6</xdr:col>
                    <xdr:colOff>95250</xdr:colOff>
                    <xdr:row>0</xdr:row>
                    <xdr:rowOff>28575</xdr:rowOff>
                  </from>
                  <to>
                    <xdr:col>6</xdr:col>
                    <xdr:colOff>552450</xdr:colOff>
                    <xdr:row>1</xdr:row>
                    <xdr:rowOff>95250</xdr:rowOff>
                  </to>
                </anchor>
              </controlPr>
            </control>
          </mc:Choice>
        </mc:AlternateContent>
      </controls>
    </mc:Choice>
  </mc:AlternateConten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pageSetUpPr fitToPage="1"/>
  </sheetPr>
  <dimension ref="A1:N71"/>
  <sheetViews>
    <sheetView showGridLines="0" showZeros="0" zoomScale="75" workbookViewId="0">
      <selection activeCell="A27" sqref="A27:A31"/>
    </sheetView>
  </sheetViews>
  <sheetFormatPr defaultColWidth="10.7109375" defaultRowHeight="13.9" customHeight="1"/>
  <cols>
    <col min="1" max="1" width="14.7109375" style="34" customWidth="1"/>
    <col min="2" max="10" width="12.7109375" style="34" customWidth="1"/>
    <col min="11" max="16384" width="10.7109375" style="34"/>
  </cols>
  <sheetData>
    <row r="1" spans="1:14" ht="13.9" customHeight="1">
      <c r="A1" s="483"/>
      <c r="B1" s="483"/>
      <c r="C1" s="495"/>
      <c r="D1" s="483"/>
      <c r="E1" s="483"/>
      <c r="F1" s="483"/>
      <c r="G1" s="483"/>
      <c r="H1" s="483"/>
      <c r="I1" s="483"/>
      <c r="J1" s="483"/>
      <c r="K1" s="483"/>
      <c r="L1" s="87"/>
      <c r="M1" s="87"/>
      <c r="N1" s="483"/>
    </row>
    <row r="2" spans="1:14" ht="13.9" customHeight="1">
      <c r="A2" s="483"/>
      <c r="B2" s="483"/>
      <c r="C2" s="495"/>
      <c r="D2" s="87" t="str">
        <f>IF(QuoteEntryPlantNumber=2101,VSPlant2101Address1,IF(QuoteEntryPlantNumber=2103,VSPlant2103Address1,IF(QuoteEntryPlantNumber=2104,VSPlant2104Address1,"")))</f>
        <v>Thermotech Hopkins Operation</v>
      </c>
      <c r="E2" s="483"/>
      <c r="F2" s="483"/>
      <c r="G2" s="350" t="s">
        <v>4688</v>
      </c>
      <c r="H2" s="483"/>
      <c r="I2" s="483"/>
      <c r="J2" s="483"/>
      <c r="K2" s="483"/>
      <c r="L2" s="483"/>
      <c r="M2" s="483"/>
      <c r="N2" s="483"/>
    </row>
    <row r="3" spans="1:14" s="91" customFormat="1" ht="13.9" customHeight="1">
      <c r="A3" s="87"/>
      <c r="B3" s="86"/>
      <c r="C3" s="86"/>
      <c r="D3" s="87" t="str">
        <f>IF(QuoteEntryPlantNumber=2101,VSPlant2101Address2,IF(QuoteEntryPlantNumber=2103,VSPlant2103Address2,IF(QuoteEntryPlantNumber=2104,VSPlant2104Address1A,"")))</f>
        <v>1202 So. 5Th Street</v>
      </c>
      <c r="E3" s="86"/>
      <c r="F3" s="86"/>
      <c r="G3" s="87" t="str">
        <f>QuoteEntryQuoteNumber</f>
        <v>23276D</v>
      </c>
      <c r="H3" s="86"/>
      <c r="I3" s="86"/>
      <c r="J3" s="86"/>
      <c r="K3" s="87"/>
      <c r="L3" s="86"/>
      <c r="M3" s="86"/>
      <c r="N3" s="86"/>
    </row>
    <row r="4" spans="1:14" s="91" customFormat="1" ht="13.9" customHeight="1">
      <c r="A4" s="86"/>
      <c r="B4" s="86"/>
      <c r="C4" s="86"/>
      <c r="D4" s="87" t="str">
        <f>IF(QuoteEntryPlantNumber=2101,VSPlant2101Address3,IF(QuoteEntryPlantNumber=2103,VSPlant2103Address3,IF(QuoteEntryPlantNumber=2104,VSPlant2104Address2,"")))</f>
        <v>Hopkins, MN 55343-7878</v>
      </c>
      <c r="E4" s="86"/>
      <c r="F4" s="86"/>
      <c r="G4" s="1084" t="s">
        <v>1014</v>
      </c>
      <c r="H4" s="86"/>
      <c r="I4" s="86"/>
      <c r="J4" s="86"/>
      <c r="K4" s="483"/>
      <c r="L4" s="23"/>
      <c r="M4" s="23"/>
      <c r="N4" s="86"/>
    </row>
    <row r="5" spans="1:14" ht="13.9" customHeight="1">
      <c r="A5" s="483"/>
      <c r="B5" s="1088"/>
      <c r="C5" s="1088"/>
      <c r="D5" s="87" t="str">
        <f>IF(QuoteEntryPlantNumber=2101,VSPlant2101Address4,IF(QuoteEntryPlantNumber=2103,VSPlant2103Address4,IF(QuoteEntryPlantNumber=2104,VSPlant2104Address3,"")))</f>
        <v>Phone: 952-933-9400</v>
      </c>
      <c r="E5" s="483"/>
      <c r="F5" s="483"/>
      <c r="G5" s="1085">
        <f ca="1">NOW()</f>
        <v>41250.802090277779</v>
      </c>
      <c r="H5" s="483"/>
      <c r="I5" s="483"/>
      <c r="J5" s="483"/>
      <c r="K5" s="23"/>
      <c r="L5" s="1089"/>
      <c r="M5" s="23"/>
      <c r="N5" s="483"/>
    </row>
    <row r="6" spans="1:14" ht="13.9" customHeight="1">
      <c r="A6" s="483"/>
      <c r="B6" s="483"/>
      <c r="C6" s="115"/>
      <c r="D6" s="87" t="str">
        <f>IF(QuoteEntryPlantNumber=2101,VSPlant2101Address5,IF(QuoteEntryPlantNumber=2103,VSPlant2103Address5,IF(QuoteEntryPlantNumber=2104,VSPlant2104Address4,"")))</f>
        <v>Fax: 952-933-9412</v>
      </c>
      <c r="E6" s="483"/>
      <c r="F6" s="483"/>
      <c r="G6" s="350" t="s">
        <v>4532</v>
      </c>
      <c r="H6" s="483"/>
      <c r="I6" s="1088"/>
      <c r="J6" s="483"/>
      <c r="K6" s="23"/>
      <c r="L6" s="1090"/>
      <c r="M6" s="1090"/>
      <c r="N6" s="483"/>
    </row>
    <row r="7" spans="1:14" ht="13.9" customHeight="1">
      <c r="A7" s="114"/>
      <c r="B7" s="483"/>
      <c r="C7" s="115"/>
      <c r="D7" s="87" t="str">
        <f>IF(QuoteEntryPlantNumber=2104,VSPlant2104Address5,IF(QuoteEntryPlantNumber=2101,VSDuns2101,IF(QuoteEntryPlantNumber=2103,VSDuns2103,"")))</f>
        <v>Duns Number: 05-903-0239</v>
      </c>
      <c r="E7" s="483"/>
      <c r="F7" s="483"/>
      <c r="G7" s="87" t="str">
        <f>QECustInq</f>
        <v>6058</v>
      </c>
      <c r="H7" s="483"/>
      <c r="I7" s="92"/>
      <c r="J7" s="483"/>
      <c r="K7" s="23"/>
      <c r="L7" s="1091"/>
      <c r="M7" s="1089"/>
      <c r="N7" s="483"/>
    </row>
    <row r="8" spans="1:14" ht="13.9" customHeight="1">
      <c r="A8" s="483"/>
      <c r="B8" s="483"/>
      <c r="C8" s="115"/>
      <c r="D8" s="87" t="str">
        <f>IF(QuoteEntryPlantNumber=2104,VSDuns2104,"")</f>
        <v/>
      </c>
      <c r="E8" s="115"/>
      <c r="F8" s="483"/>
      <c r="G8" s="1084" t="s">
        <v>3221</v>
      </c>
      <c r="H8" s="483"/>
      <c r="I8" s="92"/>
      <c r="J8" s="483"/>
      <c r="K8" s="483"/>
      <c r="L8" s="483"/>
      <c r="M8" s="483"/>
      <c r="N8" s="483"/>
    </row>
    <row r="9" spans="1:14" ht="13.9" customHeight="1">
      <c r="A9" s="121" t="s">
        <v>3865</v>
      </c>
      <c r="B9" s="483"/>
      <c r="C9" s="116"/>
      <c r="D9" s="117"/>
      <c r="E9" s="116"/>
      <c r="F9" s="483"/>
      <c r="G9" s="87" t="s">
        <v>4922</v>
      </c>
      <c r="H9" s="483"/>
      <c r="I9" s="92"/>
      <c r="J9" s="483"/>
      <c r="K9" s="483"/>
      <c r="L9" s="483"/>
      <c r="M9" s="483"/>
      <c r="N9" s="483"/>
    </row>
    <row r="10" spans="1:14" ht="13.9" customHeight="1">
      <c r="A10" s="114" t="s">
        <v>1172</v>
      </c>
      <c r="B10" s="483"/>
      <c r="C10" s="116"/>
      <c r="D10" s="116"/>
      <c r="E10" s="117"/>
      <c r="F10" s="483"/>
      <c r="G10" s="123" t="s">
        <v>395</v>
      </c>
      <c r="H10" s="483"/>
      <c r="I10" s="1092"/>
      <c r="J10" s="483"/>
      <c r="K10" s="483"/>
      <c r="L10" s="483"/>
      <c r="M10" s="483"/>
      <c r="N10" s="483"/>
    </row>
    <row r="11" spans="1:14" ht="13.9" customHeight="1">
      <c r="A11" s="429" t="str">
        <f>QECustAttn</f>
        <v>Larry Burton</v>
      </c>
      <c r="B11" s="483"/>
      <c r="C11" s="116"/>
      <c r="D11" s="116"/>
      <c r="E11" s="116"/>
      <c r="F11" s="117"/>
      <c r="G11" s="1086" t="s">
        <v>396</v>
      </c>
      <c r="H11" s="483"/>
      <c r="I11" s="86"/>
      <c r="J11" s="483"/>
      <c r="K11" s="483"/>
      <c r="L11" s="483"/>
      <c r="M11" s="483"/>
      <c r="N11" s="483"/>
    </row>
    <row r="12" spans="1:14" ht="13.9" customHeight="1">
      <c r="A12" s="114" t="s">
        <v>3292</v>
      </c>
      <c r="B12" s="483"/>
      <c r="C12" s="116"/>
      <c r="D12" s="116"/>
      <c r="E12" s="116"/>
      <c r="F12" s="117"/>
      <c r="G12" s="87"/>
      <c r="H12" s="483"/>
      <c r="I12" s="86"/>
      <c r="J12" s="483"/>
      <c r="K12" s="483"/>
      <c r="L12" s="483"/>
      <c r="M12" s="483"/>
      <c r="N12" s="483"/>
    </row>
    <row r="13" spans="1:14" ht="13.9" customHeight="1">
      <c r="A13" s="114"/>
      <c r="B13" s="483"/>
      <c r="C13" s="116"/>
      <c r="D13" s="116"/>
      <c r="E13" s="116"/>
      <c r="F13" s="117"/>
      <c r="G13" s="483"/>
      <c r="H13" s="87"/>
      <c r="I13" s="86"/>
      <c r="J13" s="483"/>
      <c r="K13" s="483"/>
      <c r="L13" s="483"/>
      <c r="M13" s="483"/>
      <c r="N13" s="483"/>
    </row>
    <row r="14" spans="1:14" ht="13.9" customHeight="1">
      <c r="A14" s="114" t="s">
        <v>6228</v>
      </c>
      <c r="B14" s="483"/>
      <c r="C14" s="116"/>
      <c r="D14" s="116"/>
      <c r="E14" s="116"/>
      <c r="F14" s="117"/>
      <c r="G14" s="483"/>
      <c r="H14" s="87"/>
      <c r="I14" s="86"/>
      <c r="J14" s="483"/>
      <c r="K14" s="483"/>
      <c r="L14" s="483"/>
      <c r="M14" s="483"/>
      <c r="N14" s="483"/>
    </row>
    <row r="15" spans="1:14" ht="13.9" customHeight="1">
      <c r="A15" s="87"/>
      <c r="B15" s="86"/>
      <c r="C15" s="86"/>
      <c r="D15" s="86"/>
      <c r="E15" s="86"/>
      <c r="F15" s="86"/>
      <c r="G15" s="483"/>
      <c r="H15" s="502"/>
      <c r="I15" s="86"/>
      <c r="J15" s="483"/>
      <c r="K15" s="483"/>
      <c r="L15" s="483"/>
      <c r="M15" s="483"/>
      <c r="N15" s="483"/>
    </row>
    <row r="16" spans="1:14" s="91" customFormat="1" ht="13.9" customHeight="1">
      <c r="A16" s="93" t="s">
        <v>4529</v>
      </c>
      <c r="B16" s="94"/>
      <c r="C16" s="175" t="str">
        <f>QEPtNum</f>
        <v>HL328823</v>
      </c>
      <c r="D16" s="176"/>
      <c r="E16" s="177"/>
      <c r="F16" s="124"/>
      <c r="G16" s="87"/>
      <c r="H16" s="86"/>
      <c r="I16" s="86"/>
      <c r="J16" s="86"/>
      <c r="K16" s="86"/>
      <c r="L16" s="86"/>
      <c r="M16" s="86"/>
      <c r="N16" s="86"/>
    </row>
    <row r="17" spans="1:14" ht="13.9" customHeight="1">
      <c r="A17" s="95" t="s">
        <v>4530</v>
      </c>
      <c r="B17" s="92"/>
      <c r="C17" s="178">
        <f>QERevLevel</f>
        <v>0</v>
      </c>
      <c r="D17" s="179"/>
      <c r="E17" s="180"/>
      <c r="F17" s="125"/>
      <c r="G17" s="1093"/>
      <c r="H17" s="92"/>
      <c r="I17" s="92"/>
      <c r="J17" s="483"/>
      <c r="K17" s="483"/>
      <c r="L17" s="483"/>
      <c r="M17" s="483"/>
      <c r="N17" s="483"/>
    </row>
    <row r="18" spans="1:14" ht="13.9" customHeight="1">
      <c r="A18" s="95" t="s">
        <v>4531</v>
      </c>
      <c r="B18" s="92"/>
      <c r="C18" s="178" t="str">
        <f>QEPtName</f>
        <v>Adjust Screw</v>
      </c>
      <c r="D18" s="179"/>
      <c r="E18" s="180"/>
      <c r="F18" s="125"/>
      <c r="G18" s="86"/>
      <c r="H18" s="92"/>
      <c r="I18" s="92"/>
      <c r="J18" s="483"/>
      <c r="K18" s="483"/>
      <c r="L18" s="483"/>
      <c r="M18" s="483"/>
      <c r="N18" s="483"/>
    </row>
    <row r="19" spans="1:14" ht="13.9" customHeight="1">
      <c r="A19" s="95" t="s">
        <v>6192</v>
      </c>
      <c r="B19" s="92"/>
      <c r="C19" s="178" t="str">
        <f>IF(AND( QEMatType1="Resin", QEMatlOne&gt;0, QEMatlScrOne &lt;&gt; "2"), QEMatlOne,"")</f>
        <v>Fortron 1130L4 Black</v>
      </c>
      <c r="D19" s="179"/>
      <c r="E19" s="180"/>
      <c r="F19" s="125"/>
      <c r="G19" s="86"/>
      <c r="H19" s="92"/>
      <c r="I19" s="92"/>
      <c r="J19" s="483"/>
      <c r="K19" s="483"/>
      <c r="L19" s="483"/>
      <c r="M19" s="483"/>
      <c r="N19" s="483"/>
    </row>
    <row r="20" spans="1:14" ht="13.9" customHeight="1">
      <c r="A20" s="1196" t="str">
        <f>IF( QEMatType2="Resin", "Resin Scenario Two:","")</f>
        <v>Resin Scenario Two:</v>
      </c>
      <c r="B20" s="96"/>
      <c r="C20" s="181" t="str">
        <f xml:space="preserve"> IF(AND( QEMatType2="Resin", QEMatlTwo&gt;0,  QEMatlScrTwo &lt;&gt; "1"), QEMatlTwo, "")</f>
        <v/>
      </c>
      <c r="D20" s="182"/>
      <c r="E20" s="183"/>
      <c r="F20" s="126"/>
      <c r="G20" s="86"/>
      <c r="H20" s="92"/>
      <c r="I20" s="92"/>
      <c r="J20" s="483"/>
      <c r="K20" s="483"/>
      <c r="L20" s="483"/>
      <c r="M20" s="483"/>
      <c r="N20" s="483"/>
    </row>
    <row r="21" spans="1:14" ht="13.9" customHeight="1">
      <c r="A21" s="87"/>
      <c r="B21" s="86"/>
      <c r="C21" s="1094"/>
      <c r="D21" s="86"/>
      <c r="E21" s="1094"/>
      <c r="F21" s="86"/>
      <c r="G21" s="86"/>
      <c r="H21" s="92"/>
      <c r="I21" s="92"/>
      <c r="J21" s="483"/>
      <c r="K21" s="483"/>
      <c r="L21" s="483"/>
      <c r="M21" s="483"/>
      <c r="N21" s="483"/>
    </row>
    <row r="22" spans="1:14" ht="24" customHeight="1">
      <c r="A22" s="481" t="s">
        <v>3502</v>
      </c>
      <c r="B22" s="97" t="s">
        <v>2000</v>
      </c>
      <c r="C22" s="97" t="s">
        <v>2000</v>
      </c>
      <c r="D22" s="97" t="s">
        <v>2000</v>
      </c>
      <c r="E22" s="97" t="s">
        <v>2000</v>
      </c>
      <c r="F22" s="97" t="s">
        <v>2000</v>
      </c>
      <c r="G22" s="99"/>
      <c r="H22" s="1087" t="s">
        <v>1510</v>
      </c>
      <c r="I22" s="1087" t="s">
        <v>1257</v>
      </c>
      <c r="J22" s="86"/>
      <c r="K22" s="483"/>
      <c r="L22" s="483"/>
      <c r="M22" s="483"/>
      <c r="N22" s="483"/>
    </row>
    <row r="23" spans="1:14" s="91" customFormat="1" ht="16.5" customHeight="1">
      <c r="A23" s="482" t="s">
        <v>4842</v>
      </c>
      <c r="B23" s="98">
        <f>IF(AND(Quantity1&gt;0, QEDeselect1&lt;&gt;"X"),Quantity1,"")</f>
        <v>480000</v>
      </c>
      <c r="C23" s="98" t="str">
        <f>IF(AND(Quantity2&gt;0, QEDeselect2&lt;&gt;"X"),Quantity2,"")</f>
        <v/>
      </c>
      <c r="D23" s="98" t="str">
        <f>IF(AND(Quantity3&gt;0, QEDeselect3&lt;&gt;"X"),Quantity3,"")</f>
        <v/>
      </c>
      <c r="E23" s="98" t="str">
        <f>IF(AND(Quantity4&gt;0, QEDeselect4&lt;&gt;"X"),Quantity4,"")</f>
        <v/>
      </c>
      <c r="F23" s="98" t="str">
        <f>IF(AND(Quantity5&gt;0, QEDeselect5&lt;&gt;"X"),Quantity5,"")</f>
        <v/>
      </c>
      <c r="G23" s="100" t="s">
        <v>1012</v>
      </c>
      <c r="H23" s="100" t="s">
        <v>1013</v>
      </c>
      <c r="I23" s="100" t="s">
        <v>1258</v>
      </c>
      <c r="J23" s="86"/>
      <c r="K23" s="86"/>
      <c r="L23" s="86"/>
      <c r="M23" s="86"/>
      <c r="N23" s="86"/>
    </row>
    <row r="24" spans="1:14" s="91" customFormat="1" ht="12.75">
      <c r="A24" s="341" t="str">
        <f>CONCATENATE(CavityScr1, " Cavity(s)")</f>
        <v>8 Cavity(s)</v>
      </c>
      <c r="B24" s="342">
        <f>IF(QEDeselect1="x","",QEFinalPrice1/BaseQuantity)</f>
        <v>5.2693485737781938E-2</v>
      </c>
      <c r="C24" s="342">
        <f>IF(QEDeselect2="x","",QEFinalPrice2/BaseQuantity)</f>
        <v>0</v>
      </c>
      <c r="D24" s="342">
        <f>IF(QEDeselect3="x","",QEFinalPrice3/BaseQuantity)</f>
        <v>0</v>
      </c>
      <c r="E24" s="342">
        <f>IF(QEDeselect4="x","",QEFinalPrice4/BaseQuantity)</f>
        <v>0</v>
      </c>
      <c r="F24" s="342">
        <f>IF(QEDeselect5="x","",QEFinalPrice5/BaseQuantity)</f>
        <v>0</v>
      </c>
      <c r="G24" s="343" t="str">
        <f>IF(QEEstMoldPrice1&gt;0, QEEstMoldPrice1,"")</f>
        <v/>
      </c>
      <c r="H24" s="343" t="str">
        <f>IF(QEAutoPrice1&gt;0,QEAutoPrice1,"")</f>
        <v/>
      </c>
      <c r="I24" s="344" t="str">
        <f>IF(ScnOneToolLT&gt;0,CONCATENATE(ROUND(ScnOneToolLT,0)," Weeks"),"")</f>
        <v/>
      </c>
      <c r="J24" s="86"/>
      <c r="K24" s="86"/>
      <c r="L24" s="86"/>
      <c r="M24" s="86"/>
      <c r="N24" s="86"/>
    </row>
    <row r="25" spans="1:14" s="91" customFormat="1" ht="12.75">
      <c r="A25" s="1095" t="s">
        <v>1654</v>
      </c>
      <c r="B25" s="1096">
        <f>MinRel1</f>
        <v>80000</v>
      </c>
      <c r="C25" s="1096">
        <f>MinRel2</f>
        <v>0</v>
      </c>
      <c r="D25" s="1096">
        <f>MinRel3</f>
        <v>0</v>
      </c>
      <c r="E25" s="1096">
        <f>MinRel4</f>
        <v>0</v>
      </c>
      <c r="F25" s="1096">
        <f>MinRel5</f>
        <v>0</v>
      </c>
      <c r="G25" s="345"/>
      <c r="H25" s="345"/>
      <c r="I25" s="346"/>
      <c r="J25" s="86"/>
      <c r="K25" s="86"/>
      <c r="L25" s="86"/>
      <c r="M25" s="86"/>
      <c r="N25" s="86"/>
    </row>
    <row r="26" spans="1:14" s="91" customFormat="1" ht="12.75">
      <c r="A26" s="1095" t="s">
        <v>1655</v>
      </c>
      <c r="B26" s="1096">
        <f>MinShip1</f>
        <v>40000</v>
      </c>
      <c r="C26" s="1096">
        <f>MinShip2</f>
        <v>0</v>
      </c>
      <c r="D26" s="1096">
        <f>MinShip3</f>
        <v>0</v>
      </c>
      <c r="E26" s="1096">
        <f>MinShip4</f>
        <v>0</v>
      </c>
      <c r="F26" s="1096">
        <f>MinShip5</f>
        <v>0</v>
      </c>
      <c r="G26" s="345"/>
      <c r="H26" s="345"/>
      <c r="I26" s="346"/>
      <c r="J26" s="86"/>
      <c r="K26" s="86"/>
      <c r="L26" s="86"/>
      <c r="M26" s="86"/>
      <c r="N26" s="86"/>
    </row>
    <row r="27" spans="1:14" ht="24" hidden="1" customHeight="1">
      <c r="A27" s="481" t="s">
        <v>3502</v>
      </c>
      <c r="B27" s="97" t="s">
        <v>2000</v>
      </c>
      <c r="C27" s="97" t="s">
        <v>2000</v>
      </c>
      <c r="D27" s="97" t="s">
        <v>2000</v>
      </c>
      <c r="E27" s="97" t="s">
        <v>2000</v>
      </c>
      <c r="F27" s="97" t="s">
        <v>2000</v>
      </c>
      <c r="G27" s="99"/>
      <c r="H27" s="1087" t="s">
        <v>1510</v>
      </c>
      <c r="I27" s="1087" t="s">
        <v>1257</v>
      </c>
      <c r="J27" s="86"/>
      <c r="K27" s="483"/>
      <c r="L27" s="483"/>
      <c r="M27" s="483"/>
      <c r="N27" s="483"/>
    </row>
    <row r="28" spans="1:14" s="91" customFormat="1" ht="16.5" hidden="1" customHeight="1">
      <c r="A28" s="482" t="s">
        <v>4843</v>
      </c>
      <c r="B28" s="98" t="str">
        <f>IF(AND(Quantity6&gt;0, QEDeselect6&lt;&gt;"X"),Quantity6,"")</f>
        <v/>
      </c>
      <c r="C28" s="98" t="str">
        <f>IF(AND(Quantity7&gt;0, QEDeselect7&lt;&gt;"X"),Quantity7,"")</f>
        <v/>
      </c>
      <c r="D28" s="98" t="str">
        <f>IF(AND(Quantity8&gt;0, QEDeselect8&lt;&gt;"X"),Quantity8,"")</f>
        <v/>
      </c>
      <c r="E28" s="98" t="str">
        <f>IF(AND(Quantity9&gt;0, QEDeselect9&lt;&gt;"X"),Quantity9,"")</f>
        <v/>
      </c>
      <c r="F28" s="98" t="str">
        <f>IF(AND(Quantity10&gt;0, QEDeselect10&lt;&gt;"X"),Quantity10,"")</f>
        <v/>
      </c>
      <c r="G28" s="100" t="s">
        <v>1012</v>
      </c>
      <c r="H28" s="100" t="s">
        <v>1013</v>
      </c>
      <c r="I28" s="100" t="s">
        <v>1258</v>
      </c>
      <c r="J28" s="86"/>
      <c r="K28" s="86"/>
      <c r="L28" s="86"/>
      <c r="M28" s="86"/>
      <c r="N28" s="86"/>
    </row>
    <row r="29" spans="1:14" ht="13.9" hidden="1" customHeight="1">
      <c r="A29" s="341" t="str">
        <f>CONCATENATE(CavityScr2, " Cavity(s)")</f>
        <v xml:space="preserve"> Cavity(s)</v>
      </c>
      <c r="B29" s="342">
        <f>IF(QEDeselect6="x","",QEFinalPrice6/BaseQuantity)</f>
        <v>0</v>
      </c>
      <c r="C29" s="342">
        <f>IF(QEDeselect7="x","",QEFinalPrice7/BaseQuantity)</f>
        <v>0</v>
      </c>
      <c r="D29" s="342">
        <f>IF(QEDeselect8="x","",QEFinalPrice8/BaseQuantity)</f>
        <v>0</v>
      </c>
      <c r="E29" s="342">
        <f>IF(QEDeselect9="x","",QEFinalPrice9/BaseQuantity)</f>
        <v>0</v>
      </c>
      <c r="F29" s="342">
        <f>IF(QEDeselect10="x","",QEFinalPrice10/BaseQuantity)</f>
        <v>0</v>
      </c>
      <c r="G29" s="343" t="str">
        <f>IF(QEEstMoldPrice2&gt;0, QEEstMoldPrice2,"")</f>
        <v/>
      </c>
      <c r="H29" s="343" t="str">
        <f>IF(QEAutoPrice2&gt;0,QEAutoPrice2,"")</f>
        <v/>
      </c>
      <c r="I29" s="344" t="str">
        <f>IF(ScnTwoToolLT&gt;0,CONCATENATE(ROUND(ScnTwoToolLT,0)," Weeks"),"")</f>
        <v/>
      </c>
      <c r="J29" s="86"/>
      <c r="K29" s="483"/>
      <c r="L29" s="483"/>
      <c r="M29" s="483"/>
      <c r="N29" s="483"/>
    </row>
    <row r="30" spans="1:14" ht="13.9" hidden="1" customHeight="1">
      <c r="A30" s="1095" t="s">
        <v>1654</v>
      </c>
      <c r="B30" s="1096">
        <f>MinRel6</f>
        <v>0</v>
      </c>
      <c r="C30" s="1096">
        <f>MinRel7</f>
        <v>0</v>
      </c>
      <c r="D30" s="1096">
        <f>MinRel8</f>
        <v>0</v>
      </c>
      <c r="E30" s="1096">
        <f>MinRel9</f>
        <v>0</v>
      </c>
      <c r="F30" s="1096">
        <f>MinRel10</f>
        <v>0</v>
      </c>
      <c r="G30" s="339"/>
      <c r="H30" s="339"/>
      <c r="I30" s="340"/>
      <c r="J30" s="483"/>
      <c r="K30" s="483"/>
      <c r="L30" s="483"/>
      <c r="M30" s="483"/>
      <c r="N30" s="483"/>
    </row>
    <row r="31" spans="1:14" ht="13.9" hidden="1" customHeight="1">
      <c r="A31" s="1095" t="s">
        <v>1655</v>
      </c>
      <c r="B31" s="1096">
        <f>MinShip6</f>
        <v>0</v>
      </c>
      <c r="C31" s="1096">
        <f>MinShip7</f>
        <v>0</v>
      </c>
      <c r="D31" s="1096">
        <f>MinShip8</f>
        <v>0</v>
      </c>
      <c r="E31" s="1096">
        <f>MinShip9</f>
        <v>0</v>
      </c>
      <c r="F31" s="1096">
        <f>MinShip10</f>
        <v>0</v>
      </c>
      <c r="G31" s="339"/>
      <c r="H31" s="339"/>
      <c r="I31" s="340"/>
      <c r="J31" s="483"/>
      <c r="K31" s="483"/>
      <c r="L31" s="483"/>
      <c r="M31" s="483"/>
      <c r="N31" s="483"/>
    </row>
    <row r="32" spans="1:14" ht="13.9" customHeight="1">
      <c r="A32" s="1097" t="s">
        <v>5618</v>
      </c>
      <c r="B32" s="92"/>
      <c r="C32" s="92"/>
      <c r="D32" s="1098"/>
      <c r="E32" s="1092"/>
      <c r="F32" s="1094"/>
      <c r="G32" s="86"/>
      <c r="I32" s="92"/>
      <c r="J32" s="483"/>
      <c r="K32" s="483"/>
      <c r="L32" s="483"/>
      <c r="M32" s="483"/>
      <c r="N32" s="483"/>
    </row>
    <row r="33" spans="1:14" ht="13.9" customHeight="1">
      <c r="A33" s="1099" t="s">
        <v>4533</v>
      </c>
      <c r="B33" s="92"/>
      <c r="C33" s="92"/>
      <c r="D33" s="1098"/>
      <c r="E33" s="1092"/>
      <c r="F33" s="1094"/>
      <c r="G33" s="86"/>
      <c r="H33" s="92"/>
      <c r="I33" s="92"/>
      <c r="J33" s="483"/>
      <c r="K33" s="483"/>
      <c r="L33" s="483"/>
      <c r="M33" s="483"/>
      <c r="N33" s="483"/>
    </row>
    <row r="34" spans="1:14" ht="13.9" customHeight="1">
      <c r="A34" s="1097" t="str">
        <f>'Quote Entry'!C188</f>
        <v>Reference mold file 6058.</v>
      </c>
      <c r="B34" s="92"/>
      <c r="C34" s="92"/>
      <c r="D34" s="1098"/>
      <c r="E34" s="1092"/>
      <c r="F34" s="1094"/>
      <c r="G34" s="86"/>
      <c r="H34" s="92"/>
      <c r="I34" s="92"/>
      <c r="J34" s="483"/>
      <c r="K34" s="483"/>
      <c r="L34" s="483"/>
      <c r="M34" s="483"/>
      <c r="N34" s="483"/>
    </row>
    <row r="35" spans="1:14" ht="13.9" customHeight="1">
      <c r="A35" s="1097" t="str">
        <f>'Quote Entry'!C189</f>
        <v>The above stated minimum release(s) must be shipped within a 30 day period and be taken with the stated minimum shipment(s).</v>
      </c>
      <c r="B35" s="92"/>
      <c r="C35" s="92"/>
      <c r="D35" s="1098"/>
      <c r="E35" s="1092"/>
      <c r="F35" s="1094"/>
      <c r="G35" s="86"/>
      <c r="H35" s="92"/>
      <c r="I35" s="92"/>
      <c r="J35" s="483"/>
      <c r="K35" s="483"/>
      <c r="L35" s="483"/>
      <c r="M35" s="483"/>
      <c r="N35" s="483"/>
    </row>
    <row r="36" spans="1:14" ht="13.9" customHeight="1">
      <c r="A36" s="1097" t="str">
        <f>'Quote Entry'!C190</f>
        <v>All prices are F.O.B. sellers facility.</v>
      </c>
      <c r="B36" s="86"/>
      <c r="C36" s="1094"/>
      <c r="D36" s="86"/>
      <c r="E36" s="1094"/>
      <c r="F36" s="86"/>
      <c r="G36" s="86"/>
      <c r="H36" s="502"/>
      <c r="I36" s="92"/>
      <c r="J36" s="483"/>
      <c r="K36" s="483"/>
      <c r="L36" s="483"/>
      <c r="M36" s="483"/>
      <c r="N36" s="483"/>
    </row>
    <row r="37" spans="1:14" ht="13.9" customHeight="1">
      <c r="A37" s="1097" t="str">
        <f>'Quote Entry'!C191</f>
        <v>Parts will be bulk packed in poly-lined cartons for shipping.</v>
      </c>
      <c r="B37" s="86"/>
      <c r="C37" s="86"/>
      <c r="D37" s="86"/>
      <c r="E37" s="86"/>
      <c r="F37" s="86"/>
      <c r="G37" s="86"/>
      <c r="H37" s="86"/>
      <c r="I37" s="1092"/>
      <c r="J37" s="483"/>
      <c r="K37" s="483"/>
      <c r="L37" s="483"/>
      <c r="M37" s="483"/>
      <c r="N37" s="483"/>
    </row>
    <row r="38" spans="1:14" ht="13.9" customHeight="1">
      <c r="A38" s="1097">
        <f>'Quote Entry'!C192</f>
        <v>0</v>
      </c>
      <c r="B38" s="86"/>
      <c r="C38" s="86"/>
      <c r="D38" s="86"/>
      <c r="E38" s="86"/>
      <c r="F38" s="86"/>
      <c r="G38" s="86"/>
      <c r="H38" s="87"/>
      <c r="I38" s="86"/>
      <c r="J38" s="483"/>
      <c r="K38" s="483"/>
      <c r="L38" s="483"/>
      <c r="M38" s="483"/>
      <c r="N38" s="483"/>
    </row>
    <row r="39" spans="1:14" ht="13.9" customHeight="1">
      <c r="A39" s="1097">
        <f>'Quote Entry'!C193</f>
        <v>0</v>
      </c>
      <c r="B39" s="86"/>
      <c r="C39" s="86"/>
      <c r="D39" s="86"/>
      <c r="E39" s="86"/>
      <c r="F39" s="86"/>
      <c r="G39" s="86"/>
      <c r="H39" s="86"/>
      <c r="I39" s="86"/>
      <c r="J39" s="483"/>
      <c r="K39" s="483"/>
      <c r="L39" s="483"/>
      <c r="M39" s="483"/>
      <c r="N39" s="483"/>
    </row>
    <row r="40" spans="1:14" ht="13.9" customHeight="1">
      <c r="A40" s="1097">
        <f>'Quote Entry'!C194</f>
        <v>0</v>
      </c>
      <c r="B40" s="339"/>
      <c r="C40" s="502"/>
      <c r="D40" s="1100"/>
      <c r="E40" s="502"/>
      <c r="F40" s="1100"/>
      <c r="G40" s="86"/>
      <c r="H40" s="502"/>
      <c r="I40" s="86"/>
      <c r="J40" s="483"/>
      <c r="K40" s="483"/>
      <c r="L40" s="483"/>
      <c r="M40" s="483"/>
      <c r="N40" s="23"/>
    </row>
    <row r="41" spans="1:14" ht="13.9" customHeight="1">
      <c r="A41" s="1097">
        <f>'Quote Entry'!C195</f>
        <v>0</v>
      </c>
      <c r="B41" s="339"/>
      <c r="C41" s="502"/>
      <c r="D41" s="1100"/>
      <c r="E41" s="502"/>
      <c r="F41" s="494"/>
      <c r="G41" s="86"/>
      <c r="H41" s="502"/>
      <c r="I41" s="1101"/>
      <c r="J41" s="503"/>
      <c r="K41" s="340"/>
      <c r="L41" s="503"/>
      <c r="M41" s="495"/>
      <c r="N41" s="483"/>
    </row>
    <row r="42" spans="1:14" ht="13.9" customHeight="1">
      <c r="A42" s="1097">
        <f>'Quote Entry'!C196</f>
        <v>0</v>
      </c>
      <c r="B42" s="339"/>
      <c r="C42" s="502"/>
      <c r="D42" s="1100"/>
      <c r="E42" s="502"/>
      <c r="F42" s="92"/>
      <c r="G42" s="86"/>
      <c r="H42" s="502"/>
      <c r="I42" s="1101"/>
      <c r="J42" s="503"/>
      <c r="K42" s="340"/>
      <c r="L42" s="503"/>
      <c r="M42" s="495"/>
      <c r="N42" s="483"/>
    </row>
    <row r="43" spans="1:14" ht="13.9" customHeight="1">
      <c r="A43" s="1097">
        <f>'Quote Entry'!C197</f>
        <v>0</v>
      </c>
      <c r="B43" s="86"/>
      <c r="C43" s="502"/>
      <c r="D43" s="1100"/>
      <c r="E43" s="502"/>
      <c r="F43" s="339"/>
      <c r="G43" s="86"/>
      <c r="H43" s="86"/>
      <c r="I43" s="339"/>
      <c r="J43" s="503"/>
      <c r="K43" s="340"/>
      <c r="L43" s="503"/>
      <c r="M43" s="1088"/>
      <c r="N43" s="483"/>
    </row>
    <row r="44" spans="1:14" ht="13.9" customHeight="1">
      <c r="A44" s="1097">
        <f>'Quote Entry'!C198</f>
        <v>0</v>
      </c>
      <c r="B44" s="86"/>
      <c r="C44" s="502"/>
      <c r="D44" s="1100"/>
      <c r="E44" s="502"/>
      <c r="F44" s="339"/>
      <c r="G44" s="86"/>
      <c r="H44" s="86"/>
      <c r="I44" s="86"/>
      <c r="J44" s="503"/>
      <c r="K44" s="340"/>
      <c r="L44" s="503"/>
      <c r="M44" s="1082"/>
      <c r="N44" s="483"/>
    </row>
    <row r="45" spans="1:14" ht="13.9" customHeight="1">
      <c r="A45" s="1097">
        <f>'Quote Entry'!C199</f>
        <v>0</v>
      </c>
      <c r="B45" s="86"/>
      <c r="C45" s="502"/>
      <c r="D45" s="1100"/>
      <c r="E45" s="502"/>
      <c r="F45" s="339"/>
      <c r="G45" s="86"/>
      <c r="H45" s="86"/>
      <c r="I45" s="86"/>
      <c r="J45" s="503"/>
      <c r="K45" s="340"/>
      <c r="L45" s="503"/>
      <c r="M45" s="1082"/>
      <c r="N45" s="483"/>
    </row>
    <row r="46" spans="1:14" ht="13.9" customHeight="1">
      <c r="A46" s="1097">
        <f>'Quote Entry'!C200</f>
        <v>0</v>
      </c>
      <c r="B46" s="86"/>
      <c r="C46" s="502"/>
      <c r="D46" s="1100"/>
      <c r="E46" s="502"/>
      <c r="F46" s="1100"/>
      <c r="G46" s="86"/>
      <c r="H46" s="86"/>
      <c r="I46" s="86"/>
      <c r="J46" s="503"/>
      <c r="K46" s="340"/>
      <c r="L46" s="503"/>
      <c r="M46" s="339"/>
      <c r="N46" s="483"/>
    </row>
    <row r="47" spans="1:14" ht="13.9" customHeight="1">
      <c r="A47" s="1097">
        <f>'Quote Entry'!C201</f>
        <v>0</v>
      </c>
      <c r="B47" s="86"/>
      <c r="C47" s="502"/>
      <c r="D47" s="1100"/>
      <c r="E47" s="502"/>
      <c r="F47" s="1100"/>
      <c r="G47" s="86"/>
      <c r="H47" s="86"/>
      <c r="I47" s="86"/>
      <c r="J47" s="503"/>
      <c r="K47" s="1102"/>
      <c r="L47" s="503"/>
      <c r="M47" s="1103"/>
      <c r="N47" s="483"/>
    </row>
    <row r="48" spans="1:14" ht="13.9" customHeight="1">
      <c r="A48" s="1097">
        <f>'Quote Entry'!C202</f>
        <v>0</v>
      </c>
      <c r="B48" s="86"/>
      <c r="C48" s="86"/>
      <c r="D48" s="86"/>
      <c r="E48" s="86"/>
      <c r="F48" s="86"/>
      <c r="G48" s="86"/>
      <c r="H48" s="86"/>
      <c r="I48" s="86"/>
      <c r="J48" s="503"/>
      <c r="K48" s="340"/>
      <c r="L48" s="503"/>
      <c r="M48" s="1103"/>
      <c r="N48" s="483"/>
    </row>
    <row r="49" spans="1:14" ht="13.9" customHeight="1">
      <c r="A49" s="1097">
        <f>'Quote Entry'!C203</f>
        <v>0</v>
      </c>
      <c r="B49" s="86"/>
      <c r="C49" s="86"/>
      <c r="D49" s="86"/>
      <c r="E49" s="86"/>
      <c r="F49" s="86"/>
      <c r="G49" s="86"/>
      <c r="H49" s="86"/>
      <c r="I49" s="86"/>
      <c r="J49" s="483"/>
      <c r="K49" s="483"/>
      <c r="L49" s="483"/>
      <c r="M49" s="483"/>
      <c r="N49" s="483"/>
    </row>
    <row r="50" spans="1:14" ht="13.9" customHeight="1">
      <c r="A50" s="1097">
        <f>'Quote Entry'!C204</f>
        <v>0</v>
      </c>
      <c r="B50" s="86"/>
      <c r="C50" s="86"/>
      <c r="D50" s="86"/>
      <c r="E50" s="86"/>
      <c r="F50" s="86"/>
      <c r="G50" s="86"/>
      <c r="H50" s="86"/>
      <c r="I50" s="483"/>
      <c r="J50" s="483"/>
      <c r="K50" s="483"/>
      <c r="L50" s="483"/>
      <c r="M50" s="483"/>
      <c r="N50" s="483"/>
    </row>
    <row r="51" spans="1:14" ht="13.9" customHeight="1">
      <c r="A51" s="1097">
        <f>'Quote Entry'!C205</f>
        <v>0</v>
      </c>
      <c r="B51" s="28"/>
      <c r="C51" s="28"/>
      <c r="D51" s="86"/>
      <c r="E51" s="86"/>
      <c r="F51" s="423"/>
      <c r="G51" s="86"/>
      <c r="H51" s="86"/>
      <c r="I51" s="86"/>
      <c r="J51" s="483"/>
      <c r="K51" s="483"/>
      <c r="L51" s="483"/>
      <c r="M51" s="483"/>
      <c r="N51" s="483"/>
    </row>
    <row r="52" spans="1:14" ht="13.9" customHeight="1">
      <c r="A52" s="1097">
        <f>'Quote Entry'!C206</f>
        <v>0</v>
      </c>
      <c r="B52" s="28"/>
      <c r="C52" s="28"/>
      <c r="D52" s="86"/>
      <c r="E52" s="86"/>
      <c r="F52" s="423"/>
      <c r="G52" s="86"/>
      <c r="H52" s="86"/>
      <c r="I52" s="86"/>
      <c r="J52" s="483"/>
      <c r="K52" s="483"/>
      <c r="L52" s="483"/>
      <c r="M52" s="483"/>
      <c r="N52" s="483"/>
    </row>
    <row r="53" spans="1:14" ht="13.9" customHeight="1">
      <c r="A53" s="1097">
        <f>'Quote Entry'!C207</f>
        <v>0</v>
      </c>
      <c r="B53" s="28"/>
      <c r="C53" s="28"/>
      <c r="D53" s="86"/>
      <c r="E53" s="86"/>
      <c r="F53" s="423"/>
      <c r="G53" s="86"/>
      <c r="H53" s="86"/>
      <c r="I53" s="86"/>
      <c r="J53" s="483"/>
      <c r="K53" s="483"/>
      <c r="L53" s="483"/>
      <c r="M53" s="483"/>
      <c r="N53" s="483"/>
    </row>
    <row r="54" spans="1:14" ht="13.9" customHeight="1">
      <c r="A54" s="1097">
        <f>'Quote Entry'!C208</f>
        <v>0</v>
      </c>
      <c r="B54" s="28"/>
      <c r="C54" s="28"/>
      <c r="D54" s="86"/>
      <c r="E54" s="86"/>
      <c r="F54" s="423"/>
      <c r="G54" s="86"/>
      <c r="H54" s="86"/>
      <c r="I54" s="86"/>
      <c r="J54" s="483"/>
      <c r="K54" s="483"/>
      <c r="L54" s="483"/>
      <c r="M54" s="483"/>
      <c r="N54" s="483"/>
    </row>
    <row r="55" spans="1:14" ht="13.9" customHeight="1">
      <c r="A55" s="1097">
        <f>'Quote Entry'!C209</f>
        <v>0</v>
      </c>
      <c r="B55" s="28"/>
      <c r="C55" s="28"/>
      <c r="D55" s="86"/>
      <c r="E55" s="86"/>
      <c r="F55" s="423"/>
      <c r="G55" s="86"/>
      <c r="H55" s="86"/>
      <c r="I55" s="86"/>
      <c r="J55" s="483"/>
      <c r="K55" s="483"/>
      <c r="L55" s="483"/>
      <c r="M55" s="483"/>
      <c r="N55" s="483"/>
    </row>
    <row r="56" spans="1:14" ht="13.9" customHeight="1">
      <c r="A56" s="1097">
        <f>'Quote Entry'!C210</f>
        <v>0</v>
      </c>
      <c r="B56" s="1104"/>
      <c r="C56" s="1104"/>
      <c r="D56" s="86"/>
      <c r="E56" s="86"/>
      <c r="F56" s="86"/>
      <c r="G56" s="86"/>
      <c r="H56" s="86"/>
      <c r="I56" s="86"/>
      <c r="J56" s="483"/>
      <c r="K56" s="483"/>
      <c r="L56" s="483"/>
      <c r="M56" s="483"/>
      <c r="N56" s="483"/>
    </row>
    <row r="57" spans="1:14" ht="13.9" customHeight="1">
      <c r="A57" s="1097">
        <f>'Quote Entry'!C211</f>
        <v>0</v>
      </c>
      <c r="B57" s="1105"/>
      <c r="C57" s="1105"/>
      <c r="D57" s="86"/>
      <c r="E57" s="86"/>
      <c r="F57" s="86"/>
      <c r="G57" s="86"/>
      <c r="H57" s="86"/>
      <c r="I57" s="86"/>
      <c r="J57" s="483"/>
      <c r="K57" s="483"/>
      <c r="L57" s="483"/>
      <c r="M57" s="483"/>
      <c r="N57" s="483"/>
    </row>
    <row r="58" spans="1:14" ht="13.9" customHeight="1">
      <c r="A58" s="122" t="s">
        <v>6008</v>
      </c>
      <c r="B58" s="1106"/>
      <c r="C58" s="1106"/>
      <c r="D58" s="86"/>
      <c r="E58" s="86"/>
      <c r="F58" s="86"/>
      <c r="G58" s="86"/>
      <c r="H58" s="86"/>
      <c r="I58" s="86"/>
      <c r="J58" s="483"/>
      <c r="K58" s="483"/>
      <c r="L58" s="483"/>
      <c r="M58" s="483"/>
      <c r="N58" s="483"/>
    </row>
    <row r="59" spans="1:14" ht="12.75">
      <c r="A59" s="123" t="s">
        <v>1975</v>
      </c>
      <c r="B59" s="86"/>
      <c r="C59" s="86"/>
      <c r="D59" s="86"/>
      <c r="E59" s="86"/>
      <c r="F59" s="86"/>
      <c r="G59" s="86"/>
      <c r="H59" s="86"/>
      <c r="I59" s="87"/>
      <c r="J59" s="483"/>
      <c r="K59" s="483"/>
      <c r="L59" s="483"/>
      <c r="M59" s="483"/>
      <c r="N59" s="483"/>
    </row>
    <row r="60" spans="1:14" ht="12.75">
      <c r="A60" s="1108" t="s">
        <v>3790</v>
      </c>
      <c r="B60" s="86"/>
      <c r="C60" s="86"/>
      <c r="D60" s="86"/>
      <c r="E60" s="86"/>
      <c r="F60" s="86"/>
      <c r="G60" s="86"/>
      <c r="H60" s="86"/>
      <c r="I60" s="87"/>
      <c r="J60" s="483"/>
      <c r="K60" s="483"/>
      <c r="L60" s="483"/>
      <c r="M60" s="483"/>
      <c r="N60" s="483"/>
    </row>
    <row r="61" spans="1:14" ht="12.75">
      <c r="A61" s="1108" t="s">
        <v>4025</v>
      </c>
      <c r="B61" s="86"/>
      <c r="C61" s="86"/>
      <c r="D61" s="86"/>
      <c r="E61" s="86"/>
      <c r="F61" s="86"/>
      <c r="G61" s="86"/>
      <c r="H61" s="86"/>
      <c r="I61" s="86"/>
      <c r="J61" s="483"/>
      <c r="K61" s="483"/>
      <c r="L61" s="483"/>
      <c r="M61" s="483"/>
      <c r="N61" s="483"/>
    </row>
    <row r="62" spans="1:14" ht="12.75">
      <c r="A62" s="1108" t="s">
        <v>1771</v>
      </c>
      <c r="B62" s="86"/>
      <c r="C62" s="86"/>
      <c r="D62" s="86"/>
      <c r="E62" s="86"/>
      <c r="F62" s="86"/>
      <c r="G62" s="86"/>
      <c r="H62" s="86"/>
      <c r="I62" s="86"/>
      <c r="J62" s="483"/>
      <c r="K62" s="483"/>
      <c r="L62" s="483"/>
      <c r="M62" s="483"/>
      <c r="N62" s="483"/>
    </row>
    <row r="63" spans="1:14" ht="12.75">
      <c r="A63" s="1108" t="s">
        <v>582</v>
      </c>
      <c r="B63" s="86"/>
      <c r="C63" s="86"/>
      <c r="D63" s="86"/>
      <c r="E63" s="86"/>
      <c r="F63" s="86"/>
      <c r="G63" s="86"/>
      <c r="H63" s="86"/>
      <c r="I63" s="86"/>
      <c r="J63" s="483"/>
      <c r="K63" s="483"/>
      <c r="L63" s="483"/>
      <c r="M63" s="483"/>
      <c r="N63" s="483"/>
    </row>
    <row r="64" spans="1:14" ht="12.75">
      <c r="A64" s="1109" t="s">
        <v>3671</v>
      </c>
      <c r="B64" s="86"/>
      <c r="C64" s="86"/>
      <c r="D64" s="86"/>
      <c r="E64" s="86"/>
      <c r="F64" s="86"/>
      <c r="G64" s="86"/>
      <c r="H64" s="86"/>
      <c r="I64" s="86"/>
      <c r="J64" s="483"/>
      <c r="K64" s="483"/>
      <c r="L64" s="483"/>
      <c r="M64" s="483"/>
      <c r="N64" s="483"/>
    </row>
    <row r="65" spans="1:14" ht="13.9" customHeight="1">
      <c r="A65" s="483"/>
      <c r="B65" s="483"/>
      <c r="C65" s="483"/>
      <c r="D65" s="483"/>
      <c r="E65" s="483"/>
      <c r="F65" s="483"/>
      <c r="G65" s="87"/>
      <c r="H65" s="87"/>
      <c r="I65" s="86"/>
      <c r="J65" s="483"/>
      <c r="K65" s="483"/>
      <c r="L65" s="483"/>
      <c r="M65" s="483"/>
      <c r="N65" s="483"/>
    </row>
    <row r="66" spans="1:14" ht="13.9" customHeight="1">
      <c r="A66" s="105" t="s">
        <v>2966</v>
      </c>
      <c r="B66" s="101"/>
      <c r="C66" s="102"/>
      <c r="D66" s="105" t="s">
        <v>1114</v>
      </c>
      <c r="E66" s="101"/>
      <c r="F66" s="102"/>
      <c r="G66" s="133" t="s">
        <v>764</v>
      </c>
      <c r="H66" s="102"/>
      <c r="I66" s="86"/>
      <c r="J66" s="483"/>
      <c r="K66" s="483"/>
      <c r="L66" s="483"/>
      <c r="M66" s="483"/>
      <c r="N66" s="483"/>
    </row>
    <row r="67" spans="1:14" ht="13.9" customHeight="1">
      <c r="A67" s="103" t="s">
        <v>5879</v>
      </c>
      <c r="B67" s="87"/>
      <c r="C67" s="104"/>
      <c r="D67" s="103" t="s">
        <v>5879</v>
      </c>
      <c r="E67" s="87"/>
      <c r="F67" s="104"/>
      <c r="G67" s="103" t="s">
        <v>4666</v>
      </c>
      <c r="H67" s="104"/>
      <c r="I67" s="86"/>
      <c r="J67" s="483"/>
      <c r="K67" s="483"/>
      <c r="L67" s="483"/>
      <c r="M67" s="483"/>
      <c r="N67" s="483"/>
    </row>
    <row r="68" spans="1:14" ht="13.9" customHeight="1">
      <c r="A68" s="1172" t="s">
        <v>5654</v>
      </c>
      <c r="B68" s="1173" t="s">
        <v>4710</v>
      </c>
      <c r="C68" s="1174"/>
      <c r="D68" s="1170" t="s">
        <v>5654</v>
      </c>
      <c r="E68" s="1171" t="s">
        <v>4710</v>
      </c>
      <c r="F68" s="1174"/>
      <c r="G68" s="1245" t="str">
        <f>QEProdLT</f>
        <v>4 to 6</v>
      </c>
      <c r="H68" s="1246"/>
      <c r="I68" s="86"/>
      <c r="J68" s="483"/>
      <c r="K68" s="483"/>
      <c r="L68" s="483"/>
      <c r="M68" s="483"/>
      <c r="N68" s="483"/>
    </row>
    <row r="69" spans="1:14" ht="13.9" customHeight="1">
      <c r="A69" s="1247" t="s">
        <v>3521</v>
      </c>
      <c r="B69" s="1247"/>
      <c r="C69" s="1247"/>
      <c r="D69" s="1247"/>
      <c r="E69" s="1247"/>
      <c r="F69" s="1247"/>
      <c r="G69" s="1247"/>
      <c r="H69" s="1247"/>
      <c r="I69" s="86"/>
      <c r="J69" s="483"/>
      <c r="K69" s="483"/>
      <c r="L69" s="483"/>
      <c r="M69" s="483"/>
      <c r="N69" s="483"/>
    </row>
    <row r="70" spans="1:14" ht="13.9" customHeight="1">
      <c r="A70" s="483"/>
      <c r="B70" s="483"/>
      <c r="C70" s="483"/>
      <c r="D70" s="483"/>
      <c r="E70" s="483"/>
      <c r="F70" s="483"/>
      <c r="G70" s="483"/>
      <c r="H70" s="483"/>
      <c r="I70" s="86"/>
      <c r="J70" s="483"/>
      <c r="K70" s="483"/>
      <c r="L70" s="483"/>
      <c r="M70" s="483"/>
      <c r="N70" s="483"/>
    </row>
    <row r="71" spans="1:14" ht="13.9" customHeight="1">
      <c r="A71" s="483"/>
      <c r="B71" s="483"/>
      <c r="C71" s="483"/>
      <c r="D71" s="483"/>
      <c r="E71" s="483"/>
      <c r="F71" s="483"/>
      <c r="G71" s="483"/>
      <c r="H71" s="483"/>
      <c r="I71" s="483"/>
      <c r="J71" s="483"/>
      <c r="K71" s="483"/>
      <c r="L71" s="483"/>
      <c r="M71" s="483"/>
      <c r="N71" s="483"/>
    </row>
  </sheetData>
  <sheetProtection algorithmName="SHA-512" hashValue="4ORAOgAH+7IQ9c6WDitSmdpE/YYaWvtGz2H+ZhNroOpeEFQZqad8gOYLvo8Oz5OOdW532PZv5nCBGBQdlCwAeQ==" saltValue="qQHHpIlNe9tACNKxBrFggw==" spinCount="100000" sheet="1" objects="1" scenarios="1"/>
  <mergeCells count="2">
    <mergeCell ref="G68:H68"/>
    <mergeCell ref="A69:H69"/>
  </mergeCells>
  <phoneticPr fontId="0" type="noConversion"/>
  <dataValidations disablePrompts="1" xWindow="225" yWindow="68" count="6">
    <dataValidation type="decimal" allowBlank="1" showInputMessage="1" showErrorMessage="1" promptTitle="Specific Gravity" prompt="Enter specific gravity of material being quoted." sqref="C1">
      <formula1>0</formula1>
      <formula2>10</formula2>
    </dataValidation>
    <dataValidation type="decimal" allowBlank="1" showInputMessage="1" showErrorMessage="1" promptTitle="Runner Diameter" prompt="Enter the estimated average runner diameter." sqref="L5">
      <formula1>0</formula1>
      <formula2>1.5</formula2>
    </dataValidation>
    <dataValidation type="decimal" allowBlank="1" showInputMessage="1" showErrorMessage="1" promptTitle="Estimated Runner length" prompt="Enter the estimated runner length" sqref="L6:M6">
      <formula1>0</formula1>
      <formula2>1000</formula2>
    </dataValidation>
    <dataValidation allowBlank="1" showInputMessage="1" showErrorMessage="1" promptTitle="Calculated Runner Weight" prompt="Calculated runner weight per thousand runners." sqref="L7:M7"/>
    <dataValidation allowBlank="1" showInputMessage="1" showErrorMessage="1" promptTitle="Actual Tool Price For Quotation" sqref="F45"/>
    <dataValidation allowBlank="1" showInputMessage="1" showErrorMessage="1" promptTitle="Min Release and Ship Values" prompt="The calculated values may be changed.  If you choose to change the calculated value, the new value must be greater than the calculated values." sqref="B25:F26 B30:F31"/>
  </dataValidations>
  <printOptions horizontalCentered="1"/>
  <pageMargins left="0.5" right="0.1" top="0.5" bottom="0.1" header="0.1" footer="0.1"/>
  <pageSetup scale="78" orientation="portrait" horizontalDpi="4294967292" verticalDpi="300" r:id="rId1"/>
  <headerFooter alignWithMargins="0"/>
  <drawing r:id="rId2"/>
  <legacyDrawing r:id="rId3"/>
  <oleObjects>
    <mc:AlternateContent xmlns:mc="http://schemas.openxmlformats.org/markup-compatibility/2006">
      <mc:Choice Requires="x14">
        <oleObject progId="MSPhotoEd.3" shapeId="39944" r:id="rId4">
          <objectPr defaultSize="0" autoPict="0" r:id="rId5">
            <anchor moveWithCells="1">
              <from>
                <xdr:col>0</xdr:col>
                <xdr:colOff>0</xdr:colOff>
                <xdr:row>0</xdr:row>
                <xdr:rowOff>0</xdr:rowOff>
              </from>
              <to>
                <xdr:col>2</xdr:col>
                <xdr:colOff>514350</xdr:colOff>
                <xdr:row>7</xdr:row>
                <xdr:rowOff>161925</xdr:rowOff>
              </to>
            </anchor>
          </objectPr>
        </oleObject>
      </mc:Choice>
      <mc:Fallback>
        <oleObject progId="MSPhotoEd.3" shapeId="39944" r:id="rId4"/>
      </mc:Fallback>
    </mc:AlternateContent>
  </oleObjects>
  <mc:AlternateContent xmlns:mc="http://schemas.openxmlformats.org/markup-compatibility/2006">
    <mc:Choice Requires="x14">
      <controls>
        <mc:AlternateContent xmlns:mc="http://schemas.openxmlformats.org/markup-compatibility/2006">
          <mc:Choice Requires="x14">
            <control shapeId="39937" r:id="rId6" name="Button 1">
              <controlPr defaultSize="0" print="0" autoFill="0" autoPict="0" macro="[0]!toquoteentry">
                <anchor moveWithCells="1" sizeWithCells="1">
                  <from>
                    <xdr:col>6</xdr:col>
                    <xdr:colOff>9525</xdr:colOff>
                    <xdr:row>15</xdr:row>
                    <xdr:rowOff>0</xdr:rowOff>
                  </from>
                  <to>
                    <xdr:col>6</xdr:col>
                    <xdr:colOff>695325</xdr:colOff>
                    <xdr:row>16</xdr:row>
                    <xdr:rowOff>57150</xdr:rowOff>
                  </to>
                </anchor>
              </controlPr>
            </control>
          </mc:Choice>
        </mc:AlternateContent>
      </controls>
    </mc:Choice>
  </mc:AlternateConten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pageSetUpPr fitToPage="1"/>
  </sheetPr>
  <dimension ref="A1:R199"/>
  <sheetViews>
    <sheetView showGridLines="0" showZeros="0" zoomScale="75" zoomScaleNormal="50" workbookViewId="0">
      <selection activeCell="H1" sqref="H1"/>
    </sheetView>
  </sheetViews>
  <sheetFormatPr defaultColWidth="15.7109375" defaultRowHeight="11.25"/>
  <cols>
    <col min="1" max="1" width="19.28515625" style="34" customWidth="1"/>
    <col min="2" max="4" width="15.7109375" style="34" customWidth="1"/>
    <col min="5" max="5" width="19.5703125" style="110" customWidth="1"/>
    <col min="6" max="9" width="15.7109375" style="34" customWidth="1"/>
    <col min="10" max="10" width="17" style="34" customWidth="1"/>
    <col min="11" max="16384" width="15.7109375" style="34"/>
  </cols>
  <sheetData>
    <row r="1" spans="1:11" s="110" customFormat="1" ht="25.5">
      <c r="A1" s="422" t="s">
        <v>3089</v>
      </c>
      <c r="B1" s="505">
        <v>1</v>
      </c>
      <c r="C1" s="422" t="s">
        <v>3090</v>
      </c>
      <c r="D1" s="505">
        <v>1</v>
      </c>
      <c r="E1" s="422" t="s">
        <v>3091</v>
      </c>
      <c r="F1" s="511">
        <f>IF(CSDimType="Inches",((CSCalcVolume)*(CSSpecificGravity*VSCIMultiplier)*BaseQuantity),IF(CSDimType="Metric",((CSCalcVolume/FSMetricConv)*(CSSpecificGravity*VSCIMultiplier)*BaseQuantity)))</f>
        <v>0</v>
      </c>
      <c r="G1" s="422" t="s">
        <v>3092</v>
      </c>
      <c r="H1" s="511">
        <f>IF(CSActualPtWt&gt;0,CSActualPtWt,CSCalcPtWt)</f>
        <v>1</v>
      </c>
    </row>
    <row r="2" spans="1:11" s="110" customFormat="1">
      <c r="C2" s="472"/>
      <c r="E2" s="158"/>
      <c r="J2" s="120"/>
      <c r="K2" s="486"/>
    </row>
    <row r="3" spans="1:11" s="110" customFormat="1" ht="12.75">
      <c r="A3" s="422" t="s">
        <v>5995</v>
      </c>
      <c r="B3" s="498" t="s">
        <v>5996</v>
      </c>
      <c r="C3" s="420" t="s">
        <v>1391</v>
      </c>
      <c r="D3" s="506"/>
      <c r="E3" s="421" t="s">
        <v>3709</v>
      </c>
      <c r="F3" s="509"/>
      <c r="G3" s="123" t="s">
        <v>4702</v>
      </c>
      <c r="H3" s="17"/>
      <c r="I3" s="17" t="s">
        <v>1938</v>
      </c>
      <c r="J3" s="120"/>
      <c r="K3" s="486"/>
    </row>
    <row r="4" spans="1:11" s="110" customFormat="1" ht="12.75">
      <c r="A4" s="422"/>
      <c r="B4" s="113"/>
      <c r="C4" s="420" t="s">
        <v>1392</v>
      </c>
      <c r="D4" s="507"/>
      <c r="E4" s="421" t="s">
        <v>1393</v>
      </c>
      <c r="F4" s="510">
        <f>IF(CSGrams&gt;0,(CSGrams/VSGramConversion)*BaseQuantity,0)</f>
        <v>0</v>
      </c>
      <c r="G4" s="218" t="s">
        <v>3086</v>
      </c>
      <c r="H4" s="512"/>
      <c r="I4" s="112"/>
      <c r="J4" s="120"/>
      <c r="K4" s="486"/>
    </row>
    <row r="5" spans="1:11" s="110" customFormat="1" ht="12.75">
      <c r="C5" s="420" t="s">
        <v>1393</v>
      </c>
      <c r="D5" s="508" t="str">
        <f>IF(CSCIVol&gt;0,FSWgtCIVol,IF(CSMetricVol&gt;0,FSWgtMetricVol,""))</f>
        <v/>
      </c>
      <c r="G5" s="218" t="s">
        <v>3087</v>
      </c>
      <c r="H5" s="513"/>
      <c r="I5" s="513"/>
      <c r="J5" s="120"/>
      <c r="K5" s="486"/>
    </row>
    <row r="6" spans="1:11" s="110" customFormat="1" ht="12.75">
      <c r="G6" s="218" t="s">
        <v>3088</v>
      </c>
      <c r="H6" s="476">
        <f>FSRunWtCalc1</f>
        <v>0</v>
      </c>
      <c r="I6" s="476">
        <f>FSRunWtCalc2</f>
        <v>0</v>
      </c>
      <c r="J6" s="120"/>
      <c r="K6" s="486"/>
    </row>
    <row r="7" spans="1:11" s="91" customFormat="1" ht="12.75">
      <c r="A7" s="111"/>
      <c r="G7" s="422" t="s">
        <v>2027</v>
      </c>
      <c r="H7" s="514">
        <v>0.25</v>
      </c>
      <c r="I7" s="158"/>
      <c r="J7" s="120"/>
      <c r="K7" s="486"/>
    </row>
    <row r="8" spans="1:11" s="91" customFormat="1" ht="12.75">
      <c r="A8" s="111"/>
      <c r="G8" s="422"/>
      <c r="H8" s="424"/>
      <c r="I8" s="158"/>
      <c r="J8" s="120"/>
      <c r="K8" s="486"/>
    </row>
    <row r="9" spans="1:11" s="141" customFormat="1" ht="12.75">
      <c r="A9" s="487" t="s">
        <v>3775</v>
      </c>
      <c r="B9" s="425"/>
      <c r="C9" s="188"/>
      <c r="D9" s="188"/>
      <c r="E9" s="188" t="s">
        <v>2182</v>
      </c>
      <c r="F9" s="188" t="s">
        <v>5743</v>
      </c>
      <c r="G9" s="425" t="s">
        <v>1077</v>
      </c>
      <c r="H9" s="188" t="s">
        <v>4199</v>
      </c>
      <c r="J9" s="515"/>
      <c r="K9" s="516"/>
    </row>
    <row r="10" spans="1:11" s="483" customFormat="1" ht="12.75" hidden="1">
      <c r="A10" s="517" t="s">
        <v>3774</v>
      </c>
      <c r="B10" s="505"/>
      <c r="C10" s="505"/>
      <c r="D10" s="505"/>
      <c r="E10" s="518"/>
      <c r="F10" s="519">
        <f t="shared" ref="F10:F19" si="0">B10*C10*D10*E10</f>
        <v>0</v>
      </c>
      <c r="G10" s="520"/>
      <c r="H10" s="521">
        <f t="shared" ref="H10:H19" si="1">IF(G10="A",F10,0) + IF(G10="S",-F10,0)</f>
        <v>0</v>
      </c>
      <c r="J10" s="503"/>
      <c r="K10" s="522"/>
    </row>
    <row r="11" spans="1:11" s="483" customFormat="1" ht="12.75" hidden="1">
      <c r="A11" s="517" t="s">
        <v>3774</v>
      </c>
      <c r="B11" s="505"/>
      <c r="C11" s="505"/>
      <c r="D11" s="505"/>
      <c r="E11" s="518"/>
      <c r="F11" s="519">
        <f t="shared" si="0"/>
        <v>0</v>
      </c>
      <c r="G11" s="520"/>
      <c r="H11" s="521">
        <f t="shared" si="1"/>
        <v>0</v>
      </c>
      <c r="J11" s="503"/>
      <c r="K11" s="522"/>
    </row>
    <row r="12" spans="1:11" s="483" customFormat="1" ht="12.75" hidden="1">
      <c r="A12" s="517" t="s">
        <v>3774</v>
      </c>
      <c r="B12" s="505"/>
      <c r="C12" s="505"/>
      <c r="D12" s="505"/>
      <c r="E12" s="518"/>
      <c r="F12" s="519">
        <f t="shared" si="0"/>
        <v>0</v>
      </c>
      <c r="G12" s="520"/>
      <c r="H12" s="521">
        <f t="shared" si="1"/>
        <v>0</v>
      </c>
      <c r="J12" s="503"/>
      <c r="K12" s="522"/>
    </row>
    <row r="13" spans="1:11" s="483" customFormat="1" ht="12.75" hidden="1">
      <c r="A13" s="517" t="s">
        <v>3774</v>
      </c>
      <c r="B13" s="505"/>
      <c r="C13" s="505"/>
      <c r="D13" s="505"/>
      <c r="E13" s="518"/>
      <c r="F13" s="519">
        <f t="shared" si="0"/>
        <v>0</v>
      </c>
      <c r="G13" s="520"/>
      <c r="H13" s="521">
        <f t="shared" si="1"/>
        <v>0</v>
      </c>
      <c r="J13" s="503"/>
      <c r="K13" s="522"/>
    </row>
    <row r="14" spans="1:11" s="483" customFormat="1" ht="12.75" hidden="1">
      <c r="A14" s="517" t="s">
        <v>3774</v>
      </c>
      <c r="B14" s="505"/>
      <c r="C14" s="505"/>
      <c r="D14" s="505"/>
      <c r="E14" s="518"/>
      <c r="F14" s="519">
        <f t="shared" si="0"/>
        <v>0</v>
      </c>
      <c r="G14" s="520"/>
      <c r="H14" s="521">
        <f t="shared" si="1"/>
        <v>0</v>
      </c>
      <c r="J14" s="503"/>
      <c r="K14" s="522"/>
    </row>
    <row r="15" spans="1:11" s="483" customFormat="1" ht="12.75" hidden="1">
      <c r="A15" s="517" t="s">
        <v>3774</v>
      </c>
      <c r="B15" s="505"/>
      <c r="C15" s="505"/>
      <c r="D15" s="505"/>
      <c r="E15" s="518"/>
      <c r="F15" s="519">
        <f t="shared" si="0"/>
        <v>0</v>
      </c>
      <c r="G15" s="520"/>
      <c r="H15" s="521">
        <f t="shared" si="1"/>
        <v>0</v>
      </c>
      <c r="J15" s="502"/>
      <c r="K15" s="523"/>
    </row>
    <row r="16" spans="1:11" s="483" customFormat="1" ht="12.75" hidden="1">
      <c r="A16" s="517" t="s">
        <v>3774</v>
      </c>
      <c r="B16" s="505"/>
      <c r="C16" s="505"/>
      <c r="D16" s="505"/>
      <c r="E16" s="518"/>
      <c r="F16" s="519">
        <f t="shared" si="0"/>
        <v>0</v>
      </c>
      <c r="G16" s="520"/>
      <c r="H16" s="521">
        <f t="shared" si="1"/>
        <v>0</v>
      </c>
      <c r="J16" s="503"/>
      <c r="K16" s="522"/>
    </row>
    <row r="17" spans="1:11" s="483" customFormat="1" ht="12.75" hidden="1">
      <c r="A17" s="517" t="s">
        <v>3774</v>
      </c>
      <c r="B17" s="505"/>
      <c r="C17" s="505"/>
      <c r="D17" s="505"/>
      <c r="E17" s="518"/>
      <c r="F17" s="519">
        <f t="shared" si="0"/>
        <v>0</v>
      </c>
      <c r="G17" s="520"/>
      <c r="H17" s="521">
        <f t="shared" si="1"/>
        <v>0</v>
      </c>
      <c r="J17" s="503"/>
      <c r="K17" s="522"/>
    </row>
    <row r="18" spans="1:11" s="483" customFormat="1" ht="12.75" hidden="1">
      <c r="A18" s="517" t="s">
        <v>3774</v>
      </c>
      <c r="B18" s="505"/>
      <c r="C18" s="505"/>
      <c r="D18" s="505"/>
      <c r="E18" s="518"/>
      <c r="F18" s="519">
        <f t="shared" si="0"/>
        <v>0</v>
      </c>
      <c r="G18" s="520"/>
      <c r="H18" s="521">
        <f t="shared" si="1"/>
        <v>0</v>
      </c>
      <c r="J18" s="503"/>
      <c r="K18" s="522"/>
    </row>
    <row r="19" spans="1:11" s="483" customFormat="1" ht="14.25" hidden="1" customHeight="1">
      <c r="A19" s="517" t="s">
        <v>3774</v>
      </c>
      <c r="B19" s="505"/>
      <c r="C19" s="505"/>
      <c r="D19" s="505"/>
      <c r="E19" s="518"/>
      <c r="F19" s="519">
        <f t="shared" si="0"/>
        <v>0</v>
      </c>
      <c r="G19" s="509"/>
      <c r="H19" s="521">
        <f t="shared" si="1"/>
        <v>0</v>
      </c>
      <c r="J19" s="503"/>
      <c r="K19" s="522"/>
    </row>
    <row r="20" spans="1:11" s="483" customFormat="1" ht="12.75">
      <c r="A20" s="487" t="s">
        <v>3776</v>
      </c>
      <c r="F20" s="48"/>
      <c r="J20" s="503"/>
      <c r="K20" s="522"/>
    </row>
    <row r="21" spans="1:11" s="86" customFormat="1" ht="12.75" hidden="1">
      <c r="A21" s="517" t="s">
        <v>3777</v>
      </c>
      <c r="B21" s="505"/>
      <c r="C21" s="491"/>
      <c r="D21" s="505"/>
      <c r="E21" s="518"/>
      <c r="F21" s="492">
        <f t="shared" ref="F21:F30" si="2">(B21^2)*0.7854*D21*E21</f>
        <v>0</v>
      </c>
      <c r="G21" s="520"/>
      <c r="H21" s="521">
        <f t="shared" ref="H21:H30" si="3">IF(G21="A",F21,0) + IF(G21="S",-F21,0)</f>
        <v>0</v>
      </c>
      <c r="J21" s="503"/>
      <c r="K21" s="522"/>
    </row>
    <row r="22" spans="1:11" s="483" customFormat="1" ht="12.75" hidden="1">
      <c r="A22" s="517" t="s">
        <v>3777</v>
      </c>
      <c r="B22" s="505"/>
      <c r="C22" s="491"/>
      <c r="D22" s="505"/>
      <c r="E22" s="518"/>
      <c r="F22" s="492">
        <f t="shared" si="2"/>
        <v>0</v>
      </c>
      <c r="G22" s="520"/>
      <c r="H22" s="521">
        <f t="shared" si="3"/>
        <v>0</v>
      </c>
      <c r="J22" s="503"/>
      <c r="K22" s="522"/>
    </row>
    <row r="23" spans="1:11" s="483" customFormat="1" ht="12.75" hidden="1">
      <c r="A23" s="517" t="s">
        <v>3777</v>
      </c>
      <c r="B23" s="505"/>
      <c r="C23" s="491"/>
      <c r="D23" s="505"/>
      <c r="E23" s="518"/>
      <c r="F23" s="492">
        <f t="shared" si="2"/>
        <v>0</v>
      </c>
      <c r="G23" s="520"/>
      <c r="H23" s="521">
        <f t="shared" si="3"/>
        <v>0</v>
      </c>
      <c r="J23" s="503"/>
      <c r="K23" s="522"/>
    </row>
    <row r="24" spans="1:11" s="483" customFormat="1" ht="12.75" hidden="1">
      <c r="A24" s="517" t="s">
        <v>3777</v>
      </c>
      <c r="B24" s="505"/>
      <c r="C24" s="491"/>
      <c r="D24" s="505"/>
      <c r="E24" s="518"/>
      <c r="F24" s="492">
        <f t="shared" si="2"/>
        <v>0</v>
      </c>
      <c r="G24" s="520"/>
      <c r="H24" s="521">
        <f t="shared" si="3"/>
        <v>0</v>
      </c>
      <c r="J24" s="503"/>
      <c r="K24" s="522"/>
    </row>
    <row r="25" spans="1:11" s="483" customFormat="1" ht="12.75" hidden="1">
      <c r="A25" s="517" t="s">
        <v>3777</v>
      </c>
      <c r="B25" s="505"/>
      <c r="C25" s="491"/>
      <c r="D25" s="505"/>
      <c r="E25" s="518"/>
      <c r="F25" s="492">
        <f t="shared" si="2"/>
        <v>0</v>
      </c>
      <c r="G25" s="520"/>
      <c r="H25" s="521">
        <f t="shared" si="3"/>
        <v>0</v>
      </c>
    </row>
    <row r="26" spans="1:11" s="483" customFormat="1" ht="12.75" hidden="1">
      <c r="A26" s="517" t="s">
        <v>3777</v>
      </c>
      <c r="B26" s="505"/>
      <c r="C26" s="491"/>
      <c r="D26" s="505"/>
      <c r="E26" s="518"/>
      <c r="F26" s="492">
        <f t="shared" si="2"/>
        <v>0</v>
      </c>
      <c r="G26" s="520"/>
      <c r="H26" s="521">
        <f t="shared" si="3"/>
        <v>0</v>
      </c>
    </row>
    <row r="27" spans="1:11" s="483" customFormat="1" ht="12.75" hidden="1">
      <c r="A27" s="517" t="s">
        <v>3777</v>
      </c>
      <c r="B27" s="505"/>
      <c r="C27" s="491"/>
      <c r="D27" s="505"/>
      <c r="E27" s="518"/>
      <c r="F27" s="492">
        <f t="shared" si="2"/>
        <v>0</v>
      </c>
      <c r="G27" s="520"/>
      <c r="H27" s="521">
        <f t="shared" si="3"/>
        <v>0</v>
      </c>
    </row>
    <row r="28" spans="1:11" s="483" customFormat="1" ht="12.75" hidden="1">
      <c r="A28" s="517" t="s">
        <v>3777</v>
      </c>
      <c r="B28" s="505"/>
      <c r="C28" s="491"/>
      <c r="D28" s="505"/>
      <c r="E28" s="518"/>
      <c r="F28" s="492">
        <f t="shared" si="2"/>
        <v>0</v>
      </c>
      <c r="G28" s="520"/>
      <c r="H28" s="521">
        <f t="shared" si="3"/>
        <v>0</v>
      </c>
    </row>
    <row r="29" spans="1:11" s="483" customFormat="1" ht="13.5" hidden="1" customHeight="1">
      <c r="A29" s="517" t="s">
        <v>3777</v>
      </c>
      <c r="B29" s="505"/>
      <c r="C29" s="491"/>
      <c r="D29" s="505"/>
      <c r="E29" s="518"/>
      <c r="F29" s="492">
        <f t="shared" si="2"/>
        <v>0</v>
      </c>
      <c r="G29" s="520"/>
      <c r="H29" s="521">
        <f t="shared" si="3"/>
        <v>0</v>
      </c>
    </row>
    <row r="30" spans="1:11" s="483" customFormat="1" ht="13.5" hidden="1" customHeight="1">
      <c r="A30" s="517" t="s">
        <v>3777</v>
      </c>
      <c r="B30" s="505"/>
      <c r="C30" s="491"/>
      <c r="D30" s="505"/>
      <c r="E30" s="518"/>
      <c r="F30" s="492">
        <f t="shared" si="2"/>
        <v>0</v>
      </c>
      <c r="G30" s="509"/>
      <c r="H30" s="521">
        <f t="shared" si="3"/>
        <v>0</v>
      </c>
    </row>
    <row r="31" spans="1:11" s="483" customFormat="1" ht="12" customHeight="1">
      <c r="A31" s="487" t="s">
        <v>3778</v>
      </c>
      <c r="B31" s="423"/>
      <c r="C31" s="423"/>
      <c r="D31" s="423"/>
      <c r="E31" s="423"/>
      <c r="F31" s="426"/>
      <c r="G31" s="423"/>
      <c r="H31" s="423"/>
      <c r="I31" s="423"/>
    </row>
    <row r="32" spans="1:11" s="483" customFormat="1" ht="12.75" hidden="1">
      <c r="A32" s="517" t="s">
        <v>3779</v>
      </c>
      <c r="B32" s="505"/>
      <c r="C32" s="505"/>
      <c r="D32" s="505"/>
      <c r="E32" s="518"/>
      <c r="F32" s="493">
        <f t="shared" ref="F32:F41" si="4">((B32^2)-(C32^2))*0.7854*D32*E32</f>
        <v>0</v>
      </c>
      <c r="G32" s="520"/>
      <c r="H32" s="521">
        <f t="shared" ref="H32:H41" si="5">IF(G32="A",F32,0) + IF(G32="S",-F32,0)</f>
        <v>0</v>
      </c>
    </row>
    <row r="33" spans="1:12" s="86" customFormat="1" ht="12.75" hidden="1">
      <c r="A33" s="517" t="s">
        <v>3779</v>
      </c>
      <c r="B33" s="505"/>
      <c r="C33" s="505"/>
      <c r="D33" s="505"/>
      <c r="E33" s="518"/>
      <c r="F33" s="493">
        <f t="shared" si="4"/>
        <v>0</v>
      </c>
      <c r="G33" s="520"/>
      <c r="H33" s="521">
        <f t="shared" si="5"/>
        <v>0</v>
      </c>
      <c r="L33" s="494"/>
    </row>
    <row r="34" spans="1:12" s="483" customFormat="1" ht="12.75" hidden="1">
      <c r="A34" s="517" t="s">
        <v>3779</v>
      </c>
      <c r="B34" s="505"/>
      <c r="C34" s="505"/>
      <c r="D34" s="505"/>
      <c r="E34" s="518"/>
      <c r="F34" s="493">
        <f t="shared" si="4"/>
        <v>0</v>
      </c>
      <c r="G34" s="520"/>
      <c r="H34" s="521">
        <f t="shared" si="5"/>
        <v>0</v>
      </c>
      <c r="L34" s="495"/>
    </row>
    <row r="35" spans="1:12" s="483" customFormat="1" ht="12.75" hidden="1">
      <c r="A35" s="517" t="s">
        <v>3779</v>
      </c>
      <c r="B35" s="505"/>
      <c r="C35" s="505"/>
      <c r="D35" s="505"/>
      <c r="E35" s="518"/>
      <c r="F35" s="493">
        <f t="shared" si="4"/>
        <v>0</v>
      </c>
      <c r="G35" s="520"/>
      <c r="H35" s="521">
        <f t="shared" si="5"/>
        <v>0</v>
      </c>
    </row>
    <row r="36" spans="1:12" s="483" customFormat="1" ht="12.75" hidden="1">
      <c r="A36" s="517" t="s">
        <v>3779</v>
      </c>
      <c r="B36" s="505"/>
      <c r="C36" s="505"/>
      <c r="D36" s="505"/>
      <c r="E36" s="518"/>
      <c r="F36" s="493">
        <f t="shared" si="4"/>
        <v>0</v>
      </c>
      <c r="G36" s="520"/>
      <c r="H36" s="521">
        <f t="shared" si="5"/>
        <v>0</v>
      </c>
    </row>
    <row r="37" spans="1:12" s="483" customFormat="1" ht="12.75" hidden="1">
      <c r="A37" s="517" t="s">
        <v>3779</v>
      </c>
      <c r="B37" s="505"/>
      <c r="C37" s="505"/>
      <c r="D37" s="505"/>
      <c r="E37" s="518"/>
      <c r="F37" s="493">
        <f t="shared" si="4"/>
        <v>0</v>
      </c>
      <c r="G37" s="520"/>
      <c r="H37" s="521">
        <f t="shared" si="5"/>
        <v>0</v>
      </c>
    </row>
    <row r="38" spans="1:12" s="483" customFormat="1" ht="12.75" hidden="1">
      <c r="A38" s="517" t="s">
        <v>3779</v>
      </c>
      <c r="B38" s="505"/>
      <c r="C38" s="505"/>
      <c r="D38" s="505"/>
      <c r="E38" s="518"/>
      <c r="F38" s="493">
        <f t="shared" si="4"/>
        <v>0</v>
      </c>
      <c r="G38" s="520"/>
      <c r="H38" s="521">
        <f t="shared" si="5"/>
        <v>0</v>
      </c>
    </row>
    <row r="39" spans="1:12" s="483" customFormat="1" ht="12.75" hidden="1">
      <c r="A39" s="517" t="s">
        <v>3779</v>
      </c>
      <c r="B39" s="505"/>
      <c r="C39" s="505"/>
      <c r="D39" s="505"/>
      <c r="E39" s="518"/>
      <c r="F39" s="493">
        <f t="shared" si="4"/>
        <v>0</v>
      </c>
      <c r="G39" s="520"/>
      <c r="H39" s="521">
        <f t="shared" si="5"/>
        <v>0</v>
      </c>
    </row>
    <row r="40" spans="1:12" s="483" customFormat="1" ht="12.75" hidden="1">
      <c r="A40" s="517" t="s">
        <v>3779</v>
      </c>
      <c r="B40" s="505"/>
      <c r="C40" s="505"/>
      <c r="D40" s="505"/>
      <c r="E40" s="518"/>
      <c r="F40" s="493">
        <f t="shared" si="4"/>
        <v>0</v>
      </c>
      <c r="G40" s="520"/>
      <c r="H40" s="521">
        <f t="shared" si="5"/>
        <v>0</v>
      </c>
    </row>
    <row r="41" spans="1:12" s="483" customFormat="1" ht="12.75" hidden="1">
      <c r="A41" s="517" t="s">
        <v>3779</v>
      </c>
      <c r="B41" s="505"/>
      <c r="C41" s="505"/>
      <c r="D41" s="505"/>
      <c r="E41" s="518"/>
      <c r="F41" s="493">
        <f t="shared" si="4"/>
        <v>0</v>
      </c>
      <c r="G41" s="509"/>
      <c r="H41" s="521">
        <f t="shared" si="5"/>
        <v>0</v>
      </c>
    </row>
    <row r="42" spans="1:12" s="483" customFormat="1" ht="12.75">
      <c r="A42" s="487" t="s">
        <v>3780</v>
      </c>
      <c r="B42" s="423"/>
      <c r="C42" s="423"/>
      <c r="D42" s="423"/>
      <c r="E42" s="423"/>
      <c r="F42" s="426"/>
      <c r="G42" s="423"/>
      <c r="H42" s="423"/>
      <c r="I42" s="423"/>
    </row>
    <row r="43" spans="1:12" s="483" customFormat="1" ht="12.75" hidden="1">
      <c r="A43" s="517" t="s">
        <v>3781</v>
      </c>
      <c r="B43" s="505"/>
      <c r="C43" s="518"/>
      <c r="D43" s="524"/>
      <c r="E43" s="490"/>
      <c r="F43" s="525">
        <f t="shared" ref="F43:F48" si="6">(B43^3)*0.5236 *C43</f>
        <v>0</v>
      </c>
      <c r="G43" s="520"/>
      <c r="H43" s="521">
        <f t="shared" ref="H43:H48" si="7">IF(G43="A",F43,0) + IF(G43="S",-F43,0)</f>
        <v>0</v>
      </c>
    </row>
    <row r="44" spans="1:12" s="483" customFormat="1" ht="12.75" hidden="1">
      <c r="A44" s="517" t="s">
        <v>3781</v>
      </c>
      <c r="B44" s="505"/>
      <c r="C44" s="518"/>
      <c r="D44" s="524"/>
      <c r="E44" s="490"/>
      <c r="F44" s="525">
        <f t="shared" si="6"/>
        <v>0</v>
      </c>
      <c r="G44" s="520"/>
      <c r="H44" s="521">
        <f t="shared" si="7"/>
        <v>0</v>
      </c>
    </row>
    <row r="45" spans="1:12" s="483" customFormat="1" ht="12.75" hidden="1">
      <c r="A45" s="517" t="s">
        <v>3781</v>
      </c>
      <c r="B45" s="505"/>
      <c r="C45" s="518"/>
      <c r="D45" s="524"/>
      <c r="E45" s="490"/>
      <c r="F45" s="525">
        <f t="shared" si="6"/>
        <v>0</v>
      </c>
      <c r="G45" s="520"/>
      <c r="H45" s="521">
        <f t="shared" si="7"/>
        <v>0</v>
      </c>
    </row>
    <row r="46" spans="1:12" s="483" customFormat="1" ht="12.75" hidden="1">
      <c r="A46" s="517" t="s">
        <v>3781</v>
      </c>
      <c r="B46" s="505"/>
      <c r="C46" s="518"/>
      <c r="D46" s="524"/>
      <c r="E46" s="490"/>
      <c r="F46" s="525">
        <f t="shared" si="6"/>
        <v>0</v>
      </c>
      <c r="G46" s="520"/>
      <c r="H46" s="521">
        <f t="shared" si="7"/>
        <v>0</v>
      </c>
    </row>
    <row r="47" spans="1:12" s="483" customFormat="1" ht="12.75" hidden="1">
      <c r="A47" s="517" t="s">
        <v>3781</v>
      </c>
      <c r="B47" s="505"/>
      <c r="C47" s="518"/>
      <c r="D47" s="524"/>
      <c r="E47" s="490"/>
      <c r="F47" s="525">
        <f t="shared" si="6"/>
        <v>0</v>
      </c>
      <c r="G47" s="520"/>
      <c r="H47" s="521">
        <f t="shared" si="7"/>
        <v>0</v>
      </c>
    </row>
    <row r="48" spans="1:12" s="483" customFormat="1" ht="12.75" hidden="1">
      <c r="A48" s="517" t="s">
        <v>3781</v>
      </c>
      <c r="B48" s="505"/>
      <c r="C48" s="505"/>
      <c r="D48" s="524"/>
      <c r="F48" s="525">
        <f t="shared" si="6"/>
        <v>0</v>
      </c>
      <c r="G48" s="509"/>
      <c r="H48" s="521">
        <f t="shared" si="7"/>
        <v>0</v>
      </c>
    </row>
    <row r="49" spans="1:10" s="483" customFormat="1" ht="12.75">
      <c r="A49" s="487" t="s">
        <v>3783</v>
      </c>
      <c r="B49" s="526"/>
      <c r="C49" s="527"/>
      <c r="D49" s="526"/>
      <c r="E49" s="528"/>
      <c r="F49" s="529"/>
      <c r="G49" s="530"/>
      <c r="H49" s="531"/>
    </row>
    <row r="50" spans="1:10" hidden="1">
      <c r="A50" s="473" t="s">
        <v>3782</v>
      </c>
      <c r="B50" s="497"/>
      <c r="C50" s="497"/>
      <c r="D50" s="500"/>
      <c r="E50" s="34"/>
      <c r="F50" s="471">
        <f>(B50^2)*0.2618 * C50 * D50</f>
        <v>0</v>
      </c>
      <c r="G50" s="501"/>
      <c r="H50" s="470">
        <f>IF(G50="A",F50,0) + IF(G50="S",-F50,0)</f>
        <v>0</v>
      </c>
    </row>
    <row r="51" spans="1:10" hidden="1">
      <c r="A51" s="473" t="s">
        <v>3782</v>
      </c>
      <c r="B51" s="497"/>
      <c r="C51" s="497"/>
      <c r="D51" s="500"/>
      <c r="E51" s="34"/>
      <c r="F51" s="471">
        <f>(B51^2)*0.2618 * C51 * D51</f>
        <v>0</v>
      </c>
      <c r="G51" s="501"/>
      <c r="H51" s="470">
        <f>IF(G51="A",F51,0) + IF(G51="S",-F51,0)</f>
        <v>0</v>
      </c>
    </row>
    <row r="52" spans="1:10" hidden="1">
      <c r="A52" s="473" t="s">
        <v>3782</v>
      </c>
      <c r="B52" s="497"/>
      <c r="C52" s="497"/>
      <c r="D52" s="500"/>
      <c r="E52" s="34"/>
      <c r="F52" s="471">
        <f>(B52^2)*0.2618 * C52 * D52</f>
        <v>0</v>
      </c>
      <c r="G52" s="501"/>
      <c r="H52" s="470">
        <f>IF(G52="A",F52,0) + IF(G52="S",-F52,0)</f>
        <v>0</v>
      </c>
      <c r="J52" s="118"/>
    </row>
    <row r="53" spans="1:10" hidden="1">
      <c r="A53" s="473" t="s">
        <v>3782</v>
      </c>
      <c r="B53" s="497"/>
      <c r="C53" s="497"/>
      <c r="D53" s="500"/>
      <c r="E53" s="34"/>
      <c r="F53" s="471">
        <f>(B53^2)*0.2618 * C53 * D53</f>
        <v>0</v>
      </c>
      <c r="G53" s="501"/>
      <c r="H53" s="470">
        <f>IF(G53="A",F53,0) + IF(G53="S",-F53,0)</f>
        <v>0</v>
      </c>
    </row>
    <row r="54" spans="1:10" ht="12.75">
      <c r="D54" s="35"/>
      <c r="E54" s="34"/>
      <c r="F54" s="35"/>
      <c r="G54" s="420" t="s">
        <v>3093</v>
      </c>
      <c r="H54" s="511">
        <f>SUM(H10:H53)</f>
        <v>0</v>
      </c>
    </row>
    <row r="55" spans="1:10">
      <c r="D55" s="35"/>
      <c r="E55" s="34"/>
      <c r="F55" s="35"/>
    </row>
    <row r="56" spans="1:10" ht="13.5" customHeight="1"/>
    <row r="57" spans="1:10" s="1142" customFormat="1" ht="12.75" customHeight="1">
      <c r="A57" s="1248" t="s">
        <v>2669</v>
      </c>
      <c r="B57" s="1248"/>
      <c r="C57" s="1248"/>
      <c r="D57" s="1248"/>
      <c r="E57" s="715"/>
    </row>
    <row r="58" spans="1:10" s="91" customFormat="1" ht="15.75">
      <c r="A58" s="1141"/>
      <c r="B58" s="1144" t="s">
        <v>951</v>
      </c>
      <c r="C58" s="715"/>
      <c r="D58" s="1143" t="s">
        <v>952</v>
      </c>
      <c r="F58" s="1143" t="s">
        <v>4233</v>
      </c>
    </row>
    <row r="59" spans="1:10" ht="12.75">
      <c r="A59" s="1145"/>
      <c r="B59" s="1146"/>
      <c r="D59" s="483"/>
      <c r="E59" s="34"/>
    </row>
    <row r="60" spans="1:10" s="91" customFormat="1" ht="12.75">
      <c r="A60" s="138" t="s">
        <v>2977</v>
      </c>
      <c r="B60" s="499"/>
      <c r="C60" s="138" t="s">
        <v>2977</v>
      </c>
      <c r="D60" s="1147"/>
      <c r="E60" s="503" t="s">
        <v>2588</v>
      </c>
      <c r="F60" s="538"/>
    </row>
    <row r="61" spans="1:10" s="91" customFormat="1" ht="12.75" customHeight="1">
      <c r="A61" s="138" t="s">
        <v>950</v>
      </c>
      <c r="B61" s="499"/>
      <c r="C61" s="138" t="s">
        <v>950</v>
      </c>
      <c r="D61" s="499"/>
      <c r="E61" s="502" t="s">
        <v>2663</v>
      </c>
      <c r="F61" s="1148"/>
    </row>
    <row r="62" spans="1:10" s="91" customFormat="1" ht="12.75">
      <c r="A62" s="138" t="s">
        <v>2665</v>
      </c>
      <c r="B62" s="713"/>
      <c r="C62" s="138" t="s">
        <v>2664</v>
      </c>
      <c r="D62" s="1147"/>
      <c r="E62" s="502" t="s">
        <v>1271</v>
      </c>
      <c r="F62" s="1148"/>
    </row>
    <row r="63" spans="1:10" s="91" customFormat="1" ht="12.75">
      <c r="A63" s="138" t="s">
        <v>2666</v>
      </c>
      <c r="B63" s="713"/>
      <c r="C63" s="138" t="s">
        <v>2664</v>
      </c>
      <c r="D63" s="1147"/>
      <c r="E63" s="502" t="s">
        <v>343</v>
      </c>
      <c r="F63" s="1148"/>
    </row>
    <row r="64" spans="1:10" s="91" customFormat="1" ht="12.75">
      <c r="A64" s="138" t="s">
        <v>2665</v>
      </c>
      <c r="B64" s="713"/>
      <c r="C64" s="138" t="s">
        <v>2664</v>
      </c>
      <c r="D64" s="1147"/>
      <c r="E64" s="502" t="s">
        <v>4234</v>
      </c>
      <c r="F64" s="1148"/>
    </row>
    <row r="65" spans="1:18" s="91" customFormat="1" ht="12.75">
      <c r="A65" s="138" t="s">
        <v>2666</v>
      </c>
      <c r="B65" s="713"/>
      <c r="C65" s="138" t="s">
        <v>1653</v>
      </c>
      <c r="D65" s="1149"/>
      <c r="E65" s="502" t="s">
        <v>1452</v>
      </c>
      <c r="F65" s="1150">
        <f>CSAveWall*CSCoolTime*CSMatlFill</f>
        <v>0</v>
      </c>
    </row>
    <row r="66" spans="1:18" s="91" customFormat="1" ht="12.75">
      <c r="A66" s="138" t="s">
        <v>2665</v>
      </c>
      <c r="B66" s="713"/>
      <c r="C66" s="496" t="s">
        <v>2667</v>
      </c>
      <c r="D66" s="219">
        <f>IF(_CSD61="Two Plate",(((((_CSD62/2)^2)*3.14)*CS2PlateRDStart)*1.3) + (((((_CSD63/2)^2)*3.14)*CS2PlateRDStart)*1.3)  +  (((((CSD64A/2)^2)*3.14)*CS2PlateRDStart)*1.3),     ((((_CSD62/2)^2)*3.14)*CS2PlateRDStart) +  ((((_CSD63/2)^2)*3.14)*CS2PlateRDStart)  + ((((CSD64A/2)^2)*3.14)*CS2PlateRDStart) )</f>
        <v>0</v>
      </c>
      <c r="E66" s="502" t="s">
        <v>2587</v>
      </c>
      <c r="F66" s="1148"/>
    </row>
    <row r="67" spans="1:18" ht="12.75">
      <c r="A67" s="138" t="s">
        <v>2666</v>
      </c>
      <c r="B67" s="713"/>
      <c r="C67" s="496" t="s">
        <v>2668</v>
      </c>
      <c r="D67" s="714">
        <f>(D66*D65)/2000</f>
        <v>0</v>
      </c>
      <c r="E67" s="420" t="s">
        <v>2589</v>
      </c>
      <c r="F67" s="1150">
        <f>SUM(CSFillTime:CSEjectTime)</f>
        <v>0</v>
      </c>
    </row>
    <row r="68" spans="1:18" ht="12.75">
      <c r="A68" s="138" t="s">
        <v>1653</v>
      </c>
      <c r="B68" s="454"/>
      <c r="E68" s="34"/>
    </row>
    <row r="69" spans="1:18" ht="12.75">
      <c r="A69" s="496" t="s">
        <v>2667</v>
      </c>
      <c r="B69" s="219">
        <f>IF(CSMoldInd="Two Plate",(CS2PlateSQStart* (((_CSB62*CSB63A) + (_CSB64*CSB65A)  +  (_CSB66*_CSB63)))  *1.3),(CS2PlateSQStart  *  (((_CSB62*CSB63A) + (_CSB64*CSB65A)  +  (_CSB66*_CSB63)))  ))</f>
        <v>0</v>
      </c>
      <c r="D69" s="587"/>
      <c r="E69" s="34"/>
    </row>
    <row r="70" spans="1:18" ht="12.75">
      <c r="A70" s="496" t="s">
        <v>2668</v>
      </c>
      <c r="B70" s="714">
        <f>(_CSB65*CS2PlateSQEnd)/2000</f>
        <v>0</v>
      </c>
      <c r="D70" s="587"/>
      <c r="E70" s="34"/>
    </row>
    <row r="71" spans="1:18">
      <c r="D71" s="587"/>
      <c r="E71" s="34"/>
    </row>
    <row r="72" spans="1:18">
      <c r="D72" s="587"/>
      <c r="E72" s="34"/>
    </row>
    <row r="73" spans="1:18">
      <c r="D73" s="587"/>
      <c r="E73" s="34"/>
    </row>
    <row r="74" spans="1:18">
      <c r="D74" s="587"/>
      <c r="E74" s="34"/>
    </row>
    <row r="75" spans="1:18" ht="12.75">
      <c r="D75" s="588"/>
      <c r="E75" s="34"/>
    </row>
    <row r="76" spans="1:18" ht="12.75">
      <c r="D76" s="588"/>
      <c r="E76" s="34"/>
    </row>
    <row r="77" spans="1:18">
      <c r="R77" s="587"/>
    </row>
    <row r="78" spans="1:18">
      <c r="R78" s="587"/>
    </row>
    <row r="79" spans="1:18">
      <c r="R79" s="587"/>
    </row>
    <row r="80" spans="1:18">
      <c r="R80" s="587"/>
    </row>
    <row r="81" spans="18:18">
      <c r="R81" s="587"/>
    </row>
    <row r="82" spans="18:18" s="483" customFormat="1" ht="12.75">
      <c r="R82" s="587"/>
    </row>
    <row r="83" spans="18:18" s="483" customFormat="1" ht="12.75">
      <c r="R83" s="588"/>
    </row>
    <row r="84" spans="18:18" s="483" customFormat="1" ht="12.75">
      <c r="R84" s="588"/>
    </row>
    <row r="85" spans="18:18" s="483" customFormat="1" ht="12.75">
      <c r="R85" s="588"/>
    </row>
    <row r="86" spans="18:18" s="483" customFormat="1" ht="12.75">
      <c r="R86" s="588"/>
    </row>
    <row r="87" spans="18:18" s="483" customFormat="1" ht="12.75">
      <c r="R87" s="588"/>
    </row>
    <row r="88" spans="18:18" s="483" customFormat="1" ht="12.75">
      <c r="R88" s="588"/>
    </row>
    <row r="89" spans="18:18" s="483" customFormat="1" ht="12.75">
      <c r="R89" s="588"/>
    </row>
    <row r="90" spans="18:18" s="483" customFormat="1" ht="12.75">
      <c r="R90" s="588"/>
    </row>
    <row r="91" spans="18:18" s="483" customFormat="1" ht="12.75">
      <c r="R91" s="588"/>
    </row>
    <row r="92" spans="18:18" s="483" customFormat="1" ht="12.75">
      <c r="R92" s="588"/>
    </row>
    <row r="93" spans="18:18" s="483" customFormat="1" ht="12.75">
      <c r="R93" s="588"/>
    </row>
    <row r="94" spans="18:18" s="483" customFormat="1" ht="12.75">
      <c r="R94" s="588"/>
    </row>
    <row r="95" spans="18:18" s="483" customFormat="1" ht="12.75"/>
    <row r="96" spans="18:18" s="483" customFormat="1" ht="12.75"/>
    <row r="97" spans="5:15" s="483" customFormat="1" ht="12.75">
      <c r="M97" s="422"/>
      <c r="N97" s="590"/>
      <c r="O97" s="589"/>
    </row>
    <row r="98" spans="5:15" s="483" customFormat="1" ht="12.75"/>
    <row r="99" spans="5:15" s="483" customFormat="1" ht="12.75"/>
    <row r="100" spans="5:15" s="483" customFormat="1" ht="12.75"/>
    <row r="101" spans="5:15" s="483" customFormat="1" ht="12.75"/>
    <row r="102" spans="5:15">
      <c r="E102" s="34"/>
    </row>
    <row r="103" spans="5:15">
      <c r="E103" s="34"/>
    </row>
    <row r="104" spans="5:15">
      <c r="E104" s="34"/>
    </row>
    <row r="105" spans="5:15">
      <c r="E105" s="34"/>
    </row>
    <row r="106" spans="5:15">
      <c r="E106" s="34"/>
    </row>
    <row r="107" spans="5:15">
      <c r="E107" s="34"/>
    </row>
    <row r="108" spans="5:15">
      <c r="E108" s="34"/>
    </row>
    <row r="109" spans="5:15">
      <c r="E109" s="34"/>
    </row>
    <row r="110" spans="5:15">
      <c r="E110" s="34"/>
    </row>
    <row r="111" spans="5:15">
      <c r="E111" s="34"/>
    </row>
    <row r="112" spans="5:15">
      <c r="E112" s="34"/>
    </row>
    <row r="113" spans="5:5">
      <c r="E113" s="34"/>
    </row>
    <row r="114" spans="5:5">
      <c r="E114" s="34"/>
    </row>
    <row r="115" spans="5:5">
      <c r="E115" s="34"/>
    </row>
    <row r="116" spans="5:5">
      <c r="E116" s="34"/>
    </row>
    <row r="117" spans="5:5">
      <c r="E117" s="34"/>
    </row>
    <row r="118" spans="5:5">
      <c r="E118" s="34"/>
    </row>
    <row r="119" spans="5:5">
      <c r="E119" s="34"/>
    </row>
    <row r="120" spans="5:5">
      <c r="E120" s="34"/>
    </row>
    <row r="121" spans="5:5">
      <c r="E121" s="34"/>
    </row>
    <row r="122" spans="5:5">
      <c r="E122" s="34"/>
    </row>
    <row r="123" spans="5:5">
      <c r="E123" s="34"/>
    </row>
    <row r="124" spans="5:5">
      <c r="E124" s="34"/>
    </row>
    <row r="125" spans="5:5">
      <c r="E125" s="34"/>
    </row>
    <row r="126" spans="5:5">
      <c r="E126" s="34"/>
    </row>
    <row r="127" spans="5:5">
      <c r="E127" s="34"/>
    </row>
    <row r="128" spans="5:5">
      <c r="E128" s="34"/>
    </row>
    <row r="129" spans="5:5">
      <c r="E129" s="34"/>
    </row>
    <row r="130" spans="5:5">
      <c r="E130" s="34"/>
    </row>
    <row r="131" spans="5:5">
      <c r="E131" s="34"/>
    </row>
    <row r="132" spans="5:5">
      <c r="E132" s="34"/>
    </row>
    <row r="133" spans="5:5">
      <c r="E133" s="34"/>
    </row>
    <row r="134" spans="5:5">
      <c r="E134" s="34"/>
    </row>
    <row r="140" spans="5:5">
      <c r="E140" s="34"/>
    </row>
    <row r="141" spans="5:5">
      <c r="E141" s="34"/>
    </row>
    <row r="142" spans="5:5">
      <c r="E142" s="34"/>
    </row>
    <row r="143" spans="5:5">
      <c r="E143" s="34"/>
    </row>
    <row r="144" spans="5:5">
      <c r="E144" s="34"/>
    </row>
    <row r="145" spans="5:5">
      <c r="E145" s="34"/>
    </row>
    <row r="146" spans="5:5">
      <c r="E146" s="34"/>
    </row>
    <row r="147" spans="5:5">
      <c r="E147" s="34"/>
    </row>
    <row r="148" spans="5:5">
      <c r="E148" s="34"/>
    </row>
    <row r="149" spans="5:5">
      <c r="E149" s="34"/>
    </row>
    <row r="150" spans="5:5">
      <c r="E150" s="34"/>
    </row>
    <row r="151" spans="5:5">
      <c r="E151" s="34"/>
    </row>
    <row r="152" spans="5:5">
      <c r="E152" s="34"/>
    </row>
    <row r="153" spans="5:5">
      <c r="E153" s="34"/>
    </row>
    <row r="154" spans="5:5">
      <c r="E154" s="34"/>
    </row>
    <row r="155" spans="5:5">
      <c r="E155" s="34"/>
    </row>
    <row r="156" spans="5:5">
      <c r="E156" s="34"/>
    </row>
    <row r="157" spans="5:5">
      <c r="E157" s="34"/>
    </row>
    <row r="158" spans="5:5">
      <c r="E158" s="34"/>
    </row>
    <row r="159" spans="5:5">
      <c r="E159" s="34"/>
    </row>
    <row r="160" spans="5:5">
      <c r="E160" s="34"/>
    </row>
    <row r="161" spans="5:5">
      <c r="E161" s="34"/>
    </row>
    <row r="162" spans="5:5">
      <c r="E162" s="34"/>
    </row>
    <row r="163" spans="5:5">
      <c r="E163" s="34"/>
    </row>
    <row r="164" spans="5:5">
      <c r="E164" s="34"/>
    </row>
    <row r="165" spans="5:5">
      <c r="E165" s="34"/>
    </row>
    <row r="166" spans="5:5">
      <c r="E166" s="34"/>
    </row>
    <row r="167" spans="5:5">
      <c r="E167" s="34"/>
    </row>
    <row r="168" spans="5:5">
      <c r="E168" s="34"/>
    </row>
    <row r="169" spans="5:5">
      <c r="E169" s="34"/>
    </row>
    <row r="170" spans="5:5">
      <c r="E170" s="34"/>
    </row>
    <row r="171" spans="5:5">
      <c r="E171" s="34"/>
    </row>
    <row r="172" spans="5:5">
      <c r="E172" s="34"/>
    </row>
    <row r="173" spans="5:5">
      <c r="E173" s="34"/>
    </row>
    <row r="174" spans="5:5">
      <c r="E174" s="34"/>
    </row>
    <row r="175" spans="5:5">
      <c r="E175" s="34"/>
    </row>
    <row r="176" spans="5:5">
      <c r="E176" s="34"/>
    </row>
    <row r="177" spans="5:5">
      <c r="E177" s="34"/>
    </row>
    <row r="178" spans="5:5">
      <c r="E178" s="34"/>
    </row>
    <row r="179" spans="5:5">
      <c r="E179" s="34"/>
    </row>
    <row r="180" spans="5:5">
      <c r="E180" s="34"/>
    </row>
    <row r="181" spans="5:5">
      <c r="E181" s="34"/>
    </row>
    <row r="182" spans="5:5">
      <c r="E182" s="34"/>
    </row>
    <row r="183" spans="5:5">
      <c r="E183" s="34"/>
    </row>
    <row r="184" spans="5:5">
      <c r="E184" s="34"/>
    </row>
    <row r="185" spans="5:5">
      <c r="E185" s="34"/>
    </row>
    <row r="186" spans="5:5">
      <c r="E186" s="34"/>
    </row>
    <row r="187" spans="5:5">
      <c r="E187" s="34"/>
    </row>
    <row r="188" spans="5:5">
      <c r="E188" s="34"/>
    </row>
    <row r="189" spans="5:5">
      <c r="E189" s="34"/>
    </row>
    <row r="190" spans="5:5">
      <c r="E190" s="34"/>
    </row>
    <row r="191" spans="5:5">
      <c r="E191" s="34"/>
    </row>
    <row r="192" spans="5:5">
      <c r="E192" s="34"/>
    </row>
    <row r="193" spans="5:5">
      <c r="E193" s="34"/>
    </row>
    <row r="194" spans="5:5">
      <c r="E194" s="34"/>
    </row>
    <row r="195" spans="5:5">
      <c r="E195" s="34"/>
    </row>
    <row r="196" spans="5:5">
      <c r="E196" s="34"/>
    </row>
    <row r="197" spans="5:5">
      <c r="E197" s="34"/>
    </row>
    <row r="198" spans="5:5">
      <c r="E198" s="34"/>
    </row>
    <row r="199" spans="5:5">
      <c r="E199" s="34"/>
    </row>
  </sheetData>
  <sheetProtection algorithmName="SHA-512" hashValue="2Voc8EFIUgWdVS4x9AeYvUcBu7iTEPdkzLgv6tTaJi9e7rxyx2s+ljngmq3VdyyRNsKMzkmDBS4HQ3w857/RNw==" saltValue="zTgH69SBnu/xyWzGRCf0mA==" spinCount="100000" sheet="1" objects="1" scenarios="1"/>
  <mergeCells count="1">
    <mergeCell ref="A57:D57"/>
  </mergeCells>
  <phoneticPr fontId="0" type="noConversion"/>
  <dataValidations xWindow="843" yWindow="534" count="42">
    <dataValidation type="decimal" allowBlank="1" showInputMessage="1" showErrorMessage="1" promptTitle="Known Part weight per M Pieces" prompt="If the part weight is already known, please enter the value here.  If part weight is not known, please calculate part weight below." sqref="F6">
      <formula1>0</formula1>
      <formula2>2500</formula2>
    </dataValidation>
    <dataValidation type="decimal" allowBlank="1" showInputMessage="1" showErrorMessage="1" promptTitle="Specific Gravity Of Material" prompt="Enter specific gravity:_x000a__x000a__x000a__x000a__x000a__x000a__x000a__x000a__x000a__x000a__x000a__x000a__x000a__x000a__x000a__x000a__x000a__x000a__x000a__x000a__x000a__x000a__x000a_" sqref="B1">
      <formula1>0</formula1>
      <formula2>10</formula2>
    </dataValidation>
    <dataValidation type="decimal" allowBlank="1" showInputMessage="1" showErrorMessage="1" promptTitle="Runner Diameter" prompt="Enter the estimated average runner diameter.  For crystalline materials use .090-.135 diameter.  For amorphous materials use .150-.200 diameter." sqref="H4">
      <formula1>0</formula1>
      <formula2>1.5</formula2>
    </dataValidation>
    <dataValidation type="decimal" allowBlank="1" showInputMessage="1" showErrorMessage="1" promptTitle="Estimated Runner Length" prompt="Enter the estimated runner length" sqref="H5:I5">
      <formula1>0</formula1>
      <formula2>1000</formula2>
    </dataValidation>
    <dataValidation allowBlank="1" showInputMessage="1" showErrorMessage="1" promptTitle="Calculated Runner Weight" prompt="Calculated runner weight per thousand runners." sqref="H6:I6"/>
    <dataValidation type="list" allowBlank="1" showInputMessage="1" showErrorMessage="1" promptTitle="Specify Dimensions:" prompt="Specify &quot;Inches&quot; or &quot;Metric&quot; for the print dimensions." sqref="B3">
      <formula1>"Inches, Metric"</formula1>
    </dataValidation>
    <dataValidation allowBlank="1" showInputMessage="1" showErrorMessage="1" promptTitle="Cubic Inch Volume:" prompt="Enter cubic inch volume if known here!" sqref="D3"/>
    <dataValidation allowBlank="1" showInputMessage="1" showErrorMessage="1" promptTitle="Metric Volume:" prompt="Enter metric volume if known here!" sqref="D4"/>
    <dataValidation allowBlank="1" showInputMessage="1" showErrorMessage="1" promptTitle="Calculated Part Weight Per M " prompt="Calculated weight per M pieces." sqref="F1"/>
    <dataValidation allowBlank="1" showInputMessage="1" showErrorMessage="1" promptTitle="Part Weight In Grams" prompt="Enter the part weight in grams here" sqref="F3"/>
    <dataValidation allowBlank="1" showInputMessage="1" showErrorMessage="1" promptTitle="Gram Weight Converted to Pounds " prompt="Part weight Per M pieces" sqref="F4"/>
    <dataValidation type="decimal" allowBlank="1" showInputMessage="1" showErrorMessage="1" promptTitle="Known Part Weight Per M Pieces" prompt="If the part weight is already known, please enter the value here.  If part weight is not known, please calculate part weight below." sqref="D1">
      <formula1>0</formula1>
      <formula2>2500</formula2>
    </dataValidation>
    <dataValidation allowBlank="1" showInputMessage="1" showErrorMessage="1" promptTitle="Average Wall Thickness" prompt="Enter the average wall thickness in english.  I.E., .125&quot;" sqref="F60"/>
    <dataValidation allowBlank="1" showInputMessage="1" showErrorMessage="1" promptTitle="Cooling Time Factor" prompt="Enter 100 to 200." sqref="F61"/>
    <dataValidation allowBlank="1" showInputMessage="1" showErrorMessage="1" promptTitle="Fill Time" prompt="Enter Estimated Fill time.  Typically fill times for small parts is 2-4 seconds, 6-10 seconds for medium size parts and 12-20 for large parts." sqref="F63"/>
    <dataValidation allowBlank="1" showInputMessage="1" showErrorMessage="1" promptTitle="Pack and Hold" prompt="Enter estimated time to gate freeze" sqref="F64"/>
    <dataValidation allowBlank="1" showInputMessage="1" showErrorMessage="1" promptTitle="Cure Time" prompt="Calculated value based on input in Average Wall and Cure Factor cells." sqref="F65"/>
    <dataValidation allowBlank="1" showInputMessage="1" showErrorMessage="1" promptTitle="Ejection" prompt="Estimated gate open at the end of the cycle." sqref="F66"/>
    <dataValidation allowBlank="1" showInputMessage="1" showErrorMessage="1" promptTitle="Total Cycle Time" prompt="Estimated cycle time in seconds." sqref="F67"/>
    <dataValidation allowBlank="1" showInputMessage="1" showErrorMessage="1" promptTitle="Material Filler Factor" prompt="Enter the material filler factor.  If the material has up to 25% fillers, use a &quot;.80&quot; factor.  If the material has over 30% fillers, use a &quot;.70&quot; factor." sqref="F62"/>
    <dataValidation allowBlank="1" showInputMessage="1" showErrorMessage="1" promptTitle="Regrind %" prompt="Enter the regrind percentage to be used on this quotation." sqref="H7:H8"/>
    <dataValidation allowBlank="1" showInputMessage="1" showErrorMessage="1" promptTitle="Length" prompt="Rect Length" sqref="B11:B19"/>
    <dataValidation allowBlank="1" showInputMessage="1" showErrorMessage="1" promptTitle="Width" prompt="Rect Width" sqref="C10:C19"/>
    <dataValidation allowBlank="1" showInputMessage="1" showErrorMessage="1" prompt="Feature" sqref="B10"/>
    <dataValidation allowBlank="1" showInputMessage="1" showErrorMessage="1" promptTitle="Height" prompt="Rect Height" sqref="D10:D19"/>
    <dataValidation allowBlank="1" showInputMessage="1" showErrorMessage="1" promptTitle="Frequency" prompt="Frequency" sqref="E10:E19 E21:E30 E32:E41 E49 D50:D53 C43:C47"/>
    <dataValidation type="list" allowBlank="1" showInputMessage="1" showErrorMessage="1" promptTitle="Add / Subtract" prompt="Place an &quot;A&quot; to add the calculated volume or place an &quot;S&quot; to subtract the calculated volume." sqref="G43:G53 G21:G30 G32:G41 G11:G19">
      <formula1>"A, S"</formula1>
    </dataValidation>
    <dataValidation allowBlank="1" showInputMessage="1" showErrorMessage="1" promptTitle="Diameter" prompt="Cylinder Diameter" sqref="B21:B30"/>
    <dataValidation allowBlank="1" showInputMessage="1" showErrorMessage="1" promptTitle="Tube OD" prompt="Tube OD" sqref="B32:B41"/>
    <dataValidation allowBlank="1" showInputMessage="1" showErrorMessage="1" promptTitle="Tube ID" prompt="Tube ID" sqref="C32:C41"/>
    <dataValidation allowBlank="1" showInputMessage="1" showErrorMessage="1" promptTitle="Height" prompt="Cyl Height" sqref="D21:D30"/>
    <dataValidation allowBlank="1" showInputMessage="1" showErrorMessage="1" promptTitle="Height" prompt="Tube Height" sqref="D32:D41"/>
    <dataValidation allowBlank="1" showInputMessage="1" showErrorMessage="1" promptTitle="Feature" prompt="Cone" sqref="A50:A53"/>
    <dataValidation allowBlank="1" showInputMessage="1" showErrorMessage="1" promptTitle="Sphere Diameter" prompt="Sphere Diameter" sqref="B43:B49"/>
    <dataValidation allowBlank="1" showInputMessage="1" showErrorMessage="1" promptTitle="Cone Diameter" prompt="Cone Diameter" sqref="C48 B50:B53"/>
    <dataValidation allowBlank="1" showInputMessage="1" showErrorMessage="1" promptTitle="Feature" prompt="Rectangle" sqref="A10:A19"/>
    <dataValidation allowBlank="1" showInputMessage="1" showErrorMessage="1" promptTitle="Feature" prompt="Cylinder" sqref="A21:A30"/>
    <dataValidation allowBlank="1" showInputMessage="1" showErrorMessage="1" promptTitle="Feature" prompt="Tube" sqref="A32:A41"/>
    <dataValidation allowBlank="1" showInputMessage="1" showErrorMessage="1" promptTitle="Feature" prompt="Sphere" sqref="A43:A48"/>
    <dataValidation allowBlank="1" showInputMessage="1" showErrorMessage="1" promptTitle="Height" prompt="Cone Height" sqref="C50:C53"/>
    <dataValidation type="list" allowBlank="1" showInputMessage="1" showErrorMessage="1" promptTitle="Add / Subtract" prompt="Place an &quot;A&quot; to add the calculated volume or place an &quot;S&quot; to subtract the calculated volume." sqref="G10">
      <formula1>"A,S"</formula1>
    </dataValidation>
    <dataValidation type="list" allowBlank="1" showInputMessage="1" showErrorMessage="1" sqref="D61 B61">
      <formula1>MDMoldType</formula1>
    </dataValidation>
  </dataValidations>
  <pageMargins left="0.5" right="0.1" top="0.5" bottom="0.25" header="0" footer="0"/>
  <pageSetup scale="90" orientation="landscape" horizontalDpi="4294967292" verticalDpi="300" r:id="rId1"/>
  <headerFooter alignWithMargins="0">
    <oddHeader>&amp;L&amp;"Arial,Bold"Quote Number &amp;F&amp;C&amp;"Arial,Bold"&amp;A&amp;R&amp;"Arial,Bold"&amp;T  &amp;D</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0244" r:id="rId4" name="Button 4">
              <controlPr defaultSize="0" print="0" autoFill="0" autoPict="0" macro="[0]!ClearCalculatorSheet">
                <anchor moveWithCells="1" sizeWithCells="1">
                  <from>
                    <xdr:col>0</xdr:col>
                    <xdr:colOff>0</xdr:colOff>
                    <xdr:row>6</xdr:row>
                    <xdr:rowOff>0</xdr:rowOff>
                  </from>
                  <to>
                    <xdr:col>0</xdr:col>
                    <xdr:colOff>504825</xdr:colOff>
                    <xdr:row>7</xdr:row>
                    <xdr:rowOff>66675</xdr:rowOff>
                  </to>
                </anchor>
              </controlPr>
            </control>
          </mc:Choice>
        </mc:AlternateContent>
        <mc:AlternateContent xmlns:mc="http://schemas.openxmlformats.org/markup-compatibility/2006">
          <mc:Choice Requires="x14">
            <control shapeId="10245" r:id="rId5" name="Button 5">
              <controlPr defaultSize="0" print="0" autoFill="0" autoPict="0" macro="[0]!ToQuoteEntryFromCalcSheet">
                <anchor moveWithCells="1" sizeWithCells="1">
                  <from>
                    <xdr:col>3</xdr:col>
                    <xdr:colOff>238125</xdr:colOff>
                    <xdr:row>42</xdr:row>
                    <xdr:rowOff>66675</xdr:rowOff>
                  </from>
                  <to>
                    <xdr:col>3</xdr:col>
                    <xdr:colOff>695325</xdr:colOff>
                    <xdr:row>44</xdr:row>
                    <xdr:rowOff>9525</xdr:rowOff>
                  </to>
                </anchor>
              </controlPr>
            </control>
          </mc:Choice>
        </mc:AlternateContent>
        <mc:AlternateContent xmlns:mc="http://schemas.openxmlformats.org/markup-compatibility/2006">
          <mc:Choice Requires="x14">
            <control shapeId="10248" r:id="rId6" name="Button 8">
              <controlPr defaultSize="0" print="0" autoFill="0" autoPict="0" macro="[0]!ToQuoteEntryFromCalcSheet">
                <anchor moveWithCells="1" sizeWithCells="1">
                  <from>
                    <xdr:col>0</xdr:col>
                    <xdr:colOff>514350</xdr:colOff>
                    <xdr:row>6</xdr:row>
                    <xdr:rowOff>0</xdr:rowOff>
                  </from>
                  <to>
                    <xdr:col>0</xdr:col>
                    <xdr:colOff>1019175</xdr:colOff>
                    <xdr:row>7</xdr:row>
                    <xdr:rowOff>66675</xdr:rowOff>
                  </to>
                </anchor>
              </controlPr>
            </control>
          </mc:Choice>
        </mc:AlternateContent>
        <mc:AlternateContent xmlns:mc="http://schemas.openxmlformats.org/markup-compatibility/2006">
          <mc:Choice Requires="x14">
            <control shapeId="10249" r:id="rId7" name="Button 9">
              <controlPr defaultSize="0" print="0" autoFill="0" autoPict="0" macro="[0]!ToQuoteEntryFromCalcSheet">
                <anchor moveWithCells="1" sizeWithCells="1">
                  <from>
                    <xdr:col>1</xdr:col>
                    <xdr:colOff>161925</xdr:colOff>
                    <xdr:row>57</xdr:row>
                    <xdr:rowOff>152400</xdr:rowOff>
                  </from>
                  <to>
                    <xdr:col>1</xdr:col>
                    <xdr:colOff>628650</xdr:colOff>
                    <xdr:row>59</xdr:row>
                    <xdr:rowOff>0</xdr:rowOff>
                  </to>
                </anchor>
              </controlPr>
            </control>
          </mc:Choice>
        </mc:AlternateContent>
        <mc:AlternateContent xmlns:mc="http://schemas.openxmlformats.org/markup-compatibility/2006">
          <mc:Choice Requires="x14">
            <control shapeId="10252" r:id="rId8" name="Button 12">
              <controlPr defaultSize="0" print="0" autoFill="0" autoPict="0" macro="[0]!AddRectLine">
                <anchor moveWithCells="1" sizeWithCells="1">
                  <from>
                    <xdr:col>0</xdr:col>
                    <xdr:colOff>1295400</xdr:colOff>
                    <xdr:row>6</xdr:row>
                    <xdr:rowOff>0</xdr:rowOff>
                  </from>
                  <to>
                    <xdr:col>1</xdr:col>
                    <xdr:colOff>438150</xdr:colOff>
                    <xdr:row>7</xdr:row>
                    <xdr:rowOff>66675</xdr:rowOff>
                  </to>
                </anchor>
              </controlPr>
            </control>
          </mc:Choice>
        </mc:AlternateContent>
        <mc:AlternateContent xmlns:mc="http://schemas.openxmlformats.org/markup-compatibility/2006">
          <mc:Choice Requires="x14">
            <control shapeId="10253" r:id="rId9" name="Button 13">
              <controlPr defaultSize="0" print="0" autoFill="0" autoPict="0" macro="[0]!AddCylLine">
                <anchor moveWithCells="1" sizeWithCells="1">
                  <from>
                    <xdr:col>1</xdr:col>
                    <xdr:colOff>438150</xdr:colOff>
                    <xdr:row>6</xdr:row>
                    <xdr:rowOff>0</xdr:rowOff>
                  </from>
                  <to>
                    <xdr:col>1</xdr:col>
                    <xdr:colOff>942975</xdr:colOff>
                    <xdr:row>7</xdr:row>
                    <xdr:rowOff>66675</xdr:rowOff>
                  </to>
                </anchor>
              </controlPr>
            </control>
          </mc:Choice>
        </mc:AlternateContent>
        <mc:AlternateContent xmlns:mc="http://schemas.openxmlformats.org/markup-compatibility/2006">
          <mc:Choice Requires="x14">
            <control shapeId="10254" r:id="rId10" name="Button 14">
              <controlPr defaultSize="0" print="0" autoFill="0" autoPict="0" macro="[0]!AddTubeLine">
                <anchor moveWithCells="1" sizeWithCells="1">
                  <from>
                    <xdr:col>1</xdr:col>
                    <xdr:colOff>952500</xdr:colOff>
                    <xdr:row>6</xdr:row>
                    <xdr:rowOff>0</xdr:rowOff>
                  </from>
                  <to>
                    <xdr:col>2</xdr:col>
                    <xdr:colOff>361950</xdr:colOff>
                    <xdr:row>7</xdr:row>
                    <xdr:rowOff>66675</xdr:rowOff>
                  </to>
                </anchor>
              </controlPr>
            </control>
          </mc:Choice>
        </mc:AlternateContent>
        <mc:AlternateContent xmlns:mc="http://schemas.openxmlformats.org/markup-compatibility/2006">
          <mc:Choice Requires="x14">
            <control shapeId="10255" r:id="rId11" name="Button 15">
              <controlPr defaultSize="0" print="0" autoFill="0" autoPict="0" macro="[0]!SpecificGravity">
                <anchor moveWithCells="1" sizeWithCells="1">
                  <from>
                    <xdr:col>3</xdr:col>
                    <xdr:colOff>352425</xdr:colOff>
                    <xdr:row>6</xdr:row>
                    <xdr:rowOff>0</xdr:rowOff>
                  </from>
                  <to>
                    <xdr:col>3</xdr:col>
                    <xdr:colOff>857250</xdr:colOff>
                    <xdr:row>7</xdr:row>
                    <xdr:rowOff>66675</xdr:rowOff>
                  </to>
                </anchor>
              </controlPr>
            </control>
          </mc:Choice>
        </mc:AlternateContent>
        <mc:AlternateContent xmlns:mc="http://schemas.openxmlformats.org/markup-compatibility/2006">
          <mc:Choice Requires="x14">
            <control shapeId="10256" r:id="rId12" name="Button 16">
              <controlPr defaultSize="0" print="0" autoFill="0" autoPict="0" macro="[0]!AddSphereLine">
                <anchor moveWithCells="1" sizeWithCells="1">
                  <from>
                    <xdr:col>2</xdr:col>
                    <xdr:colOff>381000</xdr:colOff>
                    <xdr:row>6</xdr:row>
                    <xdr:rowOff>0</xdr:rowOff>
                  </from>
                  <to>
                    <xdr:col>2</xdr:col>
                    <xdr:colOff>885825</xdr:colOff>
                    <xdr:row>7</xdr:row>
                    <xdr:rowOff>66675</xdr:rowOff>
                  </to>
                </anchor>
              </controlPr>
            </control>
          </mc:Choice>
        </mc:AlternateContent>
        <mc:AlternateContent xmlns:mc="http://schemas.openxmlformats.org/markup-compatibility/2006">
          <mc:Choice Requires="x14">
            <control shapeId="10265" r:id="rId13" name="Button 25">
              <controlPr defaultSize="0" print="0" autoFill="0" autoPict="0" macro="[0]!AddConeLine">
                <anchor moveWithCells="1" sizeWithCells="1">
                  <from>
                    <xdr:col>2</xdr:col>
                    <xdr:colOff>885825</xdr:colOff>
                    <xdr:row>6</xdr:row>
                    <xdr:rowOff>0</xdr:rowOff>
                  </from>
                  <to>
                    <xdr:col>3</xdr:col>
                    <xdr:colOff>342900</xdr:colOff>
                    <xdr:row>7</xdr:row>
                    <xdr:rowOff>66675</xdr:rowOff>
                  </to>
                </anchor>
              </controlPr>
            </control>
          </mc:Choice>
        </mc:AlternateContent>
      </controls>
    </mc:Choice>
  </mc:AlternateConten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pageSetUpPr fitToPage="1"/>
  </sheetPr>
  <dimension ref="A1:I49"/>
  <sheetViews>
    <sheetView showGridLines="0" showZeros="0" zoomScale="65" workbookViewId="0">
      <selection activeCell="H23" sqref="H23"/>
    </sheetView>
  </sheetViews>
  <sheetFormatPr defaultColWidth="24" defaultRowHeight="12.75"/>
  <cols>
    <col min="1" max="1" width="24" customWidth="1"/>
    <col min="2" max="2" width="18.7109375" customWidth="1"/>
    <col min="3" max="3" width="6.7109375" customWidth="1"/>
    <col min="4" max="5" width="18.7109375" customWidth="1"/>
    <col min="6" max="6" width="15" customWidth="1"/>
    <col min="7" max="7" width="25.140625" customWidth="1"/>
    <col min="8" max="9" width="18.7109375" customWidth="1"/>
  </cols>
  <sheetData>
    <row r="1" spans="1:9" ht="18">
      <c r="A1" s="488" t="s">
        <v>5569</v>
      </c>
      <c r="B1" s="34"/>
      <c r="C1" s="34"/>
      <c r="D1" s="34"/>
      <c r="E1" s="34"/>
      <c r="F1" s="110"/>
      <c r="G1" s="34"/>
      <c r="H1" s="34"/>
      <c r="I1" s="483"/>
    </row>
    <row r="2" spans="1:9">
      <c r="A2" s="489"/>
      <c r="B2" s="483"/>
      <c r="C2" s="483"/>
      <c r="D2" s="489"/>
      <c r="E2" s="34"/>
      <c r="F2" s="483"/>
      <c r="G2" s="34"/>
      <c r="H2" s="34"/>
      <c r="I2" s="123" t="s">
        <v>4852</v>
      </c>
    </row>
    <row r="3" spans="1:9" ht="18">
      <c r="A3" s="488" t="s">
        <v>1216</v>
      </c>
      <c r="B3" s="490"/>
      <c r="C3" s="490"/>
      <c r="D3" s="1078" t="s">
        <v>3534</v>
      </c>
      <c r="E3" s="110"/>
      <c r="F3" s="483"/>
      <c r="G3" s="488" t="s">
        <v>5537</v>
      </c>
      <c r="H3" s="34"/>
      <c r="I3" s="123" t="s">
        <v>4853</v>
      </c>
    </row>
    <row r="4" spans="1:9">
      <c r="A4" s="490" t="s">
        <v>5262</v>
      </c>
      <c r="B4" s="483"/>
      <c r="C4" s="483"/>
      <c r="D4" s="503"/>
      <c r="F4" s="483"/>
      <c r="G4" s="503" t="s">
        <v>1216</v>
      </c>
      <c r="H4" s="542">
        <f>CSBuyout1</f>
        <v>0</v>
      </c>
      <c r="I4" s="547">
        <f>IF(CSBuyout&gt;0, CSBuyout/CSToolCost1,0)</f>
        <v>0</v>
      </c>
    </row>
    <row r="5" spans="1:9">
      <c r="A5" s="503" t="s">
        <v>4404</v>
      </c>
      <c r="B5" s="549"/>
      <c r="C5" s="1080"/>
      <c r="D5" s="503" t="s">
        <v>5869</v>
      </c>
      <c r="E5" s="550"/>
      <c r="F5" s="483"/>
      <c r="G5" s="503" t="s">
        <v>6074</v>
      </c>
      <c r="H5" s="545">
        <f>CSSubTotal*CSToolRate1</f>
        <v>0</v>
      </c>
      <c r="I5" s="547">
        <f>IF(CSDesign&gt;0,CSDesign/CSToolCost1,0)</f>
        <v>0</v>
      </c>
    </row>
    <row r="6" spans="1:9">
      <c r="A6" s="503" t="s">
        <v>2152</v>
      </c>
      <c r="B6" s="549"/>
      <c r="C6" s="1080"/>
      <c r="D6" s="503" t="s">
        <v>4456</v>
      </c>
      <c r="E6" s="550"/>
      <c r="F6" s="483"/>
      <c r="G6" s="503" t="s">
        <v>6075</v>
      </c>
      <c r="H6" s="545">
        <f>CSSubTotal1*CSToolRate1</f>
        <v>0</v>
      </c>
      <c r="I6" s="547">
        <f>IF(CSBuildHRS&gt;0,CSBuildHRS/CSToolCost1,0)</f>
        <v>0</v>
      </c>
    </row>
    <row r="7" spans="1:9">
      <c r="A7" s="503" t="s">
        <v>1529</v>
      </c>
      <c r="B7" s="549"/>
      <c r="C7" s="1080"/>
      <c r="D7" s="405" t="s">
        <v>2850</v>
      </c>
      <c r="E7" s="550"/>
      <c r="F7" s="34"/>
      <c r="G7" s="503" t="s">
        <v>49</v>
      </c>
      <c r="H7" s="545">
        <f>SUM(CSBuyout:CSBuildHRS)</f>
        <v>0</v>
      </c>
      <c r="I7" s="547"/>
    </row>
    <row r="8" spans="1:9">
      <c r="A8" s="503" t="s">
        <v>1530</v>
      </c>
      <c r="B8" s="549"/>
      <c r="C8" s="1080"/>
      <c r="D8" s="503" t="s">
        <v>6191</v>
      </c>
      <c r="E8" s="550"/>
      <c r="F8" s="34"/>
      <c r="G8" s="503" t="s">
        <v>50</v>
      </c>
      <c r="H8" s="546">
        <f>IF(AND(QuoteEntryPlantNumber=2101, CavityScr1&gt;0, QualReset1&gt;0),(QualReset1/QualFactor-QualReset1),0) + IF(AND(QuoteEntryPlantNumber=2103, CavityScr1&gt;0, QualReset1&gt;0),(QualReset1/QualFactor-QualReset1) + VSELPQualAdd,0) + IF(AND(QuoteEntryPlantNumber=2104, CavityScr1&gt;0, QualReset1&gt;0),(QualReset1/QualFactor-QualReset1) + VSMexQualAdd,0)</f>
        <v>0</v>
      </c>
      <c r="I8" s="548">
        <f>IF(QualReset&gt;0,QualReset/CSToolCost1,0)</f>
        <v>0</v>
      </c>
    </row>
    <row r="9" spans="1:9">
      <c r="A9" s="503" t="s">
        <v>1531</v>
      </c>
      <c r="B9" s="549"/>
      <c r="C9" s="1080"/>
      <c r="D9" s="503" t="s">
        <v>2861</v>
      </c>
      <c r="E9" s="550"/>
      <c r="F9" s="34"/>
      <c r="G9" s="110"/>
      <c r="H9" s="34"/>
      <c r="I9" s="34"/>
    </row>
    <row r="10" spans="1:9" ht="18">
      <c r="A10" s="503" t="s">
        <v>4454</v>
      </c>
      <c r="B10" s="549"/>
      <c r="C10" s="1080"/>
      <c r="D10" s="503" t="s">
        <v>2851</v>
      </c>
      <c r="E10" s="550"/>
      <c r="F10" s="34"/>
      <c r="G10" s="1079"/>
      <c r="H10" s="34"/>
      <c r="I10" s="123" t="s">
        <v>4852</v>
      </c>
    </row>
    <row r="11" spans="1:9" ht="18">
      <c r="A11" s="503" t="s">
        <v>1532</v>
      </c>
      <c r="B11" s="549"/>
      <c r="C11" s="1080"/>
      <c r="D11" s="503" t="s">
        <v>2862</v>
      </c>
      <c r="E11" s="550"/>
      <c r="F11" s="34"/>
      <c r="G11" s="488" t="s">
        <v>5538</v>
      </c>
      <c r="H11" s="34"/>
      <c r="I11" s="123" t="s">
        <v>4853</v>
      </c>
    </row>
    <row r="12" spans="1:9">
      <c r="C12" s="34"/>
      <c r="D12" s="503" t="s">
        <v>2852</v>
      </c>
      <c r="E12" s="550"/>
      <c r="F12" s="34"/>
      <c r="G12" s="483" t="s">
        <v>5539</v>
      </c>
      <c r="H12" s="561">
        <v>1</v>
      </c>
      <c r="I12" s="34"/>
    </row>
    <row r="13" spans="1:9">
      <c r="A13" s="490" t="s">
        <v>5263</v>
      </c>
      <c r="B13" s="34"/>
      <c r="C13" s="1080"/>
      <c r="D13" s="503" t="s">
        <v>2863</v>
      </c>
      <c r="E13" s="550"/>
      <c r="F13" s="34"/>
      <c r="G13" s="503" t="s">
        <v>1216</v>
      </c>
      <c r="H13" s="542">
        <f>IF(AND(CavityScr2&gt;0,CSToolFactor&gt;0), CSBuyout1* CSToolFactor, 0)</f>
        <v>0</v>
      </c>
      <c r="I13" s="547">
        <f>IF(AND(CavityScr2&gt;0, CSBuyout2&gt;0), CSBuyout2/CSToolCost2, 0)</f>
        <v>0</v>
      </c>
    </row>
    <row r="14" spans="1:9">
      <c r="A14" s="503" t="s">
        <v>4455</v>
      </c>
      <c r="B14" s="549"/>
      <c r="C14" s="1080"/>
      <c r="D14" s="503" t="s">
        <v>2853</v>
      </c>
      <c r="E14" s="550"/>
      <c r="F14" s="34"/>
      <c r="G14" s="503" t="s">
        <v>6074</v>
      </c>
      <c r="H14" s="545">
        <f>IF(AND(CavityScr2&gt;0,CSToolFactor&gt;0), CSSubTotal*CSToolRate2,0)</f>
        <v>0</v>
      </c>
      <c r="I14" s="547">
        <f>IF(AND(CavityScr2&gt;0, CSDesign2&gt;0),CSDesign2/CSToolCost2,0)</f>
        <v>0</v>
      </c>
    </row>
    <row r="15" spans="1:9">
      <c r="A15" s="503" t="s">
        <v>2696</v>
      </c>
      <c r="B15" s="549"/>
      <c r="C15" s="1080"/>
      <c r="D15" s="503" t="s">
        <v>2864</v>
      </c>
      <c r="E15" s="550"/>
      <c r="F15" s="34"/>
      <c r="G15" s="503" t="s">
        <v>6075</v>
      </c>
      <c r="H15" s="545">
        <f>IF(AND(CavityScr2&gt;0,CSToolFactor&gt;0),  CSSubTotal1*CSToolRate2 * CSToolFactor, 0)</f>
        <v>0</v>
      </c>
      <c r="I15" s="547">
        <f>IF(AND(CavityScr2&gt;0, CSBuildHRS2&gt;0), CSBuildHRS2/CSToolCost2,0)</f>
        <v>0</v>
      </c>
    </row>
    <row r="16" spans="1:9">
      <c r="A16" s="503" t="s">
        <v>2844</v>
      </c>
      <c r="B16" s="549"/>
      <c r="C16" s="1080"/>
      <c r="D16" s="503" t="s">
        <v>1528</v>
      </c>
      <c r="E16" s="550"/>
      <c r="F16" s="34"/>
      <c r="G16" s="503" t="s">
        <v>49</v>
      </c>
      <c r="H16" s="545">
        <f>SUM(CSBuyout2:CSBuildHRS2)</f>
        <v>0</v>
      </c>
      <c r="I16" s="547"/>
    </row>
    <row r="17" spans="1:9">
      <c r="A17" s="503" t="s">
        <v>4183</v>
      </c>
      <c r="B17" s="549"/>
      <c r="C17" s="1080"/>
      <c r="D17" s="503" t="s">
        <v>2854</v>
      </c>
      <c r="E17" s="550"/>
      <c r="F17" s="34"/>
      <c r="G17" s="503" t="s">
        <v>50</v>
      </c>
      <c r="H17" s="546">
        <f>IF(AND(QuoteEntryPlantNumber=2101, CavityScr2&gt;0, QualReset2&gt;0),(QualReset2/QualFactor-QualReset2),0) + IF(AND(QuoteEntryPlantNumber=2103, CavityScr2&gt;0, QualReset2&gt;0),(QualReset2/QualFactor-QualReset2) + VSELPQualAdd,0) + IF(AND(QuoteEntryPlantNumber=2104, CavityScr2&gt;0, QualReset2&gt;0),(QualReset2/QualFactor-QualReset2) + VSMexQualAdd,0)</f>
        <v>0</v>
      </c>
      <c r="I17" s="548">
        <f>IF(AND(CavityScr2&gt;0, QualResetA&gt;0),QualResetA/CSToolCost2,0)</f>
        <v>0</v>
      </c>
    </row>
    <row r="18" spans="1:9">
      <c r="A18" s="503" t="s">
        <v>2845</v>
      </c>
      <c r="B18" s="549"/>
      <c r="C18" s="1080"/>
      <c r="D18" s="503" t="s">
        <v>2082</v>
      </c>
      <c r="E18" s="550"/>
      <c r="F18" s="34"/>
      <c r="G18" s="110"/>
      <c r="H18" s="34"/>
      <c r="I18" s="34"/>
    </row>
    <row r="19" spans="1:9">
      <c r="A19" s="503" t="s">
        <v>2846</v>
      </c>
      <c r="B19" s="549"/>
      <c r="C19" s="1080"/>
      <c r="D19" s="503" t="s">
        <v>1831</v>
      </c>
      <c r="E19" s="550"/>
      <c r="F19" s="34"/>
      <c r="G19" s="110"/>
      <c r="H19" s="34"/>
      <c r="I19" s="34"/>
    </row>
    <row r="20" spans="1:9">
      <c r="A20" s="503" t="s">
        <v>5868</v>
      </c>
      <c r="B20" s="549"/>
      <c r="C20" s="1080"/>
      <c r="D20" s="503" t="s">
        <v>2855</v>
      </c>
      <c r="E20" s="550"/>
      <c r="F20" s="34"/>
      <c r="G20" s="34"/>
      <c r="H20" s="490" t="s">
        <v>2964</v>
      </c>
      <c r="I20" s="490" t="s">
        <v>2965</v>
      </c>
    </row>
    <row r="21" spans="1:9">
      <c r="A21" s="503" t="s">
        <v>2920</v>
      </c>
      <c r="B21" s="549"/>
      <c r="D21" s="503" t="s">
        <v>2856</v>
      </c>
      <c r="E21" s="550"/>
      <c r="F21" s="34"/>
      <c r="G21" s="503" t="s">
        <v>2977</v>
      </c>
      <c r="H21" s="539">
        <f>CavityScr1</f>
        <v>8</v>
      </c>
      <c r="I21" s="539">
        <f>CavityScr2</f>
        <v>0</v>
      </c>
    </row>
    <row r="22" spans="1:9">
      <c r="A22" s="503" t="s">
        <v>3523</v>
      </c>
      <c r="B22" s="549"/>
      <c r="C22" s="34"/>
      <c r="D22" s="503" t="s">
        <v>2857</v>
      </c>
      <c r="E22" s="550"/>
      <c r="F22" s="34"/>
      <c r="G22" s="503" t="s">
        <v>6233</v>
      </c>
      <c r="H22" s="540">
        <v>60</v>
      </c>
      <c r="I22" s="540">
        <v>60</v>
      </c>
    </row>
    <row r="23" spans="1:9">
      <c r="C23" s="1080"/>
      <c r="D23" s="503" t="s">
        <v>4457</v>
      </c>
      <c r="E23" s="550"/>
      <c r="F23" s="34"/>
      <c r="G23" s="422" t="s">
        <v>2213</v>
      </c>
      <c r="H23" s="542">
        <f>QualReset1+(QualReset)</f>
        <v>0</v>
      </c>
      <c r="I23" s="542">
        <f>IF(AND(TSCavScr2&gt;0, CSToolFactor&gt;0),(QualReset2+QualResetA),0)</f>
        <v>0</v>
      </c>
    </row>
    <row r="24" spans="1:9">
      <c r="A24" s="490" t="s">
        <v>2847</v>
      </c>
      <c r="B24" s="34"/>
      <c r="C24" s="1080"/>
      <c r="D24" s="503" t="s">
        <v>2860</v>
      </c>
      <c r="E24" s="550"/>
      <c r="F24" s="34"/>
      <c r="G24" s="503" t="s">
        <v>3524</v>
      </c>
      <c r="H24" s="541">
        <v>1.111</v>
      </c>
      <c r="I24" s="541">
        <v>1.111</v>
      </c>
    </row>
    <row r="25" spans="1:9">
      <c r="A25" s="502" t="s">
        <v>1691</v>
      </c>
      <c r="B25" s="549"/>
      <c r="C25" s="1080"/>
      <c r="D25" s="503" t="s">
        <v>2858</v>
      </c>
      <c r="E25" s="550"/>
      <c r="F25" s="34"/>
      <c r="G25" s="422" t="s">
        <v>2212</v>
      </c>
      <c r="H25" s="562">
        <f>ROUNDUP(CSToolCost1*CSToolMU1,-2)</f>
        <v>0</v>
      </c>
      <c r="I25" s="562">
        <f>IF(CSToolCost2&gt;0,ROUNDUP(CSToolCost2*CSToolMU2,-2), 0)</f>
        <v>0</v>
      </c>
    </row>
    <row r="26" spans="1:9">
      <c r="A26" s="502" t="s">
        <v>5631</v>
      </c>
      <c r="B26" s="549"/>
      <c r="C26" s="1080"/>
      <c r="D26" s="503" t="s">
        <v>2859</v>
      </c>
      <c r="E26" s="550"/>
      <c r="F26" s="34"/>
      <c r="G26" s="503" t="s">
        <v>2119</v>
      </c>
      <c r="H26" s="543">
        <v>80</v>
      </c>
      <c r="I26" s="543">
        <v>80</v>
      </c>
    </row>
    <row r="27" spans="1:9">
      <c r="A27" s="502" t="s">
        <v>5632</v>
      </c>
      <c r="B27" s="549"/>
      <c r="D27" s="502" t="s">
        <v>51</v>
      </c>
      <c r="E27" s="550"/>
      <c r="F27" s="34"/>
      <c r="G27" s="503" t="s">
        <v>2120</v>
      </c>
      <c r="H27" s="544">
        <f>(CSSubTotal+CSSubTotal1)/TSHrsWk1</f>
        <v>0</v>
      </c>
      <c r="I27" s="544">
        <f>IF(TSCavScr2&gt;0,(CSSubTotal+CSSubTotal1*CSToolFactor)/TSHrsWk2,0)</f>
        <v>0</v>
      </c>
    </row>
    <row r="28" spans="1:9">
      <c r="A28" s="503" t="s">
        <v>3523</v>
      </c>
      <c r="B28" s="549"/>
      <c r="D28" s="503" t="s">
        <v>1215</v>
      </c>
      <c r="E28" s="550"/>
      <c r="F28" s="34"/>
      <c r="G28" s="503" t="s">
        <v>2139</v>
      </c>
      <c r="H28" s="803">
        <f>IF(AND(CavityScr1&gt;0, QualReset1&gt;0),FSLTOne,0)</f>
        <v>0</v>
      </c>
      <c r="I28" s="803">
        <f>IF(AND(CavityScr2&gt;0, QualReset2&gt;0),FSLTTwo,0)</f>
        <v>0</v>
      </c>
    </row>
    <row r="29" spans="1:9">
      <c r="C29" s="1080"/>
      <c r="D29" s="503" t="s">
        <v>931</v>
      </c>
      <c r="E29" s="550"/>
      <c r="F29" s="34"/>
      <c r="G29" s="503" t="s">
        <v>13</v>
      </c>
      <c r="H29" s="544">
        <f>IF(AND(QuoteEntryPlantNumber=2103,CavityScr1&gt;0,QualReset1&gt;0),(0+VSELPLTAdd),0)</f>
        <v>0</v>
      </c>
      <c r="I29" s="544">
        <f xml:space="preserve"> IF(AND(QuoteEntryPlantNumber=2103, CavityScr2&gt;0, QualReset2&gt;0),0 + VSELPLTAdd,0)</f>
        <v>0</v>
      </c>
    </row>
    <row r="30" spans="1:9">
      <c r="A30" s="29" t="s">
        <v>1388</v>
      </c>
      <c r="D30" s="24" t="s">
        <v>5071</v>
      </c>
      <c r="E30" s="550"/>
      <c r="F30" s="34"/>
      <c r="G30" s="503" t="s">
        <v>14</v>
      </c>
      <c r="H30" s="544">
        <f>IF(AND(QuoteEntryPlantNumber=2104, CavityScr1&gt;0, QualReset1&gt;0),0 + VSMexLTAdd,0)</f>
        <v>0</v>
      </c>
      <c r="I30" s="544">
        <f>IF(AND(QuoteEntryPlantNumber=2104, CavityScr2&gt;0, QualReset2&gt;0),0 + VSMexLTAdd,0)</f>
        <v>0</v>
      </c>
    </row>
    <row r="31" spans="1:9">
      <c r="A31" s="503" t="s">
        <v>1387</v>
      </c>
      <c r="B31" s="549"/>
      <c r="D31" s="24" t="s">
        <v>3888</v>
      </c>
      <c r="E31" s="550"/>
      <c r="F31" s="34"/>
      <c r="G31" s="483"/>
      <c r="H31" s="483"/>
      <c r="I31" s="483"/>
    </row>
    <row r="32" spans="1:9">
      <c r="C32" s="1080"/>
      <c r="D32" s="24" t="s">
        <v>3889</v>
      </c>
      <c r="E32" s="550"/>
      <c r="F32" s="34"/>
      <c r="G32" s="483"/>
      <c r="H32" s="483"/>
      <c r="I32" s="483"/>
    </row>
    <row r="33" spans="1:9">
      <c r="A33" s="14" t="s">
        <v>2848</v>
      </c>
      <c r="D33" s="504" t="s">
        <v>3890</v>
      </c>
      <c r="E33" s="550"/>
      <c r="F33" s="483"/>
      <c r="G33" s="483"/>
      <c r="H33" s="1082"/>
      <c r="I33" s="34"/>
    </row>
    <row r="34" spans="1:9">
      <c r="A34" s="503" t="s">
        <v>5536</v>
      </c>
      <c r="B34" s="549"/>
      <c r="C34" s="590"/>
      <c r="D34" s="503" t="s">
        <v>3891</v>
      </c>
      <c r="E34" s="550"/>
      <c r="F34" s="110"/>
      <c r="G34" s="483"/>
      <c r="H34" s="483"/>
      <c r="I34" s="34"/>
    </row>
    <row r="35" spans="1:9">
      <c r="D35" s="503" t="s">
        <v>2919</v>
      </c>
      <c r="E35" s="550"/>
      <c r="F35" s="110"/>
      <c r="G35" s="34"/>
      <c r="H35" s="34"/>
      <c r="I35" s="34"/>
    </row>
    <row r="36" spans="1:9">
      <c r="A36" s="422" t="s">
        <v>2849</v>
      </c>
      <c r="B36" s="476">
        <f>SUM(CSBuyoutStart:CSBuyoutEnd ) + SUM(CSBuyoutStart1:CSBuyoutEnd1 ) + SUM(CSBuyoutStart2:CSBuyoutEnd2 ) + CSBuyoutStart3 + CSBuyoutStart4</f>
        <v>0</v>
      </c>
      <c r="C36" s="34"/>
      <c r="D36" s="503" t="s">
        <v>2183</v>
      </c>
      <c r="E36" s="550"/>
      <c r="F36" s="110"/>
      <c r="G36" s="34"/>
      <c r="H36" s="34"/>
      <c r="I36" s="34"/>
    </row>
    <row r="37" spans="1:9">
      <c r="C37" s="123"/>
      <c r="D37" s="502" t="s">
        <v>2865</v>
      </c>
      <c r="E37" s="550"/>
      <c r="F37" s="110"/>
      <c r="G37" s="34"/>
      <c r="H37" s="34"/>
      <c r="I37" s="34"/>
    </row>
    <row r="38" spans="1:9" ht="18">
      <c r="A38" s="488" t="s">
        <v>3535</v>
      </c>
      <c r="B38" s="123"/>
      <c r="C38" s="1081"/>
      <c r="D38" s="503" t="s">
        <v>1812</v>
      </c>
      <c r="E38" s="550"/>
      <c r="F38" s="110"/>
      <c r="G38" s="34"/>
      <c r="H38" s="34"/>
      <c r="I38" s="34"/>
    </row>
    <row r="39" spans="1:9">
      <c r="A39" s="503" t="s">
        <v>2912</v>
      </c>
      <c r="B39" s="550"/>
      <c r="C39" s="1081"/>
      <c r="D39" s="503" t="s">
        <v>4544</v>
      </c>
      <c r="E39" s="550"/>
      <c r="F39" s="110"/>
      <c r="G39" s="34"/>
      <c r="H39" s="34"/>
      <c r="I39" s="34"/>
    </row>
    <row r="40" spans="1:9">
      <c r="A40" s="503" t="s">
        <v>1536</v>
      </c>
      <c r="B40" s="550"/>
      <c r="C40" s="1081"/>
      <c r="D40" s="503" t="s">
        <v>4118</v>
      </c>
      <c r="E40" s="550"/>
      <c r="F40" s="110"/>
      <c r="G40" s="34"/>
      <c r="H40" s="34"/>
      <c r="I40" s="34"/>
    </row>
    <row r="41" spans="1:9">
      <c r="A41" s="503" t="s">
        <v>3522</v>
      </c>
      <c r="B41" s="550"/>
      <c r="C41" s="590"/>
      <c r="D41" s="503" t="s">
        <v>2920</v>
      </c>
      <c r="E41" s="550"/>
      <c r="F41" s="110"/>
      <c r="G41" s="34"/>
      <c r="H41" s="34"/>
      <c r="I41" s="34"/>
    </row>
    <row r="42" spans="1:9">
      <c r="A42" s="422" t="s">
        <v>5743</v>
      </c>
      <c r="B42" s="476">
        <f>SUM(CSDesignStart:CSDesignEnd)</f>
        <v>0</v>
      </c>
      <c r="C42" s="34"/>
      <c r="D42" s="503" t="s">
        <v>1832</v>
      </c>
      <c r="E42" s="550"/>
      <c r="F42" s="110"/>
      <c r="G42" s="34"/>
      <c r="H42" s="34"/>
      <c r="I42" s="34"/>
    </row>
    <row r="43" spans="1:9">
      <c r="A43" s="34"/>
      <c r="B43" s="34"/>
      <c r="C43" s="34"/>
      <c r="D43" s="503" t="s">
        <v>3523</v>
      </c>
      <c r="E43" s="550"/>
      <c r="F43" s="110"/>
      <c r="G43" s="34"/>
      <c r="H43" s="34"/>
      <c r="I43" s="34"/>
    </row>
    <row r="44" spans="1:9">
      <c r="D44" s="422" t="s">
        <v>5743</v>
      </c>
      <c r="E44" s="476">
        <f>SUM(CSBuildStart:CSBuildEnd1)</f>
        <v>0</v>
      </c>
      <c r="G44" s="34"/>
      <c r="H44" s="34"/>
      <c r="I44" s="34"/>
    </row>
    <row r="45" spans="1:9">
      <c r="F45" s="34"/>
      <c r="G45" s="34"/>
      <c r="H45" s="34"/>
      <c r="I45" s="34"/>
    </row>
    <row r="46" spans="1:9">
      <c r="D46" s="503"/>
      <c r="E46" s="34"/>
      <c r="F46" s="34"/>
      <c r="G46" s="34"/>
      <c r="H46" s="34"/>
      <c r="I46" s="34"/>
    </row>
    <row r="47" spans="1:9">
      <c r="D47" s="34"/>
      <c r="E47" s="34"/>
      <c r="F47" s="34"/>
      <c r="G47" s="34"/>
      <c r="H47" s="34"/>
      <c r="I47" s="34"/>
    </row>
    <row r="48" spans="1:9">
      <c r="D48" s="34"/>
      <c r="E48" s="34"/>
      <c r="F48" s="34"/>
      <c r="G48" s="34"/>
      <c r="H48" s="34"/>
      <c r="I48" s="34"/>
    </row>
    <row r="49" spans="4:5">
      <c r="D49" s="34"/>
      <c r="E49" s="34"/>
    </row>
  </sheetData>
  <sheetProtection algorithmName="SHA-512" hashValue="gi40VHg4KMRBMUbNNM3KCdjXoL82OyfrDT5S5XadSnqYsXJOFgB17LCrQ+AN+gPEu6q6RSr2IGDjjHnK+8q7Bw==" saltValue="4x6m1GveNMAnPaLbIifimg==" spinCount="100000" sheet="1" objects="1" scenarios="1"/>
  <phoneticPr fontId="22" type="noConversion"/>
  <dataValidations count="2">
    <dataValidation allowBlank="1" showInputMessage="1" showErrorMessage="1" promptTitle="Qualification Costs:" prompt="Includes:  Sampling, ISIR and Steel Adjustments." sqref="H8 H17"/>
    <dataValidation allowBlank="1" showInputMessage="1" showErrorMessage="1" promptTitle="Scenario Two Factor" prompt="Factors the buyout and build dollars from scenario one to create scenario two tooling prices." sqref="H12"/>
  </dataValidations>
  <pageMargins left="0.5" right="0.5" top="1" bottom="1" header="0.5" footer="1"/>
  <pageSetup scale="79" orientation="landscape" horizontalDpi="4294967292" verticalDpi="300" r:id="rId1"/>
  <headerFooter alignWithMargins="0">
    <oddHeader>&amp;L&amp;"Arial,Bold"&amp;F&amp;C&amp;"Arial,Bold"&amp;A&amp;R&amp;"Arial,Bold"&amp;D  &amp;T</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49153" r:id="rId4" name="Button 1">
              <controlPr defaultSize="0" print="0" autoFill="0" autoPict="0" macro="[0]!QualificationCost">
                <anchor moveWithCells="1" sizeWithCells="1">
                  <from>
                    <xdr:col>6</xdr:col>
                    <xdr:colOff>723900</xdr:colOff>
                    <xdr:row>7</xdr:row>
                    <xdr:rowOff>152400</xdr:rowOff>
                  </from>
                  <to>
                    <xdr:col>6</xdr:col>
                    <xdr:colOff>1181100</xdr:colOff>
                    <xdr:row>9</xdr:row>
                    <xdr:rowOff>19050</xdr:rowOff>
                  </to>
                </anchor>
              </controlPr>
            </control>
          </mc:Choice>
        </mc:AlternateContent>
        <mc:AlternateContent xmlns:mc="http://schemas.openxmlformats.org/markup-compatibility/2006">
          <mc:Choice Requires="x14">
            <control shapeId="49154" r:id="rId5" name="Button 2">
              <controlPr defaultSize="0" print="0" autoFill="0" autoPict="0" macro="[0]!QualificationCost2">
                <anchor moveWithCells="1" sizeWithCells="1">
                  <from>
                    <xdr:col>6</xdr:col>
                    <xdr:colOff>723900</xdr:colOff>
                    <xdr:row>17</xdr:row>
                    <xdr:rowOff>0</xdr:rowOff>
                  </from>
                  <to>
                    <xdr:col>6</xdr:col>
                    <xdr:colOff>1181100</xdr:colOff>
                    <xdr:row>18</xdr:row>
                    <xdr:rowOff>28575</xdr:rowOff>
                  </to>
                </anchor>
              </controlPr>
            </control>
          </mc:Choice>
        </mc:AlternateContent>
        <mc:AlternateContent xmlns:mc="http://schemas.openxmlformats.org/markup-compatibility/2006">
          <mc:Choice Requires="x14">
            <control shapeId="49155" r:id="rId6" name="Button 3">
              <controlPr defaultSize="0" print="0" autoFill="0" autoPict="0" macro="[0]!ResetLTNote">
                <anchor moveWithCells="1" sizeWithCells="1">
                  <from>
                    <xdr:col>6</xdr:col>
                    <xdr:colOff>723900</xdr:colOff>
                    <xdr:row>30</xdr:row>
                    <xdr:rowOff>85725</xdr:rowOff>
                  </from>
                  <to>
                    <xdr:col>6</xdr:col>
                    <xdr:colOff>1181100</xdr:colOff>
                    <xdr:row>31</xdr:row>
                    <xdr:rowOff>114300</xdr:rowOff>
                  </to>
                </anchor>
              </controlPr>
            </control>
          </mc:Choice>
        </mc:AlternateContent>
        <mc:AlternateContent xmlns:mc="http://schemas.openxmlformats.org/markup-compatibility/2006">
          <mc:Choice Requires="x14">
            <control shapeId="49156" r:id="rId7" name="Button 4">
              <controlPr defaultSize="0" print="0" autoFill="0" autoPict="0" macro="[0]!toquoteentry">
                <anchor moveWithCells="1" sizeWithCells="1">
                  <from>
                    <xdr:col>3</xdr:col>
                    <xdr:colOff>209550</xdr:colOff>
                    <xdr:row>0</xdr:row>
                    <xdr:rowOff>19050</xdr:rowOff>
                  </from>
                  <to>
                    <xdr:col>3</xdr:col>
                    <xdr:colOff>666750</xdr:colOff>
                    <xdr:row>1</xdr:row>
                    <xdr:rowOff>19050</xdr:rowOff>
                  </to>
                </anchor>
              </controlPr>
            </control>
          </mc:Choice>
        </mc:AlternateContent>
      </controls>
    </mc:Choice>
  </mc:AlternateConten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A1:E50"/>
  <sheetViews>
    <sheetView showGridLines="0" showZeros="0" zoomScale="75" workbookViewId="0">
      <selection activeCell="D44" sqref="D44"/>
    </sheetView>
  </sheetViews>
  <sheetFormatPr defaultRowHeight="12.75"/>
  <cols>
    <col min="1" max="5" width="18.7109375" customWidth="1"/>
  </cols>
  <sheetData>
    <row r="1" spans="1:5" ht="18">
      <c r="A1" s="488" t="s">
        <v>4054</v>
      </c>
      <c r="B1" s="34"/>
      <c r="C1" s="34"/>
      <c r="D1" s="34"/>
      <c r="E1" s="34"/>
    </row>
    <row r="2" spans="1:5">
      <c r="A2" s="34"/>
      <c r="B2" s="110"/>
      <c r="C2" s="34"/>
      <c r="D2" s="34"/>
      <c r="E2" s="34"/>
    </row>
    <row r="3" spans="1:5">
      <c r="A3" s="34"/>
      <c r="B3" s="110"/>
      <c r="C3" s="34"/>
      <c r="D3" s="34"/>
      <c r="E3" s="34"/>
    </row>
    <row r="4" spans="1:5">
      <c r="A4" s="240" t="s">
        <v>5570</v>
      </c>
      <c r="B4" s="240" t="s">
        <v>1811</v>
      </c>
      <c r="C4" s="240" t="s">
        <v>6048</v>
      </c>
      <c r="D4" s="240" t="s">
        <v>121</v>
      </c>
      <c r="E4" s="34"/>
    </row>
    <row r="5" spans="1:5">
      <c r="A5" s="498">
        <v>1</v>
      </c>
      <c r="B5" s="484" t="s">
        <v>5573</v>
      </c>
      <c r="C5" s="559"/>
      <c r="D5" s="560">
        <f>StartAutomation*StartAutomation2</f>
        <v>0</v>
      </c>
      <c r="E5" s="34"/>
    </row>
    <row r="6" spans="1:5">
      <c r="A6" s="498">
        <v>1</v>
      </c>
      <c r="B6" s="484" t="s">
        <v>4362</v>
      </c>
      <c r="C6" s="559"/>
      <c r="D6" s="560">
        <f t="shared" ref="D6:D41" si="0">A6*C6</f>
        <v>0</v>
      </c>
      <c r="E6" s="34"/>
    </row>
    <row r="7" spans="1:5">
      <c r="A7" s="498">
        <v>1</v>
      </c>
      <c r="B7" s="484" t="s">
        <v>5575</v>
      </c>
      <c r="C7" s="559"/>
      <c r="D7" s="560">
        <f t="shared" si="0"/>
        <v>0</v>
      </c>
      <c r="E7" s="34"/>
    </row>
    <row r="8" spans="1:5">
      <c r="A8" s="498">
        <v>1</v>
      </c>
      <c r="B8" s="484" t="s">
        <v>5571</v>
      </c>
      <c r="C8" s="559"/>
      <c r="D8" s="560">
        <f t="shared" si="0"/>
        <v>0</v>
      </c>
      <c r="E8" s="34"/>
    </row>
    <row r="9" spans="1:5">
      <c r="A9" s="498">
        <v>1</v>
      </c>
      <c r="B9" s="484" t="s">
        <v>4357</v>
      </c>
      <c r="C9" s="559"/>
      <c r="D9" s="560">
        <f t="shared" si="0"/>
        <v>0</v>
      </c>
      <c r="E9" s="34"/>
    </row>
    <row r="10" spans="1:5">
      <c r="A10" s="498">
        <v>1</v>
      </c>
      <c r="B10" s="484" t="s">
        <v>819</v>
      </c>
      <c r="C10" s="559"/>
      <c r="D10" s="560">
        <f t="shared" si="0"/>
        <v>0</v>
      </c>
      <c r="E10" s="483"/>
    </row>
    <row r="11" spans="1:5">
      <c r="A11" s="498">
        <v>1</v>
      </c>
      <c r="B11" s="484" t="s">
        <v>5572</v>
      </c>
      <c r="C11" s="559"/>
      <c r="D11" s="560">
        <f t="shared" si="0"/>
        <v>0</v>
      </c>
      <c r="E11" s="483"/>
    </row>
    <row r="12" spans="1:5">
      <c r="A12" s="498">
        <v>1</v>
      </c>
      <c r="B12" s="484" t="s">
        <v>5574</v>
      </c>
      <c r="C12" s="559"/>
      <c r="D12" s="560">
        <f t="shared" si="0"/>
        <v>0</v>
      </c>
      <c r="E12" s="483"/>
    </row>
    <row r="13" spans="1:5">
      <c r="A13" s="498">
        <v>1</v>
      </c>
      <c r="B13" s="484" t="s">
        <v>4399</v>
      </c>
      <c r="C13" s="559"/>
      <c r="D13" s="560">
        <f t="shared" si="0"/>
        <v>0</v>
      </c>
      <c r="E13" s="483"/>
    </row>
    <row r="14" spans="1:5">
      <c r="A14" s="498">
        <v>1</v>
      </c>
      <c r="B14" s="484" t="s">
        <v>4120</v>
      </c>
      <c r="C14" s="559"/>
      <c r="D14" s="560">
        <f t="shared" si="0"/>
        <v>0</v>
      </c>
      <c r="E14" s="483"/>
    </row>
    <row r="15" spans="1:5">
      <c r="A15" s="498">
        <v>1</v>
      </c>
      <c r="B15" s="484" t="s">
        <v>3505</v>
      </c>
      <c r="C15" s="559"/>
      <c r="D15" s="560">
        <f t="shared" si="0"/>
        <v>0</v>
      </c>
      <c r="E15" s="483"/>
    </row>
    <row r="16" spans="1:5">
      <c r="A16" s="498">
        <v>1</v>
      </c>
      <c r="B16" s="484" t="s">
        <v>1813</v>
      </c>
      <c r="C16" s="559"/>
      <c r="D16" s="560">
        <f t="shared" si="0"/>
        <v>0</v>
      </c>
      <c r="E16" s="483"/>
    </row>
    <row r="17" spans="1:5">
      <c r="A17" s="498">
        <v>1</v>
      </c>
      <c r="B17" s="484" t="s">
        <v>4398</v>
      </c>
      <c r="C17" s="559"/>
      <c r="D17" s="560">
        <f t="shared" si="0"/>
        <v>0</v>
      </c>
      <c r="E17" s="483"/>
    </row>
    <row r="18" spans="1:5">
      <c r="A18" s="498">
        <v>1</v>
      </c>
      <c r="B18" s="484" t="s">
        <v>4567</v>
      </c>
      <c r="C18" s="559"/>
      <c r="D18" s="560">
        <f t="shared" si="0"/>
        <v>0</v>
      </c>
      <c r="E18" s="483"/>
    </row>
    <row r="19" spans="1:5">
      <c r="A19" s="498">
        <v>1</v>
      </c>
      <c r="B19" s="484" t="s">
        <v>4358</v>
      </c>
      <c r="C19" s="559"/>
      <c r="D19" s="560">
        <f t="shared" si="0"/>
        <v>0</v>
      </c>
      <c r="E19" s="483"/>
    </row>
    <row r="20" spans="1:5">
      <c r="A20" s="498">
        <v>1</v>
      </c>
      <c r="B20" s="484" t="s">
        <v>4359</v>
      </c>
      <c r="C20" s="559"/>
      <c r="D20" s="560">
        <f t="shared" si="0"/>
        <v>0</v>
      </c>
      <c r="E20" s="483"/>
    </row>
    <row r="21" spans="1:5">
      <c r="A21" s="498">
        <v>1</v>
      </c>
      <c r="B21" s="484" t="s">
        <v>271</v>
      </c>
      <c r="C21" s="559"/>
      <c r="D21" s="560">
        <f t="shared" si="0"/>
        <v>0</v>
      </c>
      <c r="E21" s="483"/>
    </row>
    <row r="22" spans="1:5">
      <c r="A22" s="498">
        <v>1</v>
      </c>
      <c r="B22" s="484" t="s">
        <v>270</v>
      </c>
      <c r="C22" s="559"/>
      <c r="D22" s="560">
        <f t="shared" si="0"/>
        <v>0</v>
      </c>
      <c r="E22" s="483"/>
    </row>
    <row r="23" spans="1:5">
      <c r="A23" s="498">
        <v>1</v>
      </c>
      <c r="B23" s="484" t="s">
        <v>4400</v>
      </c>
      <c r="C23" s="559"/>
      <c r="D23" s="560">
        <f t="shared" si="0"/>
        <v>0</v>
      </c>
      <c r="E23" s="483"/>
    </row>
    <row r="24" spans="1:5">
      <c r="A24" s="498">
        <v>1</v>
      </c>
      <c r="B24" s="484" t="s">
        <v>4360</v>
      </c>
      <c r="C24" s="559"/>
      <c r="D24" s="560">
        <f t="shared" si="0"/>
        <v>0</v>
      </c>
      <c r="E24" s="34"/>
    </row>
    <row r="25" spans="1:5">
      <c r="A25" s="498">
        <v>1</v>
      </c>
      <c r="B25" s="484" t="s">
        <v>2642</v>
      </c>
      <c r="C25" s="559"/>
      <c r="D25" s="560">
        <f t="shared" si="0"/>
        <v>0</v>
      </c>
      <c r="E25" s="34"/>
    </row>
    <row r="26" spans="1:5">
      <c r="A26" s="498">
        <v>1</v>
      </c>
      <c r="B26" s="484" t="s">
        <v>4354</v>
      </c>
      <c r="C26" s="559"/>
      <c r="D26" s="560">
        <f t="shared" si="0"/>
        <v>0</v>
      </c>
      <c r="E26" s="34"/>
    </row>
    <row r="27" spans="1:5">
      <c r="A27" s="498">
        <v>1</v>
      </c>
      <c r="B27" s="484" t="s">
        <v>4355</v>
      </c>
      <c r="C27" s="559"/>
      <c r="D27" s="560">
        <f t="shared" si="0"/>
        <v>0</v>
      </c>
      <c r="E27" s="34"/>
    </row>
    <row r="28" spans="1:5">
      <c r="A28" s="498">
        <v>1</v>
      </c>
      <c r="B28" s="484" t="s">
        <v>4356</v>
      </c>
      <c r="C28" s="559"/>
      <c r="D28" s="560">
        <f t="shared" si="0"/>
        <v>0</v>
      </c>
      <c r="E28" s="34"/>
    </row>
    <row r="29" spans="1:5">
      <c r="A29" s="498">
        <v>1</v>
      </c>
      <c r="B29" s="484" t="s">
        <v>5576</v>
      </c>
      <c r="C29" s="559"/>
      <c r="D29" s="560">
        <f t="shared" si="0"/>
        <v>0</v>
      </c>
      <c r="E29" s="34"/>
    </row>
    <row r="30" spans="1:5">
      <c r="A30" s="498">
        <v>1</v>
      </c>
      <c r="B30" s="484" t="s">
        <v>5577</v>
      </c>
      <c r="C30" s="559"/>
      <c r="D30" s="560">
        <f t="shared" si="0"/>
        <v>0</v>
      </c>
      <c r="E30" s="110"/>
    </row>
    <row r="31" spans="1:5">
      <c r="A31" s="498">
        <v>1</v>
      </c>
      <c r="B31" s="484" t="s">
        <v>1814</v>
      </c>
      <c r="C31" s="559"/>
      <c r="D31" s="560">
        <f t="shared" si="0"/>
        <v>0</v>
      </c>
      <c r="E31" s="110"/>
    </row>
    <row r="32" spans="1:5">
      <c r="A32" s="498">
        <v>1</v>
      </c>
      <c r="B32" s="484" t="s">
        <v>1815</v>
      </c>
      <c r="C32" s="559"/>
      <c r="D32" s="560">
        <f t="shared" si="0"/>
        <v>0</v>
      </c>
      <c r="E32" s="110"/>
    </row>
    <row r="33" spans="1:5">
      <c r="A33" s="498">
        <v>1</v>
      </c>
      <c r="B33" s="485" t="s">
        <v>4363</v>
      </c>
      <c r="C33" s="559"/>
      <c r="D33" s="560">
        <f t="shared" si="0"/>
        <v>0</v>
      </c>
      <c r="E33" s="110"/>
    </row>
    <row r="34" spans="1:5">
      <c r="A34" s="498">
        <v>1</v>
      </c>
      <c r="B34" s="485" t="s">
        <v>120</v>
      </c>
      <c r="C34" s="559"/>
      <c r="D34" s="560">
        <f t="shared" si="0"/>
        <v>0</v>
      </c>
      <c r="E34" s="110"/>
    </row>
    <row r="35" spans="1:5">
      <c r="A35" s="498">
        <v>1</v>
      </c>
      <c r="B35" s="485" t="s">
        <v>1816</v>
      </c>
      <c r="C35" s="559"/>
      <c r="D35" s="560">
        <f t="shared" si="0"/>
        <v>0</v>
      </c>
      <c r="E35" s="110"/>
    </row>
    <row r="36" spans="1:5">
      <c r="A36" s="498">
        <v>1</v>
      </c>
      <c r="B36" s="485" t="s">
        <v>4052</v>
      </c>
      <c r="C36" s="559"/>
      <c r="D36" s="560">
        <f t="shared" si="0"/>
        <v>0</v>
      </c>
      <c r="E36" s="110"/>
    </row>
    <row r="37" spans="1:5">
      <c r="A37" s="498">
        <v>1</v>
      </c>
      <c r="B37" s="485" t="s">
        <v>949</v>
      </c>
      <c r="C37" s="559"/>
      <c r="D37" s="560">
        <f t="shared" si="0"/>
        <v>0</v>
      </c>
      <c r="E37" s="110"/>
    </row>
    <row r="38" spans="1:5">
      <c r="A38" s="498">
        <v>1</v>
      </c>
      <c r="B38" s="485" t="s">
        <v>3645</v>
      </c>
      <c r="C38" s="559"/>
      <c r="D38" s="560">
        <f t="shared" si="0"/>
        <v>0</v>
      </c>
      <c r="E38" s="110"/>
    </row>
    <row r="39" spans="1:5">
      <c r="A39" s="498">
        <v>1</v>
      </c>
      <c r="B39" s="591"/>
      <c r="C39" s="559"/>
      <c r="D39" s="560">
        <f t="shared" si="0"/>
        <v>0</v>
      </c>
      <c r="E39" s="110"/>
    </row>
    <row r="40" spans="1:5">
      <c r="A40" s="498">
        <v>1</v>
      </c>
      <c r="B40" s="485" t="s">
        <v>4326</v>
      </c>
      <c r="C40" s="559"/>
      <c r="D40" s="560">
        <f t="shared" si="0"/>
        <v>0</v>
      </c>
      <c r="E40" s="110"/>
    </row>
    <row r="41" spans="1:5">
      <c r="A41" s="498">
        <v>1</v>
      </c>
      <c r="B41" s="484" t="s">
        <v>4325</v>
      </c>
      <c r="C41" s="559"/>
      <c r="D41" s="560">
        <f t="shared" si="0"/>
        <v>0</v>
      </c>
      <c r="E41" s="110"/>
    </row>
    <row r="42" spans="1:5">
      <c r="A42" s="34"/>
      <c r="B42" s="34"/>
      <c r="C42" s="484" t="s">
        <v>3903</v>
      </c>
      <c r="D42" s="560">
        <f>SUM(StartAutomation1: EndAutomation1)</f>
        <v>0</v>
      </c>
      <c r="E42" s="110"/>
    </row>
    <row r="43" spans="1:5">
      <c r="A43" s="34"/>
      <c r="B43" s="34"/>
      <c r="C43" s="484" t="s">
        <v>4361</v>
      </c>
      <c r="D43" s="561">
        <v>1.1000000000000001</v>
      </c>
      <c r="E43" s="110"/>
    </row>
    <row r="44" spans="1:5">
      <c r="A44" s="34"/>
      <c r="B44" s="34"/>
      <c r="C44" s="484" t="s">
        <v>4327</v>
      </c>
      <c r="D44" s="560">
        <f>ROUND(CSAutoCost*CSAutoMU,-2)</f>
        <v>0</v>
      </c>
      <c r="E44" s="110"/>
    </row>
    <row r="45" spans="1:5">
      <c r="A45" s="34"/>
      <c r="B45" s="34"/>
      <c r="C45" s="34"/>
      <c r="D45" s="34"/>
      <c r="E45" s="110"/>
    </row>
    <row r="46" spans="1:5">
      <c r="A46" s="34"/>
      <c r="B46" s="34"/>
      <c r="C46" s="34"/>
      <c r="D46" s="34"/>
      <c r="E46" s="110"/>
    </row>
    <row r="47" spans="1:5">
      <c r="A47" s="34"/>
      <c r="B47" s="34"/>
      <c r="C47" s="34"/>
      <c r="D47" s="34"/>
      <c r="E47" s="110"/>
    </row>
    <row r="48" spans="1:5">
      <c r="A48" s="34"/>
      <c r="B48" s="34"/>
      <c r="C48" s="34"/>
      <c r="D48" s="34"/>
      <c r="E48" s="110"/>
    </row>
    <row r="49" spans="1:5">
      <c r="A49" s="34"/>
      <c r="B49" s="34"/>
      <c r="C49" s="34"/>
      <c r="D49" s="34"/>
      <c r="E49" s="110"/>
    </row>
    <row r="50" spans="1:5">
      <c r="A50" s="34"/>
      <c r="B50" s="34"/>
      <c r="C50" s="34"/>
      <c r="D50" s="34"/>
      <c r="E50" s="110"/>
    </row>
  </sheetData>
  <sheetProtection algorithmName="SHA-512" hashValue="eEFWHRXc3FknmtUIcgdBebbw3e/VYDgfxsOa6IrepY/KQZ5mtIUYrp8cVvEh1p3AQkdf2DZnI9QcVqom3P6yNg==" saltValue="/k6qKHgb+dDYc8IA+5E2gg==" spinCount="100000" sheet="1" objects="1" scenarios="1"/>
  <phoneticPr fontId="22" type="noConversion"/>
  <pageMargins left="0.75" right="0.75" top="1" bottom="1" header="0.5" footer="0.5"/>
  <pageSetup orientation="portrait" horizontalDpi="4294967292" r:id="rId1"/>
  <headerFooter alignWithMargins="0">
    <oddHeader>&amp;L&amp;"Arial,Bold"&amp;F&amp;C&amp;"Arial,Bold"&amp;A&amp;R&amp;"Arial,Bold"&amp;D   &amp;T</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50177" r:id="rId4" name="Button 1">
              <controlPr defaultSize="0" print="0" autoFill="0" autoPict="0" macro="[0]!toquoteentry">
                <anchor moveWithCells="1" sizeWithCells="1">
                  <from>
                    <xdr:col>2</xdr:col>
                    <xdr:colOff>419100</xdr:colOff>
                    <xdr:row>0</xdr:row>
                    <xdr:rowOff>9525</xdr:rowOff>
                  </from>
                  <to>
                    <xdr:col>2</xdr:col>
                    <xdr:colOff>876300</xdr:colOff>
                    <xdr:row>1</xdr:row>
                    <xdr:rowOff>9525</xdr:rowOff>
                  </to>
                </anchor>
              </controlPr>
            </control>
          </mc:Choice>
        </mc:AlternateContent>
      </controls>
    </mc:Choice>
  </mc:AlternateConten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R573"/>
  <sheetViews>
    <sheetView showGridLines="0" zoomScale="85" workbookViewId="0">
      <selection activeCell="B391" sqref="B391"/>
    </sheetView>
  </sheetViews>
  <sheetFormatPr defaultColWidth="16.7109375" defaultRowHeight="11.25"/>
  <cols>
    <col min="1" max="1" width="23.42578125" style="743" customWidth="1"/>
    <col min="2" max="3" width="16.7109375" style="720" customWidth="1"/>
    <col min="4" max="7" width="16.7109375" style="721" customWidth="1"/>
    <col min="8" max="8" width="27.140625" style="722" customWidth="1"/>
    <col min="9" max="9" width="16.7109375" style="722" customWidth="1"/>
    <col min="10" max="16384" width="16.7109375" style="721"/>
  </cols>
  <sheetData>
    <row r="1" spans="1:18" ht="34.5" customHeight="1">
      <c r="A1" s="719" t="s">
        <v>999</v>
      </c>
      <c r="B1" s="112"/>
      <c r="G1" s="719" t="s">
        <v>2075</v>
      </c>
      <c r="H1" s="719" t="s">
        <v>1169</v>
      </c>
      <c r="I1" s="719" t="s">
        <v>3963</v>
      </c>
      <c r="J1" s="719" t="s">
        <v>6147</v>
      </c>
      <c r="K1" s="722"/>
      <c r="L1" s="722"/>
      <c r="R1" s="723"/>
    </row>
    <row r="2" spans="1:18" ht="12.75">
      <c r="A2" s="719"/>
      <c r="G2" s="722"/>
      <c r="J2" s="724" t="s">
        <v>1181</v>
      </c>
      <c r="K2" s="573" t="s">
        <v>1686</v>
      </c>
      <c r="L2" s="573" t="s">
        <v>2066</v>
      </c>
      <c r="M2" s="573" t="s">
        <v>2067</v>
      </c>
      <c r="N2" s="573" t="s">
        <v>2068</v>
      </c>
      <c r="O2" s="573" t="s">
        <v>5309</v>
      </c>
    </row>
    <row r="3" spans="1:18">
      <c r="A3" s="574" t="s">
        <v>5769</v>
      </c>
      <c r="B3" s="725" t="s">
        <v>2964</v>
      </c>
      <c r="C3" s="725" t="s">
        <v>2965</v>
      </c>
      <c r="D3" s="725" t="s">
        <v>444</v>
      </c>
      <c r="E3" s="726"/>
      <c r="G3" s="537" t="b">
        <f>NOT(FSMatlScrOne=2)</f>
        <v>1</v>
      </c>
      <c r="H3" s="537" t="b">
        <f>NOT(FSMatType1="Buyout")</f>
        <v>1</v>
      </c>
      <c r="I3" s="537" t="b">
        <f>AND(FSResinTest11,FSResinTest11A)</f>
        <v>1</v>
      </c>
      <c r="J3" s="574" t="s">
        <v>5114</v>
      </c>
      <c r="K3" s="727">
        <f>IF(FSResinTest11B=TRUE,(FSMatlOneReq*MatOne)/BaseQuantity/FSMatlYield,0)</f>
        <v>12.051419005102041</v>
      </c>
      <c r="L3" s="727">
        <f>IF(FSResinTest11B=TRUE,(FSMatlOneReq*MatOne2)/BaseQuantity/FSMatlYield,0)</f>
        <v>0</v>
      </c>
      <c r="M3" s="727">
        <f>IF(FSResinTest11B=TRUE,(FSMatlOneReq*MatOne3)/BaseQuantity/FSMatlYield,0)</f>
        <v>0</v>
      </c>
      <c r="N3" s="727">
        <f>IF(FSResinTest11B=TRUE,(FSMatlOneReq*MatOne4)/BaseQuantity/FSMatlYield,0)</f>
        <v>0</v>
      </c>
      <c r="O3" s="727">
        <f>IF(FSResinTest11B=TRUE,(FSMatlOneReq*MatOne5)/BaseQuantity/FSMatlYield,0)</f>
        <v>0</v>
      </c>
    </row>
    <row r="4" spans="1:18" s="722" customFormat="1">
      <c r="A4" s="574" t="s">
        <v>2274</v>
      </c>
      <c r="B4" s="728">
        <f>QEPartWeight1</f>
        <v>1</v>
      </c>
      <c r="C4" s="728" t="str">
        <f>QEPartWeight2</f>
        <v/>
      </c>
      <c r="D4" s="537" t="s">
        <v>3047</v>
      </c>
      <c r="J4" s="574" t="s">
        <v>5115</v>
      </c>
      <c r="K4" s="729">
        <f>FSMatOneJ3*FSMatlMU1</f>
        <v>17.233529177295917</v>
      </c>
      <c r="L4" s="729">
        <f>FSMatOneK3*FSMatlMU1</f>
        <v>0</v>
      </c>
      <c r="M4" s="729">
        <f>FSMatOneL3*FSMatlMU1</f>
        <v>0</v>
      </c>
      <c r="N4" s="729">
        <f>FSMatOneM3*FSMatlMU1</f>
        <v>0</v>
      </c>
      <c r="O4" s="729">
        <f>FSMatOneN3*FSMatlMU1</f>
        <v>0</v>
      </c>
    </row>
    <row r="5" spans="1:18">
      <c r="A5" s="574" t="s">
        <v>1580</v>
      </c>
      <c r="B5" s="728">
        <f>QERunnerWeight1</f>
        <v>17.45</v>
      </c>
      <c r="C5" s="728" t="str">
        <f>QERunnerWeight2</f>
        <v/>
      </c>
      <c r="D5" s="537" t="s">
        <v>5157</v>
      </c>
      <c r="G5" s="537" t="b">
        <f>NOT(FSMatlScrTwo=2)</f>
        <v>0</v>
      </c>
      <c r="H5" s="537" t="b">
        <f>NOT(FSMatType2="Buyout")</f>
        <v>1</v>
      </c>
      <c r="I5" s="537" t="b">
        <f>AND(FSResinTest12,FSResinTest12A)</f>
        <v>0</v>
      </c>
      <c r="J5" s="574" t="s">
        <v>5116</v>
      </c>
      <c r="K5" s="727">
        <f>IF(FSResinTest12B=TRUE,(FSMatlTwoReq*MatTwo)/BaseQuantity/FSMatlYield,0)</f>
        <v>0</v>
      </c>
      <c r="L5" s="727">
        <f>IF(FSResinTest12B=TRUE,(FSMatlTwoReq*MatTwo2)/BaseQuantity/FSMatlYield,0)</f>
        <v>0</v>
      </c>
      <c r="M5" s="727">
        <f>IF(FSResinTest12B=TRUE,(FSMatlTwoReq*MatTwo3)/BaseQuantity/FSMatlYield,0)</f>
        <v>0</v>
      </c>
      <c r="N5" s="727">
        <f>IF(FSResinTest12B=TRUE,(FSMatlTwoReq*MatTwo4)/BaseQuantity/FSMatlYield,0)</f>
        <v>0</v>
      </c>
      <c r="O5" s="727">
        <f>IF(FSResinTest12B=TRUE,(FSMatlTwoReq*MatTwo5)/BaseQuantity/FSMatlYield,0)</f>
        <v>0</v>
      </c>
    </row>
    <row r="6" spans="1:18">
      <c r="A6" s="574" t="s">
        <v>2977</v>
      </c>
      <c r="B6" s="730">
        <f>CavityScr1</f>
        <v>8</v>
      </c>
      <c r="C6" s="730">
        <f>CavityScr2</f>
        <v>0</v>
      </c>
      <c r="D6" s="537" t="s">
        <v>939</v>
      </c>
      <c r="G6" s="722"/>
      <c r="J6" s="574" t="s">
        <v>5469</v>
      </c>
      <c r="K6" s="729">
        <f>FSMatTwoJ5*FSMatlMU2</f>
        <v>0</v>
      </c>
      <c r="L6" s="729">
        <f>FSMatTwoK5*FSMatlMU2</f>
        <v>0</v>
      </c>
      <c r="M6" s="729">
        <f>FSMatTwoL5*FSMatlMU2</f>
        <v>0</v>
      </c>
      <c r="N6" s="729">
        <f>FSMatTwoM5*FSMatlMU2</f>
        <v>0</v>
      </c>
      <c r="O6" s="729">
        <f>FSMatTwoN5*FSMatlMU2</f>
        <v>0</v>
      </c>
    </row>
    <row r="7" spans="1:18" ht="22.5">
      <c r="A7" s="574" t="s">
        <v>2978</v>
      </c>
      <c r="B7" s="728">
        <f>IF(FSCavityScr1&gt;0,(FSPartWeight1*FSCavityScr1)+FSRunnerWt1,"")</f>
        <v>25.45</v>
      </c>
      <c r="C7" s="728" t="str">
        <f>IF(FSCavityScr2&gt;0,(FSPartWeight2*FSCavityScr2)+FSRunnerWt2,"")</f>
        <v/>
      </c>
      <c r="D7" s="537" t="s">
        <v>3807</v>
      </c>
      <c r="G7" s="537" t="b">
        <f>NOT(FSMatlScrThree=2)</f>
        <v>1</v>
      </c>
      <c r="H7" s="537" t="b">
        <f>NOT(FSMatType3="Buyout")</f>
        <v>1</v>
      </c>
      <c r="I7" s="537" t="b">
        <f>AND(FSResinTest13,FSResinTest13A)</f>
        <v>1</v>
      </c>
      <c r="J7" s="574" t="s">
        <v>5470</v>
      </c>
      <c r="K7" s="727">
        <f>IF(FSResinTest13B=TRUE,(FSMatlThreeReq*MatThree)/BaseQuantity/FSMatlYield,0)</f>
        <v>0</v>
      </c>
      <c r="L7" s="727">
        <f>IF(FSResinTest13B=TRUE,(FSMatlThreeReq*MatThree2)/BaseQuantity/FSMatlYield,0)</f>
        <v>0</v>
      </c>
      <c r="M7" s="727">
        <f>IF(FSResinTest13B=TRUE,(FSMatlThreeReq*MatThree3)/BaseQuantity/FSMatlYield,0)</f>
        <v>0</v>
      </c>
      <c r="N7" s="727">
        <f>IF(FSResinTest13B=TRUE,(FSMatlThreeReq*MatThree4)/BaseQuantity/FSMatlYield,0)</f>
        <v>0</v>
      </c>
      <c r="O7" s="727">
        <f>IF(FSResinTest13B=TRUE,(FSMatlThreeReq*MatThree5)/BaseQuantity/FSMatlYield,0)</f>
        <v>0</v>
      </c>
      <c r="R7" s="723"/>
    </row>
    <row r="8" spans="1:18">
      <c r="A8" s="574" t="s">
        <v>3325</v>
      </c>
      <c r="B8" s="731">
        <f>QERegrind1</f>
        <v>0.25</v>
      </c>
      <c r="C8" s="731" t="str">
        <f>QERegrind2</f>
        <v/>
      </c>
      <c r="D8" s="537" t="s">
        <v>3569</v>
      </c>
      <c r="G8" s="732"/>
      <c r="J8" s="574" t="s">
        <v>5471</v>
      </c>
      <c r="K8" s="729">
        <f>FSMatThreeJ7*FSMatlMU3</f>
        <v>0</v>
      </c>
      <c r="L8" s="729">
        <f>FSMatThreeK7*FSMatlMU3</f>
        <v>0</v>
      </c>
      <c r="M8" s="729">
        <f>FSMatThreeL7*FSMatlMU3</f>
        <v>0</v>
      </c>
      <c r="N8" s="729">
        <f>FSMatThreeM7*FSMatlMU3</f>
        <v>0</v>
      </c>
      <c r="O8" s="729">
        <f>FSMatThreeN7*FSMatlMU3</f>
        <v>0</v>
      </c>
    </row>
    <row r="9" spans="1:18">
      <c r="A9" s="574" t="s">
        <v>3832</v>
      </c>
      <c r="B9" s="733">
        <f>IF(FSCavityScr1&gt;0, (((FSPartWeight1*FSCavityScr1)+FSRunnerWt1)*FSRegrind1),"")</f>
        <v>6.3624999999999998</v>
      </c>
      <c r="C9" s="733" t="str">
        <f>IF(FSCavityScr2&gt;0, (((FSPartWeight2*FSCavityScr2)+FSRunnerWt2)*FSRegrind2),"")</f>
        <v/>
      </c>
      <c r="D9" s="537"/>
      <c r="G9" s="537" t="b">
        <f>NOT(FSMatlScrFour=2)</f>
        <v>1</v>
      </c>
      <c r="H9" s="537" t="b">
        <f>NOT(FSMatType4="Buyout")</f>
        <v>1</v>
      </c>
      <c r="I9" s="537" t="b">
        <f>AND(FSResinTest14,FSResinTest14A)</f>
        <v>1</v>
      </c>
      <c r="J9" s="537" t="s">
        <v>4124</v>
      </c>
      <c r="K9" s="727">
        <f>IF(FSResinTest14B=TRUE,(FSMatlFourReq*MatFour)/BaseQuantity/FSMatlYield,0)</f>
        <v>0</v>
      </c>
      <c r="L9" s="727">
        <f>IF(FSResinTest14B=TRUE,(FSMatlFourReq*MatFour2)/BaseQuantity/FSMatlYield,0)</f>
        <v>0</v>
      </c>
      <c r="M9" s="727">
        <f>IF(FSResinTest14B=TRUE,(FSMatlFourReq*MatFour3)/BaseQuantity/FSMatlYield,0)</f>
        <v>0</v>
      </c>
      <c r="N9" s="727">
        <f>IF(FSResinTest14B=TRUE,(FSMatlFourReq*MatFour4)/BaseQuantity/FSMatlYield,0)</f>
        <v>0</v>
      </c>
      <c r="O9" s="727">
        <f>IF(FSResinTest14B=TRUE,(FSMatlFourReq*MatFour5)/BaseQuantity/FSMatlYield,0)</f>
        <v>0</v>
      </c>
    </row>
    <row r="10" spans="1:18">
      <c r="A10" s="574" t="s">
        <v>3833</v>
      </c>
      <c r="B10" s="728">
        <f>IF(FSRunnerWt1&gt;FSMaxRegrind1,FSRunnerWt1-FSMaxRegrind1,0)</f>
        <v>11.087499999999999</v>
      </c>
      <c r="C10" s="728">
        <f>IF(FSRunnerWt2&gt;FSMaxRegrind2,FSRunnerWt2-FSMaxRegrind2,0)</f>
        <v>0</v>
      </c>
      <c r="D10" s="537"/>
      <c r="G10" s="734"/>
      <c r="J10" s="537" t="s">
        <v>4125</v>
      </c>
      <c r="K10" s="729">
        <f>FSMatFourJ9*FSMatlMU4</f>
        <v>0</v>
      </c>
      <c r="L10" s="729">
        <f>FSMatFourK9*FSMatlMU4</f>
        <v>0</v>
      </c>
      <c r="M10" s="729">
        <f>FSMatFourL9*FSMatlMU4</f>
        <v>0</v>
      </c>
      <c r="N10" s="729">
        <f>FSMatFourM9*FSMatlMU4</f>
        <v>0</v>
      </c>
      <c r="O10" s="729">
        <f>FSMatFourN9*FSMatlMU4</f>
        <v>0</v>
      </c>
    </row>
    <row r="11" spans="1:18" ht="20.45" customHeight="1">
      <c r="A11" s="574" t="s">
        <v>3834</v>
      </c>
      <c r="B11" s="728">
        <f>IF(FSExcessRunner1&gt;0,FSExcessRunner1/FSCavityScr1,0)</f>
        <v>1.3859374999999998</v>
      </c>
      <c r="C11" s="728">
        <f>IF(FSExcessRunner2&gt;0,FSExcessRunner2/FSCavityScr2,0)</f>
        <v>0</v>
      </c>
      <c r="D11" s="537"/>
      <c r="G11" s="537" t="b">
        <f>NOT(FSMatlScrFive=2)</f>
        <v>1</v>
      </c>
      <c r="H11" s="537" t="b">
        <f>NOT(FSMatType5="Buyout")</f>
        <v>1</v>
      </c>
      <c r="I11" s="537" t="b">
        <f>AND(FSResinTest15,FSResinTest15A)</f>
        <v>1</v>
      </c>
      <c r="J11" s="537" t="s">
        <v>2107</v>
      </c>
      <c r="K11" s="727">
        <f>IF(FSResinTest15B=TRUE,(FSMatlFiveReq*MatFive)/BaseQuantity/FSMatlYield,0)</f>
        <v>0</v>
      </c>
      <c r="L11" s="727">
        <f>IF(FSResinTest15B=TRUE,(FSMatlFiveReq*MatFive2)/BaseQuantity/FSMatlYield,0)</f>
        <v>0</v>
      </c>
      <c r="M11" s="727">
        <f>IF(FSResinTest15B=TRUE,(FSMatlFiveReq*MatFive3)/BaseQuantity/FSMatlYield,0)</f>
        <v>0</v>
      </c>
      <c r="N11" s="727">
        <f>IF(FSResinTest15B=TRUE,(FSMatlFiveReq*MatFive4)/BaseQuantity/FSMatlYield,0)</f>
        <v>0</v>
      </c>
      <c r="O11" s="727">
        <f>IF(FSResinTest15B=TRUE,(FSMatlFiveReq*MatFive5)/BaseQuantity/FSMatlYield,0)</f>
        <v>0</v>
      </c>
    </row>
    <row r="12" spans="1:18">
      <c r="A12" s="574" t="s">
        <v>4639</v>
      </c>
      <c r="B12" s="728">
        <f>IF(FSScrap1&gt;0,(FSScrap1/FSPartWeight1)+1,1)</f>
        <v>2.3859374999999998</v>
      </c>
      <c r="C12" s="728">
        <f>IF(FSScrap2&gt;0,(FSScrap2/FSPartWeight2)+1,1)</f>
        <v>1</v>
      </c>
      <c r="D12" s="537"/>
      <c r="G12" s="735"/>
      <c r="J12" s="537" t="s">
        <v>3187</v>
      </c>
      <c r="K12" s="729">
        <f>FSMatFiveJ11*FSMatlMU5</f>
        <v>0</v>
      </c>
      <c r="L12" s="729">
        <f>FSMatFiveK11*FSMatlMU5</f>
        <v>0</v>
      </c>
      <c r="M12" s="729">
        <f>FSMatFiveL11*FSMatlMU5</f>
        <v>0</v>
      </c>
      <c r="N12" s="729">
        <f>FSMatFiveM11*FSMatlMU5</f>
        <v>0</v>
      </c>
      <c r="O12" s="729">
        <f>FSMatFiveN11*FSMatlMU5</f>
        <v>0</v>
      </c>
    </row>
    <row r="13" spans="1:18" ht="22.5">
      <c r="A13" s="574" t="s">
        <v>3835</v>
      </c>
      <c r="B13" s="728">
        <f>IF(FSCavityScr1&gt;0, FSSprueFactor1*FSPartWeight1,"")</f>
        <v>2.3859374999999998</v>
      </c>
      <c r="C13" s="728" t="str">
        <f>IF(FSCavityScr2&gt;0, FSSprueFactor2*FSPartWeight2,"")</f>
        <v/>
      </c>
      <c r="D13" s="537" t="s">
        <v>3349</v>
      </c>
      <c r="G13" s="537" t="b">
        <f>NOT(FSMatlScr6=2)</f>
        <v>1</v>
      </c>
      <c r="H13" s="537" t="b">
        <f>NOT(FSMatType6="Buyout")</f>
        <v>1</v>
      </c>
      <c r="I13" s="537" t="b">
        <f>AND(FSResinTest16,FSResinTest16A)</f>
        <v>1</v>
      </c>
      <c r="J13" s="537" t="s">
        <v>2892</v>
      </c>
      <c r="K13" s="727">
        <f>IF(FSResinTest16B=TRUE,(FSMatl6Req*_Mat6)/BaseQuantity/FSMatlYield,0)</f>
        <v>0</v>
      </c>
      <c r="L13" s="727">
        <f>IF(FSResinTest16B=TRUE,(FSMatl6Req*_Mat62)/BaseQuantity/FSMatlYield,0)</f>
        <v>0</v>
      </c>
      <c r="M13" s="727">
        <f>IF(FSResinTest16B=TRUE,(FSMatl6Req*_Mat63)/BaseQuantity/FSMatlYield,0)</f>
        <v>0</v>
      </c>
      <c r="N13" s="727">
        <f>IF(FSResinTest16B=TRUE,(FSMatl6Req*_Mat64)/BaseQuantity/FSMatlYield,0)</f>
        <v>0</v>
      </c>
      <c r="O13" s="727">
        <f>IF(FSResinTest16B=TRUE,(FSMatl6Req*_Mat65)/BaseQuantity/FSMatlYield,0)</f>
        <v>0</v>
      </c>
    </row>
    <row r="14" spans="1:18">
      <c r="A14" s="574" t="s">
        <v>1788</v>
      </c>
      <c r="B14" s="736">
        <f>IF(FSCavityScr1&gt;0,(FSShotSize1*VSShotSizeVar)/BaseQuantity,0)</f>
        <v>0.40720000000000001</v>
      </c>
      <c r="C14" s="736">
        <f>IF(FSCavityScr2&gt;0,FSShotSize2*(VSShotSizeVar)/BaseQuantity,0)</f>
        <v>0</v>
      </c>
      <c r="G14" s="735"/>
      <c r="J14" s="537" t="s">
        <v>2893</v>
      </c>
      <c r="K14" s="729">
        <f>FSMat6Cost1*FSMatlMU6</f>
        <v>0</v>
      </c>
      <c r="L14" s="729">
        <f>FSMat6Cost2*FSMatlMU6</f>
        <v>0</v>
      </c>
      <c r="M14" s="729">
        <f>FSMat6Cost3*FSMatlMU6</f>
        <v>0</v>
      </c>
      <c r="N14" s="729">
        <f>FSMat6Cost4*FSMatlMU6</f>
        <v>0</v>
      </c>
      <c r="O14" s="729">
        <f>FSMat6Cost5*FSMatlMU6</f>
        <v>0</v>
      </c>
    </row>
    <row r="15" spans="1:18">
      <c r="A15" s="737"/>
      <c r="B15" s="738"/>
      <c r="C15" s="738"/>
      <c r="D15" s="734"/>
      <c r="G15" s="537" t="b">
        <f>NOT(FSMatlScr7=2)</f>
        <v>1</v>
      </c>
      <c r="H15" s="537" t="b">
        <f>NOT(FSMatType7="Buyout")</f>
        <v>1</v>
      </c>
      <c r="I15" s="537" t="b">
        <f>AND(FSResinTest17,FSResinTest17A)</f>
        <v>1</v>
      </c>
      <c r="J15" s="537" t="s">
        <v>2780</v>
      </c>
      <c r="K15" s="727">
        <f>IF(FSResinTest17B=TRUE,(FSMatl7Req*_Mat7)/BaseQuantity/FSMatlYield,0)</f>
        <v>0</v>
      </c>
      <c r="L15" s="727">
        <f>IF(FSResinTest17B=TRUE,(FSMatl7Req*_Mat72)/BaseQuantity/FSMatlYield,0)</f>
        <v>0</v>
      </c>
      <c r="M15" s="727">
        <f>IF(FSResinTest17B=TRUE,(FSMatl7Req*_Mat73)/BaseQuantity/FSMatlYield,0)</f>
        <v>0</v>
      </c>
      <c r="N15" s="727">
        <f>IF(FSResinTest17B=TRUE,(FSMatl7Req*_Mat74)/BaseQuantity/FSMatlYield,0)</f>
        <v>0</v>
      </c>
      <c r="O15" s="727">
        <f>IF(FSResinTest17B=TRUE,(FSMatl7Req*_Mat75)/BaseQuantity/FSMatlYield,0)</f>
        <v>0</v>
      </c>
    </row>
    <row r="16" spans="1:18" ht="12.75">
      <c r="A16" s="575" t="s">
        <v>1181</v>
      </c>
      <c r="G16" s="735"/>
      <c r="J16" s="537" t="s">
        <v>2781</v>
      </c>
      <c r="K16" s="729">
        <f>FSMat7Cost1*FSMatlMU7</f>
        <v>0</v>
      </c>
      <c r="L16" s="729">
        <f>FSMat7Cost2*FSMatlMU7</f>
        <v>0</v>
      </c>
      <c r="M16" s="729">
        <f>FSMat7Cost3*FSMatlMU7</f>
        <v>0</v>
      </c>
      <c r="N16" s="729">
        <f>FSMat7Cost4*FSMatlMU7</f>
        <v>0</v>
      </c>
      <c r="O16" s="729">
        <f>FSMat7Cost5*FSMatlMU7</f>
        <v>0</v>
      </c>
    </row>
    <row r="17" spans="1:15">
      <c r="A17" s="112" t="s">
        <v>1645</v>
      </c>
      <c r="B17" s="112" t="s">
        <v>3502</v>
      </c>
      <c r="C17" s="722" t="s">
        <v>1115</v>
      </c>
      <c r="D17" s="112" t="s">
        <v>4470</v>
      </c>
      <c r="E17" s="112" t="s">
        <v>6049</v>
      </c>
      <c r="G17" s="537" t="b">
        <f>NOT(FSMatlScr8=2)</f>
        <v>1</v>
      </c>
      <c r="H17" s="537" t="b">
        <f>NOT(FSMatType8="Buyout")</f>
        <v>1</v>
      </c>
      <c r="I17" s="537" t="b">
        <f>AND(FSResinTest18,FSResinTest18A)</f>
        <v>1</v>
      </c>
      <c r="J17" s="537" t="s">
        <v>5929</v>
      </c>
      <c r="K17" s="727">
        <f>IF(FSResinTest18B=TRUE,(FSMatl8Req*_Mat8)/BaseQuantity/FSMatlYield,0)</f>
        <v>0</v>
      </c>
      <c r="L17" s="727">
        <f>IF(FSResinTest18B=TRUE,(FSMatl8Req*_Mat82)/BaseQuantity/FSMatlYield,0)</f>
        <v>0</v>
      </c>
      <c r="M17" s="727">
        <f>IF(FSResinTest18B=TRUE,(FSMatl8Req*_Mat83)/BaseQuantity/FSMatlYield,0)</f>
        <v>0</v>
      </c>
      <c r="N17" s="727">
        <f>IF(FSResinTest18B=TRUE,(FSMatl8Req*_Mat84)/BaseQuantity/FSMatlYield,0)</f>
        <v>0</v>
      </c>
      <c r="O17" s="727">
        <f>IF(FSResinTest18B=TRUE,(FSMatl8Req*_Mat85)/BaseQuantity/FSMatlYield,0)</f>
        <v>0</v>
      </c>
    </row>
    <row r="18" spans="1:15">
      <c r="A18" s="739" t="str">
        <f>QEMatlOne</f>
        <v>Fortron 1130L4 Black</v>
      </c>
      <c r="B18" s="740">
        <f>QEMatlScrOne</f>
        <v>1</v>
      </c>
      <c r="C18" s="725" t="str">
        <f>QEMatType1</f>
        <v>Resin</v>
      </c>
      <c r="D18" s="736">
        <f>MatlOneReq</f>
        <v>2.3859374999999998</v>
      </c>
      <c r="E18" s="736">
        <f>QEMatlMU1</f>
        <v>1.43</v>
      </c>
      <c r="G18" s="735"/>
      <c r="J18" s="537" t="s">
        <v>5930</v>
      </c>
      <c r="K18" s="729">
        <f>FSMat8Cost1*FSMatlMU8</f>
        <v>0</v>
      </c>
      <c r="L18" s="729">
        <f>FSMat8Cost2*FSMatlMU8</f>
        <v>0</v>
      </c>
      <c r="M18" s="729">
        <f>FSMat8Cost3*FSMatlMU8</f>
        <v>0</v>
      </c>
      <c r="N18" s="729">
        <f>FSMat8Cost4*FSMatlMU8</f>
        <v>0</v>
      </c>
      <c r="O18" s="729">
        <f>FSMat8Cost5*FSMatlMU8</f>
        <v>0</v>
      </c>
    </row>
    <row r="19" spans="1:15">
      <c r="A19" s="739">
        <f>QEMatlTwo</f>
        <v>0</v>
      </c>
      <c r="B19" s="740">
        <f>QEMatlScrTwo</f>
        <v>2</v>
      </c>
      <c r="C19" s="725" t="str">
        <f>QEMatType2</f>
        <v>Resin</v>
      </c>
      <c r="D19" s="736">
        <f>MatlTwoReq</f>
        <v>0</v>
      </c>
      <c r="E19" s="736">
        <f>QEMatlMU2</f>
        <v>1.43</v>
      </c>
      <c r="G19" s="537" t="b">
        <f>NOT(FSMatlScr9=2)</f>
        <v>1</v>
      </c>
      <c r="H19" s="537" t="b">
        <f>NOT(FSMatType9="Buyout")</f>
        <v>1</v>
      </c>
      <c r="I19" s="537" t="b">
        <f>AND(FSResinTest19,FSResinTest19A)</f>
        <v>1</v>
      </c>
      <c r="J19" s="537" t="s">
        <v>5640</v>
      </c>
      <c r="K19" s="727">
        <f>IF(FSResinTest19B=TRUE,(FSMatl9Req*_Mat9)/BaseQuantity/FSMatlYield,0)</f>
        <v>0</v>
      </c>
      <c r="L19" s="727">
        <f>IF(FSResinTest19B=TRUE,(FSMatl9Req*_Mat92)/BaseQuantity/FSMatlYield,0)</f>
        <v>0</v>
      </c>
      <c r="M19" s="727">
        <f>IF(FSResinTest19B=TRUE,(FSMatl9Req*_Mat93)/BaseQuantity/FSMatlYield,0)</f>
        <v>0</v>
      </c>
      <c r="N19" s="727">
        <f>IF(FSResinTest19B=TRUE,(FSMatl9Req*_Mat94)/BaseQuantity/FSMatlYield,0)</f>
        <v>0</v>
      </c>
      <c r="O19" s="727">
        <f>IF(FSResinTest19B=TRUE,(FSMatl9Req*_Mat95)/BaseQuantity/FSMatlYield,0)</f>
        <v>0</v>
      </c>
    </row>
    <row r="20" spans="1:15">
      <c r="A20" s="739">
        <f>QEMatlThree</f>
        <v>0</v>
      </c>
      <c r="B20" s="740">
        <f>QEMatlScrThree</f>
        <v>1</v>
      </c>
      <c r="C20" s="725" t="str">
        <f>QEMatType3</f>
        <v>Resin</v>
      </c>
      <c r="D20" s="736">
        <f>MatlThreeReq</f>
        <v>0</v>
      </c>
      <c r="E20" s="736">
        <f>QEMatlMU3</f>
        <v>1.43</v>
      </c>
      <c r="G20" s="735"/>
      <c r="J20" s="537" t="s">
        <v>5641</v>
      </c>
      <c r="K20" s="729">
        <f>FSMat9Cost1*FSMatlMU9</f>
        <v>0</v>
      </c>
      <c r="L20" s="729">
        <f>FSMat9Cost2*FSMatlMU9</f>
        <v>0</v>
      </c>
      <c r="M20" s="729">
        <f>FSMat9Cost3*FSMatlMU9</f>
        <v>0</v>
      </c>
      <c r="N20" s="729">
        <f>FSMat9Cost4*FSMatlMU9</f>
        <v>0</v>
      </c>
      <c r="O20" s="729">
        <f>FSMat9Cost5*FSMatlMU9</f>
        <v>0</v>
      </c>
    </row>
    <row r="21" spans="1:15">
      <c r="A21" s="739">
        <f>QEMatlFour</f>
        <v>0</v>
      </c>
      <c r="B21" s="740">
        <f>QEMatlScrFour</f>
        <v>1</v>
      </c>
      <c r="C21" s="725" t="str">
        <f>QEMatType4</f>
        <v>Resin</v>
      </c>
      <c r="D21" s="736">
        <f>MatlfourReq</f>
        <v>0</v>
      </c>
      <c r="E21" s="736">
        <f>QEMatlMU4</f>
        <v>1.43</v>
      </c>
      <c r="G21" s="537" t="b">
        <f>NOT(FSMatlScr10=2)</f>
        <v>1</v>
      </c>
      <c r="H21" s="537" t="b">
        <f>NOT(FSMatType10="Buyout")</f>
        <v>1</v>
      </c>
      <c r="I21" s="537" t="b">
        <f>AND(FSResinTest110,FSResinTest110A)</f>
        <v>1</v>
      </c>
      <c r="J21" s="537" t="s">
        <v>5642</v>
      </c>
      <c r="K21" s="727">
        <f>IF(FSResinTest110B=TRUE,(FSMatl10Req*_Mat10)/BaseQuantity/FSMatlYield,0)</f>
        <v>0</v>
      </c>
      <c r="L21" s="727">
        <f>IF(FSResinTest110B=TRUE,(FSMatl10Req*_Mat102)/BaseQuantity/FSMatlYield,0)</f>
        <v>0</v>
      </c>
      <c r="M21" s="727">
        <f>IF(FSResinTest110B=TRUE,(FSMatl10Req*_Mat103)/BaseQuantity/FSMatlYield,0)</f>
        <v>0</v>
      </c>
      <c r="N21" s="727">
        <f>IF(FSResinTest110B=TRUE,(FSMatl10Req*_Mat104)/BaseQuantity/FSMatlYield,0)</f>
        <v>0</v>
      </c>
      <c r="O21" s="727">
        <f>IF(FSResinTest110B=TRUE,(FSMatl10Req*_Mat105)/BaseQuantity/FSMatlYield,0)</f>
        <v>0</v>
      </c>
    </row>
    <row r="22" spans="1:15">
      <c r="A22" s="739">
        <f>QEMatlFive</f>
        <v>0</v>
      </c>
      <c r="B22" s="740">
        <f>QEMatlScrFive</f>
        <v>1</v>
      </c>
      <c r="C22" s="725" t="str">
        <f>QEMatType5</f>
        <v>Resin</v>
      </c>
      <c r="D22" s="736">
        <f>MatlfiveReq</f>
        <v>0</v>
      </c>
      <c r="E22" s="736">
        <f>QEMatlMU5</f>
        <v>1.43</v>
      </c>
      <c r="G22" s="735"/>
      <c r="J22" s="537" t="s">
        <v>5643</v>
      </c>
      <c r="K22" s="729">
        <f>FSMat10Cost1*FSMatlMU10</f>
        <v>0</v>
      </c>
      <c r="L22" s="729">
        <f>FSMat10Cost2*FSMatlMU10</f>
        <v>0</v>
      </c>
      <c r="M22" s="729">
        <f>FSMat10Cost3*FSMatlMU10</f>
        <v>0</v>
      </c>
      <c r="N22" s="729">
        <f>FSMat10Cost4*FSMatlMU10</f>
        <v>0</v>
      </c>
      <c r="O22" s="729">
        <f>FSMat10Cost5*FSMatlMU10</f>
        <v>0</v>
      </c>
    </row>
    <row r="23" spans="1:15">
      <c r="A23" s="739">
        <f>QEMatl6</f>
        <v>0</v>
      </c>
      <c r="B23" s="740">
        <f>QEMatlScr6</f>
        <v>1</v>
      </c>
      <c r="C23" s="725" t="str">
        <f>QEMatType6</f>
        <v>Resin</v>
      </c>
      <c r="D23" s="736">
        <f>Matl6Req</f>
        <v>0</v>
      </c>
      <c r="E23" s="736">
        <f>QEMatlMU6</f>
        <v>1.43</v>
      </c>
      <c r="G23" s="537" t="b">
        <f>NOT(FSMatlScr11=2)</f>
        <v>1</v>
      </c>
      <c r="H23" s="537" t="b">
        <f>NOT(FSMatType11="Buyout")</f>
        <v>1</v>
      </c>
      <c r="I23" s="537" t="b">
        <f>AND(G23,H23)</f>
        <v>1</v>
      </c>
      <c r="J23" s="537" t="s">
        <v>2471</v>
      </c>
      <c r="K23" s="727">
        <f>IF($I$23=TRUE,(FSMatl11Req*_Mat11)/BaseQuantity/FSMatlYield,0)</f>
        <v>0</v>
      </c>
      <c r="L23" s="727">
        <f>IF($I$23=TRUE,(FSMatl11Req*_Mat112)/BaseQuantity/FSMatlYield,0)</f>
        <v>0</v>
      </c>
      <c r="M23" s="727">
        <f>IF($I$23=TRUE,(FSMatl11Req*_Mat113)/BaseQuantity/FSMatlYield,0)</f>
        <v>0</v>
      </c>
      <c r="N23" s="727">
        <f>IF($I$23=TRUE,(FSMatl11Req*_Mat114)/BaseQuantity/FSMatlYield,0)</f>
        <v>0</v>
      </c>
      <c r="O23" s="727">
        <f>IF($I$23=TRUE,(FSMatl11Req*_Mat115)/BaseQuantity/FSMatlYield,0)</f>
        <v>0</v>
      </c>
    </row>
    <row r="24" spans="1:15">
      <c r="A24" s="739">
        <f>QEMatl7</f>
        <v>0</v>
      </c>
      <c r="B24" s="740">
        <f>QEMatlScr7</f>
        <v>1</v>
      </c>
      <c r="C24" s="725" t="str">
        <f>QEMatType7</f>
        <v>Resin</v>
      </c>
      <c r="D24" s="736">
        <f>Matl7Req</f>
        <v>0</v>
      </c>
      <c r="E24" s="736">
        <f>QEMatlMU7</f>
        <v>1.43</v>
      </c>
      <c r="G24" s="735"/>
      <c r="J24" s="537" t="s">
        <v>2472</v>
      </c>
      <c r="K24" s="729">
        <f>K23*FSMatlMU11</f>
        <v>0</v>
      </c>
      <c r="L24" s="729">
        <f>L23*FSMatlMU11</f>
        <v>0</v>
      </c>
      <c r="M24" s="729">
        <f>M23*FSMatlMU11</f>
        <v>0</v>
      </c>
      <c r="N24" s="729">
        <f>N23*FSMatlMU11</f>
        <v>0</v>
      </c>
      <c r="O24" s="729">
        <f>O23*FSMatlMU11</f>
        <v>0</v>
      </c>
    </row>
    <row r="25" spans="1:15">
      <c r="A25" s="739">
        <f>QEMatl8</f>
        <v>0</v>
      </c>
      <c r="B25" s="740">
        <f>QEMatlScr8</f>
        <v>1</v>
      </c>
      <c r="C25" s="725" t="str">
        <f>QEMatType8</f>
        <v>Resin</v>
      </c>
      <c r="D25" s="736">
        <f>Matl8Req</f>
        <v>0</v>
      </c>
      <c r="E25" s="736">
        <f>QEMatlMU8</f>
        <v>1.43</v>
      </c>
      <c r="G25" s="537" t="b">
        <f>NOT(FSMatlScr12=2)</f>
        <v>1</v>
      </c>
      <c r="H25" s="537" t="b">
        <f>NOT(FSMatType12="Buyout")</f>
        <v>1</v>
      </c>
      <c r="I25" s="537" t="b">
        <f>AND(G25,H25)</f>
        <v>1</v>
      </c>
      <c r="J25" s="537" t="s">
        <v>1411</v>
      </c>
      <c r="K25" s="727">
        <f>IF($I$25=TRUE,(FSMatl12Req*_Mat12)/BaseQuantity/FSMatlYield,0)</f>
        <v>0</v>
      </c>
      <c r="L25" s="727">
        <f>IF($I$25=TRUE,(FSMatl12Req*_Mat122)/BaseQuantity/FSMatlYield,0)</f>
        <v>0</v>
      </c>
      <c r="M25" s="727">
        <f>IF($I$25=TRUE,(FSMatl12Req*_Mat123)/BaseQuantity/FSMatlYield,0)</f>
        <v>0</v>
      </c>
      <c r="N25" s="727">
        <f>IF($I$25=TRUE,(FSMatl12Req*_Mat124)/BaseQuantity/FSMatlYield,0)</f>
        <v>0</v>
      </c>
      <c r="O25" s="727">
        <f>IF($I$25=TRUE,(FSMatl12Req*_Mat125)/BaseQuantity/FSMatlYield,0)</f>
        <v>0</v>
      </c>
    </row>
    <row r="26" spans="1:15">
      <c r="A26" s="739">
        <f>QEMatl9</f>
        <v>0</v>
      </c>
      <c r="B26" s="740">
        <f>QEMatlScr9</f>
        <v>1</v>
      </c>
      <c r="C26" s="725" t="str">
        <f>QEMatType9</f>
        <v>Resin</v>
      </c>
      <c r="D26" s="736">
        <f>Matl9Req</f>
        <v>0</v>
      </c>
      <c r="E26" s="736">
        <f>QEMatlMU9</f>
        <v>1.43</v>
      </c>
      <c r="G26" s="735"/>
      <c r="J26" s="537" t="s">
        <v>1412</v>
      </c>
      <c r="K26" s="729">
        <f>K25*FSMatlMU12</f>
        <v>0</v>
      </c>
      <c r="L26" s="729">
        <f>L25*FSMatlMU12</f>
        <v>0</v>
      </c>
      <c r="M26" s="729">
        <f>M25*FSMatlMU12</f>
        <v>0</v>
      </c>
      <c r="N26" s="729">
        <f>N25*FSMatlMU12</f>
        <v>0</v>
      </c>
      <c r="O26" s="729">
        <f>O25*FSMatlMU12</f>
        <v>0</v>
      </c>
    </row>
    <row r="27" spans="1:15">
      <c r="A27" s="739">
        <f>QEMatl10</f>
        <v>0</v>
      </c>
      <c r="B27" s="740">
        <f>QEMatlScr10</f>
        <v>1</v>
      </c>
      <c r="C27" s="725" t="str">
        <f>QEMatType10</f>
        <v>Resin</v>
      </c>
      <c r="D27" s="736">
        <f>Matl10Req</f>
        <v>0</v>
      </c>
      <c r="E27" s="736">
        <f>QEMatlMU10</f>
        <v>1.43</v>
      </c>
      <c r="G27" s="537" t="b">
        <f>NOT(FSMatlScr13=2)</f>
        <v>1</v>
      </c>
      <c r="H27" s="537" t="b">
        <f>NOT(FSMatType13="Buyout")</f>
        <v>1</v>
      </c>
      <c r="I27" s="537" t="b">
        <f>AND(G27,H27)</f>
        <v>1</v>
      </c>
      <c r="J27" s="537" t="s">
        <v>1413</v>
      </c>
      <c r="K27" s="727">
        <f>IF($I$27=TRUE,(FSMatl13Req*_Mat13)/BaseQuantity/FSMatlYield,0)</f>
        <v>0</v>
      </c>
      <c r="L27" s="727">
        <f>IF($I$27=TRUE,(FSMatl13Req*_Mat132)/BaseQuantity/FSMatlYield,0)</f>
        <v>0</v>
      </c>
      <c r="M27" s="727">
        <f>IF($I$27=TRUE,(FSMatl13Req*_Mat133)/BaseQuantity/FSMatlYield,0)</f>
        <v>0</v>
      </c>
      <c r="N27" s="727">
        <f>IF($I$27=TRUE,(FSMatl13Req*_Mat134)/BaseQuantity/FSMatlYield,0)</f>
        <v>0</v>
      </c>
      <c r="O27" s="727">
        <f>IF($I$27=TRUE,(FSMatl13Req*_Mat135)/BaseQuantity/FSMatlYield,0)</f>
        <v>0</v>
      </c>
    </row>
    <row r="28" spans="1:15">
      <c r="G28" s="735"/>
      <c r="J28" s="537" t="s">
        <v>1414</v>
      </c>
      <c r="K28" s="729">
        <f>K27*FSMatlMU13</f>
        <v>0</v>
      </c>
      <c r="L28" s="729">
        <f>L27*FSMatlMU13</f>
        <v>0</v>
      </c>
      <c r="M28" s="729">
        <f>M27*FSMatlMU13</f>
        <v>0</v>
      </c>
      <c r="N28" s="729">
        <f>N27*FSMatlMU13</f>
        <v>0</v>
      </c>
      <c r="O28" s="729">
        <f>O27*FSMatlMU13</f>
        <v>0</v>
      </c>
    </row>
    <row r="29" spans="1:15">
      <c r="A29" s="740">
        <f>QEMatl11</f>
        <v>0</v>
      </c>
      <c r="B29" s="740">
        <f>QEMatlScr11</f>
        <v>1</v>
      </c>
      <c r="C29" s="725" t="str">
        <f>QEMatType11</f>
        <v>Resin</v>
      </c>
      <c r="D29" s="736">
        <f>Matl11Req</f>
        <v>0</v>
      </c>
      <c r="E29" s="736">
        <f>QEMatlMU11</f>
        <v>1.43</v>
      </c>
      <c r="G29" s="537" t="b">
        <f>NOT(FSMatlScr14=2)</f>
        <v>1</v>
      </c>
      <c r="H29" s="537" t="b">
        <f>NOT(FSMatType14="Buyout")</f>
        <v>1</v>
      </c>
      <c r="I29" s="537" t="b">
        <f>AND(G29,H29)</f>
        <v>1</v>
      </c>
      <c r="J29" s="537" t="s">
        <v>1415</v>
      </c>
      <c r="K29" s="727">
        <f>IF($I$29=TRUE,(FSMatl14Req*_Mat14)/BaseQuantity/FSMatlYield,0)</f>
        <v>0</v>
      </c>
      <c r="L29" s="727">
        <f>IF($I$29=TRUE,(FSMatl14Req*_Mat142)/BaseQuantity/FSMatlYield,0)</f>
        <v>0</v>
      </c>
      <c r="M29" s="727">
        <f>IF($I$29=TRUE,(FSMatl14Req*_Mat143)/BaseQuantity/FSMatlYield,0)</f>
        <v>0</v>
      </c>
      <c r="N29" s="727">
        <f>IF($I$29=TRUE,(FSMatl14Req*_Mat144)/BaseQuantity/FSMatlYield,0)</f>
        <v>0</v>
      </c>
      <c r="O29" s="727">
        <f>IF($I$29=TRUE,(FSMatl14Req*_Mat145)/BaseQuantity/FSMatlYield,0)</f>
        <v>0</v>
      </c>
    </row>
    <row r="30" spans="1:15">
      <c r="A30" s="740">
        <f>QEMatl12</f>
        <v>0</v>
      </c>
      <c r="B30" s="740">
        <f>QEMatlScr12</f>
        <v>1</v>
      </c>
      <c r="C30" s="725" t="str">
        <f>QEMatType12</f>
        <v>Resin</v>
      </c>
      <c r="D30" s="736">
        <f>Matl12Req</f>
        <v>0</v>
      </c>
      <c r="E30" s="736">
        <f>QEMatlMU12</f>
        <v>1.43</v>
      </c>
      <c r="G30" s="735"/>
      <c r="J30" s="537" t="s">
        <v>1416</v>
      </c>
      <c r="K30" s="729">
        <f>K29*FSMatlMU14</f>
        <v>0</v>
      </c>
      <c r="L30" s="729">
        <f>L29*FSMatlMU14</f>
        <v>0</v>
      </c>
      <c r="M30" s="729">
        <f>M29*FSMatlMU14</f>
        <v>0</v>
      </c>
      <c r="N30" s="729">
        <f>N29*FSMatlMU14</f>
        <v>0</v>
      </c>
      <c r="O30" s="729">
        <f>O29*FSMatlMU14</f>
        <v>0</v>
      </c>
    </row>
    <row r="31" spans="1:15">
      <c r="A31" s="740">
        <f>QEMatl13</f>
        <v>0</v>
      </c>
      <c r="B31" s="740">
        <f>QEMatlScr13</f>
        <v>1</v>
      </c>
      <c r="C31" s="725" t="str">
        <f>QEMatType13</f>
        <v>Resin</v>
      </c>
      <c r="D31" s="736">
        <f>Matl13Req</f>
        <v>0</v>
      </c>
      <c r="E31" s="736">
        <f>QEMatlMU13</f>
        <v>1.43</v>
      </c>
      <c r="G31" s="537" t="b">
        <f>NOT(FSMatlScr15=2)</f>
        <v>1</v>
      </c>
      <c r="H31" s="537" t="b">
        <f>NOT(FSMatType15="Buyout")</f>
        <v>1</v>
      </c>
      <c r="I31" s="537" t="b">
        <f>AND(G31,H31)</f>
        <v>1</v>
      </c>
      <c r="J31" s="537" t="s">
        <v>1417</v>
      </c>
      <c r="K31" s="727">
        <f>IF($I$31=TRUE,(FSMatl15Req*_Mat15)/BaseQuantity/FSMatlYield,0)</f>
        <v>0</v>
      </c>
      <c r="L31" s="727">
        <f>IF($I$31=TRUE,(FSMatl15Req*_Mat152)/BaseQuantity/FSMatlYield,0)</f>
        <v>0</v>
      </c>
      <c r="M31" s="727">
        <f>IF($I$31=TRUE,(FSMatl15Req*_Mat153)/BaseQuantity/FSMatlYield,0)</f>
        <v>0</v>
      </c>
      <c r="N31" s="727">
        <f>IF($I$31=TRUE,(FSMatl15Req*_Mat154)/BaseQuantity/FSMatlYield,0)</f>
        <v>0</v>
      </c>
      <c r="O31" s="727">
        <f>IF($I$31=TRUE,(FSMatl15Req*_Mat155)/BaseQuantity/FSMatlYield,0)</f>
        <v>0</v>
      </c>
    </row>
    <row r="32" spans="1:15">
      <c r="A32" s="740">
        <f>QEMatl14</f>
        <v>0</v>
      </c>
      <c r="B32" s="740">
        <f>QEMatlScr14</f>
        <v>1</v>
      </c>
      <c r="C32" s="725" t="str">
        <f>QEMatType14</f>
        <v>Resin</v>
      </c>
      <c r="D32" s="736">
        <f>Matl14Req</f>
        <v>0</v>
      </c>
      <c r="E32" s="736">
        <f>QEMatlMU14</f>
        <v>1.43</v>
      </c>
      <c r="G32" s="735"/>
      <c r="J32" s="537" t="s">
        <v>1418</v>
      </c>
      <c r="K32" s="729">
        <f>K31*FSMatlMU15</f>
        <v>0</v>
      </c>
      <c r="L32" s="729">
        <f>L31*FSMatlMU15</f>
        <v>0</v>
      </c>
      <c r="M32" s="729">
        <f>M31*FSMatlMU15</f>
        <v>0</v>
      </c>
      <c r="N32" s="729">
        <f>N31*FSMatlMU15</f>
        <v>0</v>
      </c>
      <c r="O32" s="729">
        <f>O31*FSMatlMU15</f>
        <v>0</v>
      </c>
    </row>
    <row r="33" spans="1:15">
      <c r="A33" s="740">
        <f>QEMatl15</f>
        <v>0</v>
      </c>
      <c r="B33" s="740">
        <f>QEMatlScr15</f>
        <v>1</v>
      </c>
      <c r="C33" s="725" t="str">
        <f>QEMatType15</f>
        <v>Resin</v>
      </c>
      <c r="D33" s="736">
        <f>Matl15Req</f>
        <v>0</v>
      </c>
      <c r="E33" s="736">
        <f>QEMatlMU15</f>
        <v>1.43</v>
      </c>
      <c r="G33" s="732"/>
      <c r="J33" s="574" t="s">
        <v>986</v>
      </c>
      <c r="K33" s="729">
        <f>FSMatOneJ3+FSMatTwoJ5+FSMatThreeJ7+FSMatFourJ9+FSMatFiveJ11+FSMat6Cost1+FSMat7Cost1+FSMat8Cost1+FSMat9Cost1+FSMat10Cost1+K23+K25+K27+K29+K31</f>
        <v>12.051419005102041</v>
      </c>
      <c r="L33" s="729">
        <f>FSMatOneK3+FSMatTwoK5+FSMatThreeK7+FSMatFourK9+FSMatFiveK11+FSMat6Cost2+FSMat7Cost2+FSMat8Cost2+FSMat9Cost2+FSMat10Cost2+L23+L25+L27+L29+L31</f>
        <v>0</v>
      </c>
      <c r="M33" s="729">
        <f>FSMatOneL3+FSMatTwoL5+FSMatThreeL7+FSMatFourL9+FSMatFiveL11+FSMat6Cost3+FSMat7Cost3+FSMat8Cost3+FSMat9Cost3+FSMat10Cost3+M23+M25+M27+M29+M31</f>
        <v>0</v>
      </c>
      <c r="N33" s="729">
        <f>FSMatOneM3+FSMatTwoM5+FSMatThreeM7+FSMatFourM9+FSMatFiveM11+FSMat6Cost4+FSMat7Cost4+FSMat8Cost4+FSMat9Cost4+FSMat10Cost4+N23+N25+N27+N29+N31</f>
        <v>0</v>
      </c>
      <c r="O33" s="729">
        <f>FSMatOneN3+FSMatTwoN5+FSMatThreeN7+FSMatFourN9+FSMatFiveN11+FSMat6Cost5+FSMat7Cost5+FSMat8Cost5+FSMat9Cost5+FSMat10Cost5 +O23+O25+O27+O29+O31</f>
        <v>0</v>
      </c>
    </row>
    <row r="34" spans="1:15">
      <c r="A34" s="742">
        <f>QEMatlYield</f>
        <v>0.98</v>
      </c>
      <c r="G34" s="741"/>
      <c r="J34" s="574" t="s">
        <v>987</v>
      </c>
      <c r="K34" s="729">
        <f>FSMatOneJ4+FSMatTwoJ6+FSMatThreeJ8+FSMatFourJ10+FSMatFiveJ12+FSMat6Price1+FSMat7Price1+FSMat8Price1+FSMat9Price1+FSMat10Price1+K24+K26+K28+K30+K32</f>
        <v>17.233529177295917</v>
      </c>
      <c r="L34" s="729">
        <f>FSMatOneK4+FSMatTwoK6+FSMatThreeK8+FSMatFourK10+FSMatFiveK12+FSMat6Price2+FSMat7Price2+FSMat8Price2+FSMat9Price2+FSMat10Price2+L24+L26+L28+L30+L32</f>
        <v>0</v>
      </c>
      <c r="M34" s="729">
        <f>FSMatOneL4+FSMatTwoL6+FSMatThreeL8+FSMatFourL10+FSMatFiveL12+FSMat6Price3+FSMat7Price3+FSMat8Price3+FSMat9Price3+FSMat10Price3+M24+M26+M28+M30+M32</f>
        <v>0</v>
      </c>
      <c r="N34" s="729">
        <f>FSMatOneM4+FSMatTwoM6+FSMatThreeM8+FSMatFourM10+FSMatFiveM12+FSMat6Price4+FSMat7Price4+FSMat8Price4+FSMat9Price4+FSMat10Price4+N24+N26+N28+N30+N32</f>
        <v>0</v>
      </c>
      <c r="O34" s="729">
        <f>FSMatOneN4+FSMatTwoN6+FSMatThreeN8+FSMatFourN10+FSMatFiveN12+FSMat6Price5+FSMat7Price5+FSMat8Price5+FSMat9Price5+FSMat10Price5+O24+O26+O28+O30+O32</f>
        <v>0</v>
      </c>
    </row>
    <row r="35" spans="1:15">
      <c r="A35" s="112"/>
      <c r="B35" s="112"/>
      <c r="C35" s="112"/>
      <c r="D35" s="112"/>
      <c r="J35" s="722"/>
      <c r="K35" s="722"/>
    </row>
    <row r="36" spans="1:15" ht="25.5">
      <c r="A36" s="719" t="s">
        <v>5137</v>
      </c>
      <c r="J36" s="719" t="s">
        <v>6148</v>
      </c>
      <c r="K36" s="722"/>
      <c r="L36" s="722"/>
    </row>
    <row r="37" spans="1:15" ht="12.75">
      <c r="A37" s="725" t="s">
        <v>1645</v>
      </c>
      <c r="B37" s="725" t="s">
        <v>5138</v>
      </c>
      <c r="C37" s="725" t="s">
        <v>5139</v>
      </c>
      <c r="J37" s="724" t="s">
        <v>1181</v>
      </c>
      <c r="K37" s="573" t="s">
        <v>1686</v>
      </c>
      <c r="L37" s="573" t="s">
        <v>2066</v>
      </c>
      <c r="M37" s="573" t="s">
        <v>2067</v>
      </c>
      <c r="N37" s="573" t="s">
        <v>2068</v>
      </c>
      <c r="O37" s="573" t="s">
        <v>5309</v>
      </c>
    </row>
    <row r="38" spans="1:15">
      <c r="A38" s="725" t="str">
        <f>FSMatlOne</f>
        <v>Fortron 1130L4 Black</v>
      </c>
      <c r="B38" s="1158">
        <f>IF(AND(FSMatlOne&gt;0,FSMatlScrOne&lt;&gt;2, FSMatType1 = "Resin"),FSMatlOneReq,0)</f>
        <v>2.3859374999999998</v>
      </c>
      <c r="C38" s="1158">
        <f>IF(AND(FSMatlOne&gt;0,FSMatlScrOne&lt;&gt;1, FSMatType1 = "Resin"),FSMatlOneReq,0)</f>
        <v>0</v>
      </c>
      <c r="G38" s="537" t="b">
        <f>NOT(FSMatlScrOne=1)</f>
        <v>0</v>
      </c>
      <c r="H38" s="537" t="b">
        <f>NOT(FSMatType1="Buyout")</f>
        <v>1</v>
      </c>
      <c r="I38" s="537" t="b">
        <f>AND(FSResinTest21,FSResinTest21A)</f>
        <v>0</v>
      </c>
      <c r="J38" s="574" t="s">
        <v>5114</v>
      </c>
      <c r="K38" s="727">
        <f>IF(FSResinTest21B=TRUE,(FSMatlOneReq*MatOne)/BaseQuantity/FSMatlYield,0)</f>
        <v>0</v>
      </c>
      <c r="L38" s="727">
        <f>IF(FSResinTest21B=TRUE,(FSMatlOneReq*MatOne2)/BaseQuantity/FSMatlYield,0)</f>
        <v>0</v>
      </c>
      <c r="M38" s="727">
        <f>IF(FSResinTest21B=TRUE,(FSMatlOneReq*MatOne3)/BaseQuantity/FSMatlYield,0)</f>
        <v>0</v>
      </c>
      <c r="N38" s="727">
        <f>IF(FSResinTest21B=TRUE,(FSMatlOneReq*MatOne4)/BaseQuantity/FSMatlYield,0)</f>
        <v>0</v>
      </c>
      <c r="O38" s="727">
        <f>IF(FSResinTest21B=TRUE,(FSMatlOneReq*MatOne5)/BaseQuantity/FSMatlYield,0)</f>
        <v>0</v>
      </c>
    </row>
    <row r="39" spans="1:15">
      <c r="A39" s="725">
        <f>FSMatlTwo</f>
        <v>0</v>
      </c>
      <c r="B39" s="1158">
        <f>IF(AND(FSMatlTwo&gt;0,FSMatlScrTwo&lt;&gt;2, FSMatType2 = "Resin"),FSMatlTwoReq,0)</f>
        <v>0</v>
      </c>
      <c r="C39" s="1158">
        <f>IF(AND(FSMatlTwo&gt;0,FSMatlScrTwo&lt;&gt;1, FSMatType2 = "Resin"),FSMatlTwoReq,0)</f>
        <v>0</v>
      </c>
      <c r="G39" s="722"/>
      <c r="J39" s="574" t="s">
        <v>5115</v>
      </c>
      <c r="K39" s="729">
        <f>FSMatOneJ18*FSMatlMU1</f>
        <v>0</v>
      </c>
      <c r="L39" s="729">
        <f>FSMatOneK18*FSMatlMU1</f>
        <v>0</v>
      </c>
      <c r="M39" s="729">
        <f>FSMatOneL18*FSMatlMU1</f>
        <v>0</v>
      </c>
      <c r="N39" s="729">
        <f>FSMatOneM18*FSMatlMU1</f>
        <v>0</v>
      </c>
      <c r="O39" s="729">
        <f>FSMatOneN18*FSMatlMU1</f>
        <v>0</v>
      </c>
    </row>
    <row r="40" spans="1:15">
      <c r="A40" s="725">
        <f>FSMatlThree</f>
        <v>0</v>
      </c>
      <c r="B40" s="1158">
        <f>IF(AND(FSMatlThree&gt;0,FSMatlScrThree&lt;&gt;2, FSMatType3 = "Resin"),FSMatlThreeReq,0)</f>
        <v>0</v>
      </c>
      <c r="C40" s="1158">
        <f>IF(AND(FSMatlThree&gt;0,FSMatlScrThree&lt;&gt;1, FSMatType3 = "Resin"),FSMatlThreeReq,0)</f>
        <v>0</v>
      </c>
      <c r="G40" s="537" t="b">
        <f>NOT(FSMatlScrTwo=1)</f>
        <v>1</v>
      </c>
      <c r="H40" s="537" t="b">
        <f>NOT(FSMatType2="Buyout")</f>
        <v>1</v>
      </c>
      <c r="I40" s="537" t="b">
        <f>AND(FSResinTest22,FSResinTest22A)</f>
        <v>1</v>
      </c>
      <c r="J40" s="574" t="s">
        <v>5116</v>
      </c>
      <c r="K40" s="727">
        <f>IF(FSResinTest22B=TRUE,(FSMatlTwoReq*MatTwo)/BaseQuantity/FSMatlYield,0)</f>
        <v>0</v>
      </c>
      <c r="L40" s="727">
        <f>IF(FSResinTest22B=TRUE,(FSMatlTwoReq*MatTwo2)/BaseQuantity/FSMatlYield,0)</f>
        <v>0</v>
      </c>
      <c r="M40" s="727">
        <f>IF(FSResinTest22B=TRUE,(FSMatlTwoReq*MatTwo3)/BaseQuantity/FSMatlYield,0)</f>
        <v>0</v>
      </c>
      <c r="N40" s="727">
        <f>IF(FSResinTest22B=TRUE,(FSMatlTwoReq*MatTwo4)/BaseQuantity/FSMatlYield,0)</f>
        <v>0</v>
      </c>
      <c r="O40" s="727">
        <f>IF(FSResinTest22B=TRUE,(FSMatlTwoReq*MatTwo5)/BaseQuantity/FSMatlYield,0)</f>
        <v>0</v>
      </c>
    </row>
    <row r="41" spans="1:15">
      <c r="A41" s="725">
        <f>FSMatlFour</f>
        <v>0</v>
      </c>
      <c r="B41" s="1158">
        <f>IF(AND(FSMatlFour&gt;0,FSMatlScrFour&lt;&gt;2, FSMatType4 = "Resin"),FSMatlFourReq,0)</f>
        <v>0</v>
      </c>
      <c r="C41" s="1158">
        <f>IF(AND(FSMatlFour&gt;0,FSMatlScrFour&lt;&gt;1, FSMatType4 = "Resin"),FSMatlFourReq,0)</f>
        <v>0</v>
      </c>
      <c r="G41" s="722"/>
      <c r="J41" s="574" t="s">
        <v>5469</v>
      </c>
      <c r="K41" s="729">
        <f>FSMatTwoJ20*FSMatlMU2</f>
        <v>0</v>
      </c>
      <c r="L41" s="729">
        <f>FSMatTwoK20*FSMatlMU2</f>
        <v>0</v>
      </c>
      <c r="M41" s="729">
        <f>FSMatTwoL20*FSMatlMU2</f>
        <v>0</v>
      </c>
      <c r="N41" s="729">
        <f>FSMatTwoM20*FSMatlMU2</f>
        <v>0</v>
      </c>
      <c r="O41" s="729">
        <f>FSMatTwoN20*FSMatlMU2</f>
        <v>0</v>
      </c>
    </row>
    <row r="42" spans="1:15">
      <c r="A42" s="725">
        <f>FSMatlFive</f>
        <v>0</v>
      </c>
      <c r="B42" s="1158">
        <f>IF(AND(FSMatlFive&gt;0,FSMatlScrFive&lt;&gt;2, FSMatType5 = "Resin"),FSMatlFiveReq,0)</f>
        <v>0</v>
      </c>
      <c r="C42" s="1158">
        <f>IF(AND(FSMatlFive&gt;0,FSMatlScrFive&lt;&gt;1, FSMatType5 = "Resin"),FSMatlFiveReq,0)</f>
        <v>0</v>
      </c>
      <c r="G42" s="537" t="b">
        <f>NOT(FSMatlScrThree=1)</f>
        <v>0</v>
      </c>
      <c r="H42" s="537" t="b">
        <f>NOT(FSMatType3="Buyout")</f>
        <v>1</v>
      </c>
      <c r="I42" s="537" t="b">
        <f>AND(FSResinTest23,FSResinTest23A)</f>
        <v>0</v>
      </c>
      <c r="J42" s="574" t="s">
        <v>5470</v>
      </c>
      <c r="K42" s="727">
        <f>IF(FSResinTest23B=TRUE,(FSMatlThreeReq*MatThree)/BaseQuantity/FSMatlYield,0)</f>
        <v>0</v>
      </c>
      <c r="L42" s="727">
        <f>IF(FSResinTest23B=TRUE,(FSMatlThreeReq*MatThree2)/BaseQuantity/FSMatlYield,0)</f>
        <v>0</v>
      </c>
      <c r="M42" s="727">
        <f>IF(FSResinTest23B=TRUE,(FSMatlThreeReq*MatThree3)/BaseQuantity/FSMatlYield,0)</f>
        <v>0</v>
      </c>
      <c r="N42" s="727">
        <f>IF(FSResinTest23B=TRUE,(FSMatlThreeReq*MatThree4)/BaseQuantity/FSMatlYield,0)</f>
        <v>0</v>
      </c>
      <c r="O42" s="727">
        <f>IF(FSResinTest23B=TRUE,(FSMatlThreeReq*MatThree5)/BaseQuantity/FSMatlYield,0)</f>
        <v>0</v>
      </c>
    </row>
    <row r="43" spans="1:15">
      <c r="A43" s="725">
        <f>FSMatl6</f>
        <v>0</v>
      </c>
      <c r="B43" s="1158">
        <f>IF(AND(FSMatl6&gt;0,FSMatlScr6= 1, FSMatType6 = "Resin"),FSMatl6Req,0)</f>
        <v>0</v>
      </c>
      <c r="C43" s="1158">
        <f>IF(AND(FSMatl6&gt;0,FSMatlScr6= 2, FSMatType6 = "Resin"),FSMatl6Req,0)</f>
        <v>0</v>
      </c>
      <c r="G43" s="732"/>
      <c r="J43" s="574" t="s">
        <v>5471</v>
      </c>
      <c r="K43" s="729">
        <f>FSMatThreeJ22*FSMatlMU3</f>
        <v>0</v>
      </c>
      <c r="L43" s="729">
        <f>FSMatThreeK22*FSMatlMU3</f>
        <v>0</v>
      </c>
      <c r="M43" s="729">
        <f>FSMatThreeL22*FSMatlMU3</f>
        <v>0</v>
      </c>
      <c r="N43" s="729">
        <f>FSMatThreeM22*FSMatlMU3</f>
        <v>0</v>
      </c>
      <c r="O43" s="729">
        <f>FSMatThreeN22*FSMatlMU3</f>
        <v>0</v>
      </c>
    </row>
    <row r="44" spans="1:15">
      <c r="A44" s="725">
        <f>FSMatl7</f>
        <v>0</v>
      </c>
      <c r="B44" s="1158">
        <f>IF(AND(FSMatl7&gt;0,FSMatlScr7= 1, FSMatType7 = "Resin"),FSMatl7Req,0)</f>
        <v>0</v>
      </c>
      <c r="C44" s="1158">
        <f>IF(AND(FSMatl7&gt;0,FSMatlScr7= 2, FSMatType7 = "Resin"),FSMatl7Req,0)</f>
        <v>0</v>
      </c>
      <c r="G44" s="537" t="b">
        <f>NOT(FSMatlScrFour=1)</f>
        <v>0</v>
      </c>
      <c r="H44" s="537" t="b">
        <f>NOT(FSMatType4="Buyout")</f>
        <v>1</v>
      </c>
      <c r="I44" s="537" t="b">
        <f>AND(FSResinTest24,FSResinTest24A)</f>
        <v>0</v>
      </c>
      <c r="J44" s="537" t="s">
        <v>4124</v>
      </c>
      <c r="K44" s="727">
        <f>IF(FSResinTest24B=TRUE,(FSMatlFourReq*MatFour)/BaseQuantity/FSMatlYield,0)</f>
        <v>0</v>
      </c>
      <c r="L44" s="727">
        <f>IF(FSResinTest24B=TRUE,(FSMatlFourReq*MatFour2)/BaseQuantity/FSMatlYield,0)</f>
        <v>0</v>
      </c>
      <c r="M44" s="727">
        <f>IF(FSResinTest24B=TRUE,(FSMatlFourReq*MatFour3)/BaseQuantity/FSMatlYield,0)</f>
        <v>0</v>
      </c>
      <c r="N44" s="727">
        <f>IF(FSResinTest24B=TRUE,(FSMatlFourReq*MatFour4)/BaseQuantity/FSMatlYield,0)</f>
        <v>0</v>
      </c>
      <c r="O44" s="727">
        <f>IF(FSResinTest24B=TRUE,(FSMatlFourReq*MatFour5)/BaseQuantity/FSMatlYield,0)</f>
        <v>0</v>
      </c>
    </row>
    <row r="45" spans="1:15">
      <c r="A45" s="725">
        <f>FSMatl8</f>
        <v>0</v>
      </c>
      <c r="B45" s="1158">
        <f>IF(AND(FSMatl8&gt;0,FSMatlScr8= 1, FSMatType8 = "Resin"),FSMatl8Req,0)</f>
        <v>0</v>
      </c>
      <c r="C45" s="1158">
        <f>IF(AND(FSMatl8&gt;0,FSMatlScr8= 2, FSMatType8 = "Resin"),FSMatl8Req,0)</f>
        <v>0</v>
      </c>
      <c r="G45" s="734"/>
      <c r="J45" s="537" t="s">
        <v>4125</v>
      </c>
      <c r="K45" s="729">
        <f>FSMatFourJ24*FSMatlMU4</f>
        <v>0</v>
      </c>
      <c r="L45" s="729">
        <f>FSMatFourK24*FSMatlMU4</f>
        <v>0</v>
      </c>
      <c r="M45" s="729">
        <f>FSMatFourL24*FSMatlMU4</f>
        <v>0</v>
      </c>
      <c r="N45" s="729">
        <f>FSMatFourM24*FSMatlMU4</f>
        <v>0</v>
      </c>
      <c r="O45" s="729">
        <f>FSMatFourN24*FSMatlMU4</f>
        <v>0</v>
      </c>
    </row>
    <row r="46" spans="1:15">
      <c r="A46" s="725">
        <f>FSMatl9</f>
        <v>0</v>
      </c>
      <c r="B46" s="1158">
        <f>IF(AND(FSMatl9&gt;0,FSMatlScr9= 1, FSMatType9 = "Resin"),FSMatl9Req,0)</f>
        <v>0</v>
      </c>
      <c r="C46" s="1158">
        <f>IF(AND(FSMatl9&gt;0,FSMatlScr9= 2, FSMatType9 = "Resin"),FSMatl9Req,0)</f>
        <v>0</v>
      </c>
      <c r="G46" s="537" t="b">
        <f>NOT(FSMatlScrFive=1)</f>
        <v>0</v>
      </c>
      <c r="H46" s="537" t="b">
        <f>NOT(FSMatType5="Buyout")</f>
        <v>1</v>
      </c>
      <c r="I46" s="537" t="b">
        <f>AND(FSResinTest25,FSResinTest25A)</f>
        <v>0</v>
      </c>
      <c r="J46" s="537" t="s">
        <v>2107</v>
      </c>
      <c r="K46" s="727">
        <f>IF(FSResinTest25B=TRUE,(FSMatlFiveReq*MatFive)/BaseQuantity/FSMatlYield,0)</f>
        <v>0</v>
      </c>
      <c r="L46" s="727">
        <f>IF(FSResinTest25B=TRUE,(FSMatlFiveReq*MatFive2)/BaseQuantity/FSMatlYield,0)</f>
        <v>0</v>
      </c>
      <c r="M46" s="727">
        <f>IF(FSResinTest25B=TRUE,(FSMatlFiveReq*MatFive3)/BaseQuantity/FSMatlYield,0)</f>
        <v>0</v>
      </c>
      <c r="N46" s="727">
        <f>IF(FSResinTest25B=TRUE,(FSMatlFiveReq*MatFive4)/BaseQuantity/FSMatlYield,0)</f>
        <v>0</v>
      </c>
      <c r="O46" s="727">
        <f>IF(FSResinTest25B=TRUE,(FSMatlFiveReq*MatFive5)/BaseQuantity/FSMatlYield,0)</f>
        <v>0</v>
      </c>
    </row>
    <row r="47" spans="1:15">
      <c r="A47" s="725">
        <f>FSMatl10</f>
        <v>0</v>
      </c>
      <c r="B47" s="1158">
        <f>IF(AND(FSMatl10&gt;0,  FSMatlScr10= 1, FSMatType10 = "Resin"),FSMatl10Req,0)</f>
        <v>0</v>
      </c>
      <c r="C47" s="1158">
        <f>IF(AND(FSMatl10&gt;0,  FSMatlScr10= 2, FSMatType10 = "Resin"),FSMatl10Req,0)</f>
        <v>0</v>
      </c>
      <c r="J47" s="537" t="s">
        <v>3187</v>
      </c>
      <c r="K47" s="729">
        <f>FSMatFiveJ26*FSMatlMU5</f>
        <v>0</v>
      </c>
      <c r="L47" s="729">
        <f>FSMatFiveK26*FSMatlMU5</f>
        <v>0</v>
      </c>
      <c r="M47" s="729">
        <f>FSMatFiveL26*FSMatlMU5</f>
        <v>0</v>
      </c>
      <c r="N47" s="729">
        <f>FSMatFiveM26*FSMatlMU5</f>
        <v>0</v>
      </c>
      <c r="O47" s="729">
        <f>FSMatFiveN26*FSMatlMU5</f>
        <v>0</v>
      </c>
    </row>
    <row r="48" spans="1:15">
      <c r="A48" s="725">
        <f>FSMatl11</f>
        <v>0</v>
      </c>
      <c r="B48" s="1158">
        <f>IF(AND(FSMatl11&gt;0, FSMatlScr11= 1, FSMatType11 = "Resin"),FSMatl11Req,0)</f>
        <v>0</v>
      </c>
      <c r="C48" s="1158">
        <f>IF(AND(FSMatl11&gt;0, FSMatlScr11= 2, FSMatType11 = "Resin"),FSMatl11Req,0)</f>
        <v>0</v>
      </c>
      <c r="G48" s="537" t="b">
        <f>NOT(FSMatlScr6=1)</f>
        <v>0</v>
      </c>
      <c r="H48" s="537" t="b">
        <f>NOT(FSMatType6="Buyout")</f>
        <v>1</v>
      </c>
      <c r="I48" s="537" t="b">
        <f>AND(FSResinTest26,FSResinTest26A)</f>
        <v>0</v>
      </c>
      <c r="J48" s="537" t="s">
        <v>2892</v>
      </c>
      <c r="K48" s="727">
        <f>IF(FSResinTest26B=TRUE,(FSMatl6Req*_Mat6)/BaseQuantity/FSMatlYield,0)</f>
        <v>0</v>
      </c>
      <c r="L48" s="727">
        <f>IF(FSResinTest26B=TRUE,(FSMatl6Req*_Mat62)/BaseQuantity/FSMatlYield,0)</f>
        <v>0</v>
      </c>
      <c r="M48" s="727">
        <f>IF(FSResinTest26B=TRUE,(FSMatl6Req*_Mat63)/BaseQuantity/FSMatlYield,0)</f>
        <v>0</v>
      </c>
      <c r="N48" s="727">
        <f>IF(FSResinTest26B=TRUE,(FSMatl6Req*_Mat64)/BaseQuantity/FSMatlYield,0)</f>
        <v>0</v>
      </c>
      <c r="O48" s="727">
        <f>IF(FSResinTest26B=TRUE,(FSMatl6Req*_Mat65)/BaseQuantity/FSMatlYield,0)</f>
        <v>0</v>
      </c>
    </row>
    <row r="49" spans="1:15">
      <c r="A49" s="725">
        <f>FSMatl12</f>
        <v>0</v>
      </c>
      <c r="B49" s="1158">
        <f>IF(AND(FSMatl12&gt;0,  FSMatlScr12= 1, FSMatType12 = "Resin"),FSMatl12Req,0)</f>
        <v>0</v>
      </c>
      <c r="C49" s="1158">
        <f>IF(AND(FSMatl12&gt;0,  FSMatlScr12= 2, FSMatType12 = "Resin"),FSMatl12Req,0)</f>
        <v>0</v>
      </c>
      <c r="G49" s="735"/>
      <c r="J49" s="537" t="s">
        <v>2893</v>
      </c>
      <c r="K49" s="729">
        <f>FSMat26Cost1*FSMatlMU6</f>
        <v>0</v>
      </c>
      <c r="L49" s="729">
        <f>FSMat26Cost2*FSMatlMU6</f>
        <v>0</v>
      </c>
      <c r="M49" s="729">
        <f>FSMat26Cost3*FSMatlMU6</f>
        <v>0</v>
      </c>
      <c r="N49" s="729">
        <f>FSMat26Cost4*FSMatlMU6</f>
        <v>0</v>
      </c>
      <c r="O49" s="729">
        <f>FSMat26Cost5*FSMatlMU6</f>
        <v>0</v>
      </c>
    </row>
    <row r="50" spans="1:15">
      <c r="A50" s="725">
        <f>FSMatl13</f>
        <v>0</v>
      </c>
      <c r="B50" s="1158">
        <f>IF(AND(FSMatl13&gt;0,  FSMatlScr13= 1, FSMatType13 = "Resin"),FSMatl13Req,0)</f>
        <v>0</v>
      </c>
      <c r="C50" s="1158">
        <f>IF(AND(FSMatl13&gt;0,  FSMatlScr13= 2, FSMatType13 = "Resin"),FSMatl13Req,0)</f>
        <v>0</v>
      </c>
      <c r="G50" s="537" t="b">
        <f>NOT(FSMatlScr7=1)</f>
        <v>0</v>
      </c>
      <c r="H50" s="537" t="b">
        <f>NOT(FSMatType7="Buyout")</f>
        <v>1</v>
      </c>
      <c r="I50" s="537" t="b">
        <f>AND(FSResinTest27,FSResinTest27A)</f>
        <v>0</v>
      </c>
      <c r="J50" s="537" t="s">
        <v>2780</v>
      </c>
      <c r="K50" s="727">
        <f>IF(FSResinTest27B=TRUE,(FSMatl7Req*_Mat7)/BaseQuantity/FSMatlYield,0)</f>
        <v>0</v>
      </c>
      <c r="L50" s="727">
        <f>IF(FSResinTest27B=TRUE,(FSMatl7Req*_Mat72)/BaseQuantity/FSMatlYield,0)</f>
        <v>0</v>
      </c>
      <c r="M50" s="727">
        <f>IF(FSResinTest27B=TRUE,(FSMatl7Req*_Mat73)/BaseQuantity/FSMatlYield,0)</f>
        <v>0</v>
      </c>
      <c r="N50" s="727">
        <f>IF(FSResinTest27B=TRUE,(FSMatl7Req*_Mat74)/BaseQuantity/FSMatlYield,0)</f>
        <v>0</v>
      </c>
      <c r="O50" s="727">
        <f>IF(FSResinTest27B=TRUE,(FSMatl7Req*_Mat75)/BaseQuantity/FSMatlYield,0)</f>
        <v>0</v>
      </c>
    </row>
    <row r="51" spans="1:15">
      <c r="A51" s="725">
        <f>FSMatl14</f>
        <v>0</v>
      </c>
      <c r="B51" s="1158">
        <f>IF(AND(FSMatl14&gt;0,  FSMatlScr14= 1, FSMatType14 = "Resin"),FSMatl14Req,0)</f>
        <v>0</v>
      </c>
      <c r="C51" s="1158">
        <f>IF(AND(FSMatl14&gt;0,  FSMatlScr14= 2, FSMatType14 = "Resin"),FSMatl14Req,0)</f>
        <v>0</v>
      </c>
      <c r="G51" s="735"/>
      <c r="J51" s="537" t="s">
        <v>2781</v>
      </c>
      <c r="K51" s="729">
        <f>FSMat27Cost1*FSMatlMU7</f>
        <v>0</v>
      </c>
      <c r="L51" s="729">
        <f>FSMat27Cost2*FSMatlMU7</f>
        <v>0</v>
      </c>
      <c r="M51" s="729">
        <f>FSMat27Cost3*FSMatlMU7</f>
        <v>0</v>
      </c>
      <c r="N51" s="729">
        <f>FSMat27Cost4*FSMatlMU7</f>
        <v>0</v>
      </c>
      <c r="O51" s="729">
        <f>FSMat27Cost5*FSMatlMU7</f>
        <v>0</v>
      </c>
    </row>
    <row r="52" spans="1:15" ht="26.25" customHeight="1">
      <c r="A52" s="725">
        <f>FSMatl15</f>
        <v>0</v>
      </c>
      <c r="B52" s="1158">
        <f>IF(AND(FSMatl15&gt;0,  FSMatlScr15= 1, FSMatType15 = "Resin"),FSMatl15Req,0)</f>
        <v>0</v>
      </c>
      <c r="C52" s="1158">
        <f>IF(AND(FSMatl15&gt;0,  FSMatlScr15= 2, FSMatType15 = "Resin"),FSMatl15Req,0)</f>
        <v>0</v>
      </c>
      <c r="G52" s="537" t="b">
        <f>NOT(FSMatlScr8=1)</f>
        <v>0</v>
      </c>
      <c r="H52" s="537" t="b">
        <f>NOT(FSMatType8="Buyout")</f>
        <v>1</v>
      </c>
      <c r="I52" s="537" t="b">
        <f>AND(FSResinTest28,FSResinTest28A)</f>
        <v>0</v>
      </c>
      <c r="J52" s="537" t="s">
        <v>5929</v>
      </c>
      <c r="K52" s="727">
        <f>IF(FSResinTest28B=TRUE,(FSMatl8Req*_Mat8)/BaseQuantity/FSMatlYield,0)</f>
        <v>0</v>
      </c>
      <c r="L52" s="727">
        <f>IF(FSResinTest28B=TRUE,(FSMatl8Req*_Mat82)/BaseQuantity/FSMatlYield,0)</f>
        <v>0</v>
      </c>
      <c r="M52" s="727">
        <f>IF(FSResinTest28B=TRUE,(FSMatl8Req*_Mat83)/BaseQuantity/FSMatlYield,0)</f>
        <v>0</v>
      </c>
      <c r="N52" s="727">
        <f>IF(FSResinTest28B=TRUE,(FSMatl8Req*_Mat84)/BaseQuantity/FSMatlYield,0)</f>
        <v>0</v>
      </c>
      <c r="O52" s="727">
        <f>IF(FSResinTest28B=TRUE,(FSMatl8Req*_Mat85)/BaseQuantity/FSMatlYield,0)</f>
        <v>0</v>
      </c>
    </row>
    <row r="53" spans="1:15">
      <c r="B53" s="1159">
        <f>SUM(B38:B52)</f>
        <v>2.3859374999999998</v>
      </c>
      <c r="C53" s="1159">
        <f>SUM(C38:C52)</f>
        <v>0</v>
      </c>
      <c r="G53" s="735"/>
      <c r="J53" s="537" t="s">
        <v>5930</v>
      </c>
      <c r="K53" s="729">
        <f>FSMat28Cost1*FSMatlMU8</f>
        <v>0</v>
      </c>
      <c r="L53" s="729">
        <f>FSMat28Cost2*FSMatlMU8</f>
        <v>0</v>
      </c>
      <c r="M53" s="729">
        <f>FSMat28Cost3*FSMatlMU8</f>
        <v>0</v>
      </c>
      <c r="N53" s="729">
        <f>FSMat28Cost4*FSMatlMU8</f>
        <v>0</v>
      </c>
      <c r="O53" s="729">
        <f>FSMat28Cost5*FSMatlMU8</f>
        <v>0</v>
      </c>
    </row>
    <row r="54" spans="1:15">
      <c r="G54" s="537" t="b">
        <f>NOT(FSMatlScr9=1)</f>
        <v>0</v>
      </c>
      <c r="H54" s="537" t="b">
        <f>NOT(FSMatType9="Buyout")</f>
        <v>1</v>
      </c>
      <c r="I54" s="537" t="b">
        <f>AND(FSResinTest29,FSResinTest29A)</f>
        <v>0</v>
      </c>
      <c r="J54" s="537" t="s">
        <v>5640</v>
      </c>
      <c r="K54" s="727">
        <f>IF(FSResinTest29B=TRUE,(FSMatl9Req*_Mat9)/BaseQuantity/FSMatlYield,0)</f>
        <v>0</v>
      </c>
      <c r="L54" s="727">
        <f>IF(FSResinTest29B=TRUE,(FSMatl9Req*_Mat92)/BaseQuantity/FSMatlYield,0)</f>
        <v>0</v>
      </c>
      <c r="M54" s="727">
        <f>IF(FSResinTest29B=TRUE,(FSMatl9Req*_Mat93)/BaseQuantity/FSMatlYield,0)</f>
        <v>0</v>
      </c>
      <c r="N54" s="727">
        <f>IF(FSResinTest29B=TRUE,(FSMatl9Req*_Mat94)/BaseQuantity/FSMatlYield,0)</f>
        <v>0</v>
      </c>
      <c r="O54" s="727">
        <f>IF(FSResinTest29B=TRUE,(FSMatl9Req*_Mat95)/BaseQuantity/FSMatlYield,0)</f>
        <v>0</v>
      </c>
    </row>
    <row r="55" spans="1:15">
      <c r="G55" s="735"/>
      <c r="J55" s="537" t="s">
        <v>5641</v>
      </c>
      <c r="K55" s="729">
        <f>FSMat29Cost1*FSMatlMU9</f>
        <v>0</v>
      </c>
      <c r="L55" s="729">
        <f>FSMat29Cost2*FSMatlMU9</f>
        <v>0</v>
      </c>
      <c r="M55" s="729">
        <f>FSMat29Cost3*FSMatlMU9</f>
        <v>0</v>
      </c>
      <c r="N55" s="729">
        <f>FSMat29Cost4*FSMatlMU9</f>
        <v>0</v>
      </c>
      <c r="O55" s="729">
        <f>FSMat29Cost5*FSMatlMU9</f>
        <v>0</v>
      </c>
    </row>
    <row r="56" spans="1:15">
      <c r="G56" s="537" t="b">
        <f>NOT(FSMatlScr10=1)</f>
        <v>0</v>
      </c>
      <c r="H56" s="537" t="b">
        <f>NOT(FSMatType10="Buyout")</f>
        <v>1</v>
      </c>
      <c r="I56" s="537" t="b">
        <f>AND(FSResinTest210,FSResinTest210A)</f>
        <v>0</v>
      </c>
      <c r="J56" s="537" t="s">
        <v>5642</v>
      </c>
      <c r="K56" s="727">
        <f>IF(FSResinTest210B=TRUE,(FSMatl10Req*_Mat10)/BaseQuantity/FSMatlYield,0)</f>
        <v>0</v>
      </c>
      <c r="L56" s="727">
        <f>IF(FSResinTest210B=TRUE,(FSMatl10Req*_Mat102)/BaseQuantity/FSMatlYield,0)</f>
        <v>0</v>
      </c>
      <c r="M56" s="727">
        <f>IF(FSResinTest210B=TRUE,(FSMatl10Req*_Mat103)/BaseQuantity/FSMatlYield,0)</f>
        <v>0</v>
      </c>
      <c r="N56" s="727">
        <f>IF(FSResinTest210B=TRUE,(FSMatl10Req*_Mat104)/BaseQuantity/FSMatlYield,0)</f>
        <v>0</v>
      </c>
      <c r="O56" s="727">
        <f>IF(FSResinTest210B=TRUE,(FSMatl10Req*_Mat105)/BaseQuantity/FSMatlYield,0)</f>
        <v>0</v>
      </c>
    </row>
    <row r="57" spans="1:15">
      <c r="G57" s="735"/>
      <c r="J57" s="537" t="s">
        <v>5643</v>
      </c>
      <c r="K57" s="729">
        <f>FSMat210Cost1*FSMatlMU10</f>
        <v>0</v>
      </c>
      <c r="L57" s="729">
        <f>FSMat210Cost2*FSMatlMU10</f>
        <v>0</v>
      </c>
      <c r="M57" s="729">
        <f>FSMat210Cost3*FSMatlMU10</f>
        <v>0</v>
      </c>
      <c r="N57" s="729">
        <f>FSMat210Cost4*FSMatlMU10</f>
        <v>0</v>
      </c>
      <c r="O57" s="729">
        <f>FSMat210Cost5*FSMatlMU10</f>
        <v>0</v>
      </c>
    </row>
    <row r="58" spans="1:15" ht="12.75">
      <c r="A58" s="719" t="s">
        <v>3707</v>
      </c>
      <c r="F58" s="112"/>
      <c r="G58" s="537" t="b">
        <f>NOT(FSMatlScr11=1)</f>
        <v>0</v>
      </c>
      <c r="H58" s="537" t="b">
        <f>NOT(FSMatType11="Buyout")</f>
        <v>1</v>
      </c>
      <c r="I58" s="537" t="b">
        <f>AND(G58,H58)</f>
        <v>0</v>
      </c>
      <c r="J58" s="537" t="s">
        <v>2471</v>
      </c>
      <c r="K58" s="727">
        <f>IF($I$58=TRUE,(FSMatl11Req*_Mat11)/BaseQuantity/FSMatlYield,0)</f>
        <v>0</v>
      </c>
      <c r="L58" s="727">
        <f>IF($I$58=TRUE,(FSMatl11Req*_Mat112)/BaseQuantity/FSMatlYield,0)</f>
        <v>0</v>
      </c>
      <c r="M58" s="727">
        <f>IF($I$58=TRUE,(FSMatl11Req*_Mat113)/BaseQuantity/FSMatlYield,0)</f>
        <v>0</v>
      </c>
      <c r="N58" s="727">
        <f>IF($I$58=TRUE,(FSMatl11Req*_Mat114)/BaseQuantity/FSMatlYield,0)</f>
        <v>0</v>
      </c>
      <c r="O58" s="727">
        <f>IF($I$58=TRUE,(FSMatl11Req*_Mat115)/BaseQuantity/FSMatlYield,0)</f>
        <v>0</v>
      </c>
    </row>
    <row r="59" spans="1:15">
      <c r="A59" s="725" t="s">
        <v>4469</v>
      </c>
      <c r="B59" s="725" t="s">
        <v>4468</v>
      </c>
      <c r="C59" s="537" t="s">
        <v>3303</v>
      </c>
      <c r="D59" s="725">
        <v>1</v>
      </c>
      <c r="E59" s="725">
        <v>2</v>
      </c>
      <c r="F59" s="732"/>
      <c r="G59" s="735"/>
      <c r="J59" s="537" t="s">
        <v>2472</v>
      </c>
      <c r="K59" s="729">
        <f>K58*FSMatlMU11</f>
        <v>0</v>
      </c>
      <c r="L59" s="729">
        <f>L58*FSMatlMU11</f>
        <v>0</v>
      </c>
      <c r="M59" s="729">
        <f>M58*FSMatlMU11</f>
        <v>0</v>
      </c>
      <c r="N59" s="729">
        <f>N58*FSMatlMU11</f>
        <v>0</v>
      </c>
      <c r="O59" s="729">
        <f>O58*FSMatlMU11</f>
        <v>0</v>
      </c>
    </row>
    <row r="60" spans="1:15">
      <c r="A60" s="1151">
        <f>IF(QEPressScrOne&lt;&gt;2,FSPcsHrD27,0)</f>
        <v>2352</v>
      </c>
      <c r="B60" s="1151">
        <f>IF(QEPressScrOne&lt;&gt;1,FSPcsHrE27,0)</f>
        <v>0</v>
      </c>
      <c r="C60" s="725" t="s">
        <v>1253</v>
      </c>
      <c r="D60" s="1151">
        <f>IF(QECycle1&gt;0,(HRSFactor/QECycle1)*(QECavPrs1*QEPressYield),0)</f>
        <v>2352</v>
      </c>
      <c r="E60" s="1151">
        <f>IF(QECycle1&gt;0,(HRSFactor/QECycle1)*(QECavPrs21*QEPressYield1),0)</f>
        <v>0</v>
      </c>
      <c r="F60" s="734"/>
      <c r="G60" s="537" t="b">
        <f>NOT(FSMatlScr12=1)</f>
        <v>0</v>
      </c>
      <c r="H60" s="537" t="b">
        <f>NOT(FSMatType12="Buyout")</f>
        <v>1</v>
      </c>
      <c r="I60" s="537" t="b">
        <f>AND(G60,H60)</f>
        <v>0</v>
      </c>
      <c r="J60" s="537" t="s">
        <v>1411</v>
      </c>
      <c r="K60" s="727">
        <f>IF($I$60=TRUE,(FSMatl12Req*_Mat12)/BaseQuantity/FSMatlYield,0)</f>
        <v>0</v>
      </c>
      <c r="L60" s="727">
        <f>IF($I$60=TRUE,(FSMatl12Req*_Mat122)/BaseQuantity/FSMatlYield,0)</f>
        <v>0</v>
      </c>
      <c r="M60" s="727">
        <f>IF($I$60=TRUE,(FSMatl12Req*_Mat123)/BaseQuantity/FSMatlYield,0)</f>
        <v>0</v>
      </c>
      <c r="N60" s="727">
        <f>IF($I$60=TRUE,(FSMatl12Req*_Mat124)/BaseQuantity/FSMatlYield,0)</f>
        <v>0</v>
      </c>
      <c r="O60" s="727">
        <f>IF($I$60=TRUE,(FSMatl12Req*_Mat125)/BaseQuantity/FSMatlYield,0)</f>
        <v>0</v>
      </c>
    </row>
    <row r="61" spans="1:15">
      <c r="A61" s="1151">
        <f>IF(QEPressScrTwo&lt;&gt;2,FSPcsHrD28,0)</f>
        <v>0</v>
      </c>
      <c r="B61" s="1151">
        <f>IF(QEPressScrTwo&lt;&gt;1,FSPcsHrE28,0)</f>
        <v>0</v>
      </c>
      <c r="C61" s="725" t="s">
        <v>2984</v>
      </c>
      <c r="D61" s="1151">
        <f>IF(QECycle2&gt;0,(HRSFactor/QECycle2)*(QECavPrs2*QEPressYield),0)</f>
        <v>0</v>
      </c>
      <c r="E61" s="1151">
        <f>IF(QECycle2&gt;0,(HRSFactor/QECycle2)*(QECavPrs22*QEPressYield1),0)</f>
        <v>0</v>
      </c>
      <c r="F61" s="734"/>
      <c r="G61" s="735"/>
      <c r="J61" s="537" t="s">
        <v>1412</v>
      </c>
      <c r="K61" s="729">
        <f>K60*FSMatlMU12</f>
        <v>0</v>
      </c>
      <c r="L61" s="729">
        <f>L60*FSMatlMU12</f>
        <v>0</v>
      </c>
      <c r="M61" s="729">
        <f>M60*FSMatlMU12</f>
        <v>0</v>
      </c>
      <c r="N61" s="729">
        <f>N60*FSMatlMU12</f>
        <v>0</v>
      </c>
      <c r="O61" s="729">
        <f>O60*FSMatlMU12</f>
        <v>0</v>
      </c>
    </row>
    <row r="62" spans="1:15">
      <c r="A62" s="1151">
        <f>IF(QEPressScrThree &lt;&gt;2,FSPcsHrD29,0)</f>
        <v>0</v>
      </c>
      <c r="B62" s="1151">
        <f>IF(QEPressScrThree&lt;&gt;1,FSPcsHrE29,0)</f>
        <v>0</v>
      </c>
      <c r="C62" s="725" t="s">
        <v>2985</v>
      </c>
      <c r="D62" s="1151">
        <f>IF(QECycle3&gt;0,(HRSFactor/QECycle3)*(QECavPrs3*QEPressYield),0)</f>
        <v>0</v>
      </c>
      <c r="E62" s="1151">
        <f>IF(QECycle3&gt;0,(HRSFactor/QECycle3)*(QECavPrs23*QEPressYield1),0)</f>
        <v>0</v>
      </c>
      <c r="F62" s="734"/>
      <c r="G62" s="537" t="b">
        <f>NOT(FSMatlScr13=1)</f>
        <v>0</v>
      </c>
      <c r="H62" s="537" t="b">
        <f>NOT(FSMatType13="Buyout")</f>
        <v>1</v>
      </c>
      <c r="I62" s="537" t="b">
        <f>AND(G62,H62)</f>
        <v>0</v>
      </c>
      <c r="J62" s="537" t="s">
        <v>1413</v>
      </c>
      <c r="K62" s="727">
        <f>IF($I$62=TRUE,(FSMatl13Req*_Mat13)/BaseQuantity/FSMatlYield,0)</f>
        <v>0</v>
      </c>
      <c r="L62" s="727">
        <f>IF($I$62=TRUE,(FSMatl13Req*_Mat132)/BaseQuantity/FSMatlYield,0)</f>
        <v>0</v>
      </c>
      <c r="M62" s="727">
        <f>IF($I$62=TRUE,(FSMatl13Req*_Mat133)/BaseQuantity/FSMatlYield,0)</f>
        <v>0</v>
      </c>
      <c r="N62" s="727">
        <f>IF($I$62=TRUE,(FSMatl13Req*_Mat134)/BaseQuantity/FSMatlYield,0)</f>
        <v>0</v>
      </c>
      <c r="O62" s="727">
        <f>IF($I$62=TRUE,(FSMatl13Req*_Mat135)/BaseQuantity/FSMatlYield,0)</f>
        <v>0</v>
      </c>
    </row>
    <row r="63" spans="1:15">
      <c r="A63" s="1151">
        <f>IF(QEPressScr6&lt;&gt;2,FSPcsHrD35,0)</f>
        <v>0</v>
      </c>
      <c r="B63" s="1151">
        <f>IF(QEPressScr6 &lt;&gt;1,FSPcsHrE35,0)</f>
        <v>0</v>
      </c>
      <c r="C63" s="725" t="s">
        <v>3442</v>
      </c>
      <c r="D63" s="1151">
        <f>IF(QECycle6&gt;0,(HRSFactor/QECycle6)*(QECavPrs4*QEPressYield),0)</f>
        <v>0</v>
      </c>
      <c r="E63" s="1151">
        <f>IF(QECycle6&gt;0,(HRSFactor/QECycle6)*(QECavPrs24*QEPressYield1),0)</f>
        <v>0</v>
      </c>
      <c r="F63" s="734"/>
      <c r="G63" s="735"/>
      <c r="J63" s="537" t="s">
        <v>1414</v>
      </c>
      <c r="K63" s="729">
        <f>K62*FSMatlMU13</f>
        <v>0</v>
      </c>
      <c r="L63" s="729">
        <f>L62*FSMatlMU13</f>
        <v>0</v>
      </c>
      <c r="M63" s="729">
        <f>M62*FSMatlMU13</f>
        <v>0</v>
      </c>
      <c r="N63" s="729">
        <f>N62*FSMatlMU13</f>
        <v>0</v>
      </c>
      <c r="O63" s="729">
        <f>O62*FSMatlMU13</f>
        <v>0</v>
      </c>
    </row>
    <row r="64" spans="1:15">
      <c r="A64" s="1151">
        <f>IF(QEPressScr7&lt;&gt;2,FSPcsHrD36,0)</f>
        <v>0</v>
      </c>
      <c r="B64" s="1151">
        <f>IF(QEPressScr7&lt;&gt;1,FSPcsHrE36,0)</f>
        <v>0</v>
      </c>
      <c r="C64" s="725" t="s">
        <v>3804</v>
      </c>
      <c r="D64" s="1151">
        <f>IF(QECycle7&gt;0,(HRSFactor/QECycle7)*(QECavPrs5*QEPressYield),0)</f>
        <v>0</v>
      </c>
      <c r="E64" s="1151">
        <f>IF(QECycle7&gt;0,(HRSFactor/QECycle7)*(QECavPrs25*QEPressYield1),0)</f>
        <v>0</v>
      </c>
      <c r="F64" s="734"/>
      <c r="G64" s="537" t="b">
        <f>NOT(FSMatlScr14=1)</f>
        <v>0</v>
      </c>
      <c r="H64" s="537" t="b">
        <f>NOT(FSMatType14="Buyout")</f>
        <v>1</v>
      </c>
      <c r="I64" s="537" t="b">
        <f>AND(G64,H64)</f>
        <v>0</v>
      </c>
      <c r="J64" s="537" t="s">
        <v>1415</v>
      </c>
      <c r="K64" s="727">
        <f>IF($I$64=TRUE,(FSMatl14Req*_Mat14)/BaseQuantity/FSMatlYield,0)</f>
        <v>0</v>
      </c>
      <c r="L64" s="727">
        <f>IF($I$64=TRUE,(FSMatl14Req*_Mat142)/BaseQuantity/FSMatlYield,0)</f>
        <v>0</v>
      </c>
      <c r="M64" s="727">
        <f>IF($I$64=TRUE,(FSMatl14Req*_Mat143)/BaseQuantity/FSMatlYield,0)</f>
        <v>0</v>
      </c>
      <c r="N64" s="727">
        <f>IF($I$64=TRUE,(FSMatl14Req*_Mat144)/BaseQuantity/FSMatlYield,0)</f>
        <v>0</v>
      </c>
      <c r="O64" s="727">
        <f>IF($I$64=TRUE,(FSMatl14Req*_Mat145)/BaseQuantity/FSMatlYield,0)</f>
        <v>0</v>
      </c>
    </row>
    <row r="65" spans="1:15">
      <c r="A65" s="1151">
        <f>IF(QEPressScr9&lt;&gt;2,FSPcsHrD37,0)</f>
        <v>0</v>
      </c>
      <c r="B65" s="1151">
        <f xml:space="preserve"> IF(QEPressScr9&lt;&gt;1,FSPcsHrE37,0)</f>
        <v>0</v>
      </c>
      <c r="C65" s="725" t="s">
        <v>2446</v>
      </c>
      <c r="D65" s="1151">
        <f>IF(QECycle9&gt;0,(HRSFactor/QECycle9)*(QECavPrs6*QEPressYield),0)</f>
        <v>0</v>
      </c>
      <c r="E65" s="1151">
        <f>IF(QECycle9&gt;0,(HRSFactor/QECycle9)*(QECavPrs26*QEPressYield1),0)</f>
        <v>0</v>
      </c>
      <c r="F65" s="745"/>
      <c r="G65" s="735"/>
      <c r="J65" s="537" t="s">
        <v>1416</v>
      </c>
      <c r="K65" s="729">
        <f>K64*FSMatlMU14</f>
        <v>0</v>
      </c>
      <c r="L65" s="729">
        <f>L64*FSMatlMU14</f>
        <v>0</v>
      </c>
      <c r="M65" s="729">
        <f>M64*FSMatlMU14</f>
        <v>0</v>
      </c>
      <c r="N65" s="729">
        <f>N64*FSMatlMU14</f>
        <v>0</v>
      </c>
      <c r="O65" s="729">
        <f>O64*FSMatlMU14</f>
        <v>0</v>
      </c>
    </row>
    <row r="66" spans="1:15">
      <c r="A66" s="1151">
        <f>IF(QEPressScrFour&lt;&gt;2, FSPcsHrD38,0)</f>
        <v>0</v>
      </c>
      <c r="B66" s="1151">
        <f>IF(QEPressScrFour&lt;&gt;1,FSPcsHrE38,0)</f>
        <v>0</v>
      </c>
      <c r="C66" s="725" t="s">
        <v>4794</v>
      </c>
      <c r="D66" s="1151">
        <f>IF(QECycle10&gt;0,(HRSFactor/QECycle10)*(QECavPrs7*QEPressYield),0)</f>
        <v>0</v>
      </c>
      <c r="E66" s="1151">
        <f>IF(QECycle10&gt;0,(HRSFactor/QECycle10)*(QECavPrs27*QEPressYield1),0)</f>
        <v>0</v>
      </c>
      <c r="F66" s="734"/>
      <c r="G66" s="537" t="b">
        <f>NOT(FSMatlScr15=1)</f>
        <v>0</v>
      </c>
      <c r="H66" s="537" t="b">
        <f>NOT(FSMatType15="Buyout")</f>
        <v>1</v>
      </c>
      <c r="I66" s="537" t="b">
        <f>AND(G66,H66)</f>
        <v>0</v>
      </c>
      <c r="J66" s="537" t="s">
        <v>1417</v>
      </c>
      <c r="K66" s="727">
        <f>IF($I$66=TRUE,(FSMatl15Req*_Mat15)/BaseQuantity/FSMatlYield,0)</f>
        <v>0</v>
      </c>
      <c r="L66" s="727">
        <f>IF($I$66=TRUE,(FSMatl15Req*_Mat152)/BaseQuantity/FSMatlYield,0)</f>
        <v>0</v>
      </c>
      <c r="M66" s="727">
        <f>IF($I$66=TRUE,(FSMatl15Req*_Mat153)/BaseQuantity/FSMatlYield,0)</f>
        <v>0</v>
      </c>
      <c r="N66" s="727">
        <f>IF($I$66=TRUE,(FSMatl15Req*_Mat154)/BaseQuantity/FSMatlYield,0)</f>
        <v>0</v>
      </c>
      <c r="O66" s="727">
        <f>IF($I$66=TRUE,(FSMatl15Req*_Mat155)/BaseQuantity/FSMatlYield,0)</f>
        <v>0</v>
      </c>
    </row>
    <row r="67" spans="1:15">
      <c r="A67" s="1151">
        <f>IF(QEPressScrFour&lt;&gt;2, FSPcsHrD39,0)</f>
        <v>0</v>
      </c>
      <c r="B67" s="1151">
        <f>IF(QEPressScrFour&lt;&gt;1,FSPcsHrE39,0)</f>
        <v>0</v>
      </c>
      <c r="C67" s="725" t="s">
        <v>6339</v>
      </c>
      <c r="D67" s="1151">
        <f>IF(QECycle4&gt;0,(HRSFactor/QECycle4)*(QECavPrs8*QEPressYield),0)</f>
        <v>0</v>
      </c>
      <c r="E67" s="1151">
        <f>IF(QECycle4&gt;0,(HRSFactor/QECycle4)*(QECavPrs28*QEPressYield1),0)</f>
        <v>0</v>
      </c>
      <c r="F67" s="734"/>
      <c r="G67" s="735"/>
      <c r="J67" s="537" t="s">
        <v>1418</v>
      </c>
      <c r="K67" s="729">
        <f>K66*FSMatlMU15</f>
        <v>0</v>
      </c>
      <c r="L67" s="729">
        <f>L66*FSMatlMU15</f>
        <v>0</v>
      </c>
      <c r="M67" s="729">
        <f>M66*FSMatlMU15</f>
        <v>0</v>
      </c>
      <c r="N67" s="729">
        <f>N66*FSMatlMU15</f>
        <v>0</v>
      </c>
      <c r="O67" s="729">
        <f>O66*FSMatlMU15</f>
        <v>0</v>
      </c>
    </row>
    <row r="68" spans="1:15">
      <c r="A68" s="1151">
        <f>IF(QEPressScrFive&lt;&gt;2, FSPcsHrD40,0)</f>
        <v>0</v>
      </c>
      <c r="B68" s="1151">
        <f>IF(QEPressScrFive&lt;&gt;1,FSPcsHrE40,0)</f>
        <v>0</v>
      </c>
      <c r="C68" s="725" t="s">
        <v>6340</v>
      </c>
      <c r="D68" s="1151">
        <f>IF(QECycle5&gt;0,(HRSFactor/QECycle5)*(QECavPrs9*QEPressYield),0)</f>
        <v>0</v>
      </c>
      <c r="E68" s="1151">
        <f>IF(QECycle5&gt;0,(HRSFactor/QECycle5)*(QECavPrs29*QEPressYield1),0)</f>
        <v>0</v>
      </c>
      <c r="F68" s="745"/>
      <c r="J68" s="574" t="s">
        <v>986</v>
      </c>
      <c r="K68" s="729">
        <f>FSMatOneJ18+FSMatTwoJ20+FSMatThreeJ22+FSMatFourJ24+FSMatFiveJ26+FSMat26Cost1+FSMat27Cost1+FSMat28Cost1+FSMat29Cost1+FSMat210Cost1+K58+K60+K62+K64+K66</f>
        <v>0</v>
      </c>
      <c r="L68" s="729">
        <f>FSMatOneK18+FSMatTwoK20+FSMatThreeK22+FSMatFourK24+FSMatFiveK26+FSMat26Cost2+FSMat27Cost2+FSMat28Cost2+FSMat29Cost2+FSMat210Cost2+L58+L60+L62+L64+L66</f>
        <v>0</v>
      </c>
      <c r="M68" s="729">
        <f>FSMatOneL18+FSMatTwoL20+FSMatThreeL22+FSMatFourL24+FSMatFiveL26+FSMat26Cost3+FSMat27Cost3+FSMat28Cost3+FSMat29Cost3+FSMat210Cost3+M58+M60+M62+M64+M66</f>
        <v>0</v>
      </c>
      <c r="N68" s="729">
        <f>FSMatOneM18+FSMatTwoM20+FSMatThreeM22+FSMatFourM24+FSMatFiveM26+FSMat26Cost4+FSMat27Cost4+FSMat28Cost4+FSMat29Cost4+FSMat210Cost4+N58+N60+N62+N64+N66</f>
        <v>0</v>
      </c>
      <c r="O68" s="729">
        <f>FSMatOneN18+FSMatTwoN20+FSMatThreeN22+FSMatFourN24+FSMatFiveN26+FSMat26Cost5+FSMat27Cost5+FSMat28Cost5+FSMat29Cost5+FSMat210Cost5+O58+O60+O62+O64+O66</f>
        <v>0</v>
      </c>
    </row>
    <row r="69" spans="1:15">
      <c r="A69" s="1151">
        <f>IF(QEPressScr8&lt;&gt;2, FSPcsHrD41,0)</f>
        <v>0</v>
      </c>
      <c r="B69" s="1151">
        <f>IF(QEPressScr8&lt;&gt;1,FSPcsHrE41,0)</f>
        <v>0</v>
      </c>
      <c r="C69" s="725" t="s">
        <v>1930</v>
      </c>
      <c r="D69" s="1151">
        <f>IF(QECycle8&gt;0,(HRSFactor/QECycle8)*(QECavPrs10*QEPressYield),0)</f>
        <v>0</v>
      </c>
      <c r="E69" s="1151">
        <f>IF(QECycle8&gt;0,(HRSFactor/QECycle8)*(QECavPrs210*QEPressYield1),0)</f>
        <v>0</v>
      </c>
      <c r="F69" s="745"/>
      <c r="J69" s="574" t="s">
        <v>987</v>
      </c>
      <c r="K69" s="729">
        <f>FSMatOneJ19+FSMatTwoJ21+FSMatThreeJ23+FSMatFourJ25+FSMatFiveJ27+FSMat26Price1+FSMat27Price1+FSMat28Price1+FSMat29Price1+FSMat210Price1+K59+K61+K63+K65+K67</f>
        <v>0</v>
      </c>
      <c r="L69" s="729">
        <f>FSMatOneK19+FSMatTwoK21+FSMatThreeK23+FSMatFourK25+FSMatFiveK27+FSMat26Price2+FSMat27Price2+FSMat28Price2+FSMat29Price2+FSMat210Price2+L59+L61+L63+L65+L67</f>
        <v>0</v>
      </c>
      <c r="M69" s="729">
        <f>FSMatOneL19+FSMatTwoL21+FSMatThreeL23+FSMatFourL25+FSMatFiveL27+FSMat26Price3+FSMat27Price3+FSMat28Price3+FSMat29Price3+FSMat210Price3+M59+M61+M63+M65+M67</f>
        <v>0</v>
      </c>
      <c r="N69" s="729">
        <f>FSMatOneM19+FSMatTwoM21+FSMatThreeM23+FSMatFourM25+FSMatFiveM27+FSMat26Price4+FSMat27Price4+FSMat28Price4+FSMat29Price4+FSMat210Price4+N59+N61+N63+N65+N67</f>
        <v>0</v>
      </c>
      <c r="O69" s="729">
        <f>FSMatOneN19+FSMatTwoN21+FSMatThreeN23+FSMatFourN25+FSMatFiveN27+FSMat26Price5+FSMat27Price5+FSMat28Price5+FSMat29Price5+FSMat210Price5+O59+O61+O63+O65+O67</f>
        <v>0</v>
      </c>
    </row>
    <row r="70" spans="1:15">
      <c r="A70" s="1191">
        <f>COUNTIF(A60:A69,"&gt; 0.000")</f>
        <v>1</v>
      </c>
      <c r="B70" s="1191">
        <f>COUNTIF(B60:B69,"&gt; 0.000")</f>
        <v>0</v>
      </c>
      <c r="C70" s="583" t="s">
        <v>178</v>
      </c>
      <c r="D70" s="1189"/>
      <c r="E70" s="1189"/>
      <c r="F70" s="745"/>
      <c r="J70" s="737"/>
      <c r="K70" s="1190"/>
      <c r="L70" s="1190"/>
      <c r="M70" s="1190"/>
      <c r="N70" s="1190"/>
      <c r="O70" s="1190"/>
    </row>
    <row r="71" spans="1:15">
      <c r="A71" s="1192">
        <f>IF(FSScn1TotPcs&gt;0,(FSScn1TotPcs/FSCount1),0)</f>
        <v>2352</v>
      </c>
      <c r="B71" s="1192">
        <f>IF(FSScn2TotPcs&gt;0,(FSScn2TotPcs/FSCount2),0)</f>
        <v>0</v>
      </c>
      <c r="C71" s="583" t="s">
        <v>179</v>
      </c>
      <c r="D71" s="1189"/>
      <c r="E71" s="1189"/>
      <c r="F71" s="745"/>
      <c r="J71" s="737"/>
      <c r="K71" s="1190"/>
      <c r="L71" s="1190"/>
      <c r="M71" s="1190"/>
      <c r="N71" s="1190"/>
      <c r="O71" s="1190"/>
    </row>
    <row r="72" spans="1:15">
      <c r="A72" s="754">
        <f>SUM(FSPCSScr1:FSPCSScr1I)</f>
        <v>2352</v>
      </c>
      <c r="B72" s="754">
        <f>SUM(FSPCSScr2:FSPCSScr2I)</f>
        <v>0</v>
      </c>
      <c r="C72" s="583" t="s">
        <v>5298</v>
      </c>
      <c r="F72" s="745"/>
    </row>
    <row r="73" spans="1:15" ht="25.5">
      <c r="F73" s="745"/>
      <c r="G73" s="719"/>
      <c r="H73" s="719"/>
      <c r="I73" s="719"/>
      <c r="J73" s="719" t="s">
        <v>5727</v>
      </c>
      <c r="K73" s="722"/>
      <c r="L73" s="722"/>
    </row>
    <row r="74" spans="1:15" ht="12.75">
      <c r="A74" s="719" t="s">
        <v>3624</v>
      </c>
      <c r="F74" s="745"/>
      <c r="G74" s="722"/>
      <c r="J74" s="724" t="s">
        <v>1181</v>
      </c>
      <c r="K74" s="573" t="s">
        <v>1686</v>
      </c>
      <c r="L74" s="573" t="s">
        <v>2066</v>
      </c>
      <c r="M74" s="573" t="s">
        <v>2067</v>
      </c>
      <c r="N74" s="573" t="s">
        <v>2068</v>
      </c>
      <c r="O74" s="573" t="s">
        <v>5309</v>
      </c>
    </row>
    <row r="75" spans="1:15">
      <c r="A75" s="725" t="s">
        <v>187</v>
      </c>
      <c r="B75" s="725" t="s">
        <v>3480</v>
      </c>
      <c r="C75" s="537" t="s">
        <v>3303</v>
      </c>
      <c r="D75" s="725">
        <v>1</v>
      </c>
      <c r="E75" s="725">
        <v>2</v>
      </c>
      <c r="F75" s="745"/>
      <c r="G75" s="537" t="b">
        <f>NOT(FSMatlScrOne=2)</f>
        <v>1</v>
      </c>
      <c r="H75" s="537" t="b">
        <f>NOT(FSMatType1="Resin")</f>
        <v>0</v>
      </c>
      <c r="I75" s="537" t="b">
        <f>AND(FSResinTest31,FSResinTest31A)</f>
        <v>0</v>
      </c>
      <c r="J75" s="574" t="s">
        <v>5114</v>
      </c>
      <c r="K75" s="727">
        <f>IF(FSResinTest31B=TRUE,(FSMatlOneReq*MatOne)/BaseQuantity/FSMatlYield,0)</f>
        <v>0</v>
      </c>
      <c r="L75" s="727">
        <f>IF(FSResinTest31B=TRUE,(FSMatlOneReq*MatOne2)/BaseQuantity/FSMatlYield,0)</f>
        <v>0</v>
      </c>
      <c r="M75" s="727">
        <f>IF(FSResinTest31B=TRUE,(FSMatlOneReq*MatOne3)/BaseQuantity/FSMatlYield,0)</f>
        <v>0</v>
      </c>
      <c r="N75" s="727">
        <f>IF(FSResinTest31B=TRUE,(FSMatlOneReq*MatOne4)/BaseQuantity/FSMatlYield,0)</f>
        <v>0</v>
      </c>
      <c r="O75" s="727">
        <f>IF(FSResinTest31B=TRUE,(FSMatlOneReq*MatOne5)/BaseQuantity/FSMatlYield,0)</f>
        <v>0</v>
      </c>
    </row>
    <row r="76" spans="1:15">
      <c r="A76" s="1152">
        <f>IF(QEPressScrOne&lt;&gt;2,FSPrCostCalc11,0)</f>
        <v>17.219387755102041</v>
      </c>
      <c r="B76" s="1152">
        <f>IF(QEPressScrOne&lt;&gt;1,FSPrCostCalc21,0)</f>
        <v>0</v>
      </c>
      <c r="C76" s="725" t="s">
        <v>1253</v>
      </c>
      <c r="D76" s="1152">
        <f>IF(QEPCSSCR1&gt;0,((QEMfgRate1+RateAdjust1)/QEPCSSCR1)*BaseQuantity,0)</f>
        <v>17.219387755102041</v>
      </c>
      <c r="E76" s="1152">
        <f>IF(QEPCSSCR2&gt;0,((QEMfgRate1+RateAdjust1)/QEPCSSCR2)*BaseQuantity,0)</f>
        <v>0</v>
      </c>
      <c r="F76" s="745"/>
      <c r="G76" s="722"/>
      <c r="J76" s="574" t="s">
        <v>5115</v>
      </c>
      <c r="K76" s="729">
        <f>FSMatOneJ33*FSMatlMU1</f>
        <v>0</v>
      </c>
      <c r="L76" s="729">
        <f>FSMatOneK33*FSMatlMU1</f>
        <v>0</v>
      </c>
      <c r="M76" s="729">
        <f>FSMatOneL33*FSMatlMU1</f>
        <v>0</v>
      </c>
      <c r="N76" s="729">
        <f>FSMatOneM33*FSMatlMU1</f>
        <v>0</v>
      </c>
      <c r="O76" s="729">
        <f>FSMatOneN33*FSMatlMU1</f>
        <v>0</v>
      </c>
    </row>
    <row r="77" spans="1:15">
      <c r="A77" s="1152">
        <f>IF(QEPressScrTwo&lt;&gt;2,FSPrCostCalc12,0)</f>
        <v>0</v>
      </c>
      <c r="B77" s="1152">
        <f>IF(QEPressScrTwo&lt;&gt;1,FSPrCostCalc22,0)</f>
        <v>0</v>
      </c>
      <c r="C77" s="725" t="s">
        <v>2984</v>
      </c>
      <c r="D77" s="1152">
        <f>IF(QEPCSSCR1A&gt;0,((QEMfgRate2+RateAdjust2)/QEPCSSCR1A)*BaseQuantity,0)</f>
        <v>0</v>
      </c>
      <c r="E77" s="1152">
        <f>IF(QEPCSSCR2A&gt;0,((QEMfgRate2+RateAdjust2)/QEPCSSCR2A)*BaseQuantity,0)</f>
        <v>0</v>
      </c>
      <c r="F77" s="745"/>
      <c r="G77" s="537" t="b">
        <f>NOT(FSMatlScrTwo=2)</f>
        <v>0</v>
      </c>
      <c r="H77" s="537" t="b">
        <f>NOT(FSMatType2="Resin")</f>
        <v>0</v>
      </c>
      <c r="I77" s="537" t="b">
        <f>AND(FSResinTest32,FSResinTest32A)</f>
        <v>0</v>
      </c>
      <c r="J77" s="574" t="s">
        <v>5116</v>
      </c>
      <c r="K77" s="727">
        <f>IF(FSResinTest32B=TRUE,(FSMatlTwoReq*MatTwo)/BaseQuantity/FSMatlYield,0)</f>
        <v>0</v>
      </c>
      <c r="L77" s="727">
        <f>IF(FSResinTest32B=TRUE,(FSMatlTwoReq*MatTwo2)/BaseQuantity/FSMatlYield,0)</f>
        <v>0</v>
      </c>
      <c r="M77" s="727">
        <f>IF(FSResinTest32B=TRUE,(FSMatlTwoReq*MatTwo3)/BaseQuantity/FSMatlYield,0)</f>
        <v>0</v>
      </c>
      <c r="N77" s="727">
        <f>IF(FSResinTest32B=TRUE,(FSMatlTwoReq*MatTwo4)/BaseQuantity/FSMatlYield,0)</f>
        <v>0</v>
      </c>
      <c r="O77" s="727">
        <f>IF(FSResinTest32B=TRUE,(FSMatlTwoReq*MatTwo5)/BaseQuantity/FSMatlYield,0)</f>
        <v>0</v>
      </c>
    </row>
    <row r="78" spans="1:15">
      <c r="A78" s="1152">
        <f>IF(QEPressScrThree&lt;&gt;2,FSPrCostCalc13,0)</f>
        <v>0</v>
      </c>
      <c r="B78" s="1152">
        <f>IF(QEPressScrThree&lt;&gt;1,FSPrCostCalc23,0)</f>
        <v>0</v>
      </c>
      <c r="C78" s="725" t="s">
        <v>2985</v>
      </c>
      <c r="D78" s="1152">
        <f>IF(QEPCSSCR1B&gt;0,((QEMfgRate3+RateAdjust3)/QEPCSSCR1B)*BaseQuantity,0)</f>
        <v>0</v>
      </c>
      <c r="E78" s="1152">
        <f>IF(QEPCSSCR2B&gt;0,((QEMfgRate3+RateAdjust3)/QEPCSSCR2B)*BaseQuantity,0)</f>
        <v>0</v>
      </c>
      <c r="F78" s="745"/>
      <c r="G78" s="722"/>
      <c r="J78" s="574" t="s">
        <v>5469</v>
      </c>
      <c r="K78" s="729">
        <f>FSMatTwoJ35*FSMatlMU2</f>
        <v>0</v>
      </c>
      <c r="L78" s="729">
        <f>FSMatTwoK35*FSMatlMU2</f>
        <v>0</v>
      </c>
      <c r="M78" s="729">
        <f>FSMatTwoL35*FSMatlMU2</f>
        <v>0</v>
      </c>
      <c r="N78" s="729">
        <f>FSMatTwoM35*FSMatlMU2</f>
        <v>0</v>
      </c>
      <c r="O78" s="729">
        <f>FSMatTwoN35*FSMatlMU2</f>
        <v>0</v>
      </c>
    </row>
    <row r="79" spans="1:15">
      <c r="A79" s="1152">
        <f>IF(QEPressScrFour&lt;&gt;2,FSPrCostCalc14,0)</f>
        <v>0</v>
      </c>
      <c r="B79" s="1152">
        <f>IF(QEPressScrFour&lt;&gt;1,FSPrCostCalc24,0)</f>
        <v>0</v>
      </c>
      <c r="C79" s="725" t="s">
        <v>2986</v>
      </c>
      <c r="D79" s="1152">
        <f>IF(QEPcsHrs1&gt;0,((QEMfgRate4+RateAdjust4)/QEPcsHrs1)*BaseQuantity,0)</f>
        <v>0</v>
      </c>
      <c r="E79" s="1152">
        <f>IF(QEPcsHrs12&gt;0,((QEMfgRate4+RateAdjust4)/QEPcsHrs12)*BaseQuantity,0)</f>
        <v>0</v>
      </c>
      <c r="F79" s="745"/>
      <c r="G79" s="537" t="b">
        <f>NOT(FSMatlScrThree=2)</f>
        <v>1</v>
      </c>
      <c r="H79" s="537" t="b">
        <f>NOT(FSMatType3="Resin")</f>
        <v>0</v>
      </c>
      <c r="I79" s="537" t="b">
        <f>AND(FSResinTest33,FSResinTest33A)</f>
        <v>0</v>
      </c>
      <c r="J79" s="574" t="s">
        <v>5470</v>
      </c>
      <c r="K79" s="727">
        <f>IF(FSResinTest33B=TRUE,(FSMatlThreeReq*MatThree)/BaseQuantity/FSMatlYield,0)</f>
        <v>0</v>
      </c>
      <c r="L79" s="727">
        <f>IF(FSResinTest33B=TRUE,(FSMatlThreeReq*MatThree2)/BaseQuantity/FSMatlYield,0)</f>
        <v>0</v>
      </c>
      <c r="M79" s="727">
        <f>IF(FSResinTest33B=TRUE,(FSMatlThreeReq*MatThree3)/BaseQuantity/FSMatlYield,0)</f>
        <v>0</v>
      </c>
      <c r="N79" s="727">
        <f>IF(FSResinTest33B=TRUE,(FSMatlThreeReq*MatThree4)/BaseQuantity/FSMatlYield,0)</f>
        <v>0</v>
      </c>
      <c r="O79" s="727">
        <f>IF(FSResinTest33B=TRUE,(FSMatlThreeReq*MatThree5)/BaseQuantity/FSMatlYield,0)</f>
        <v>0</v>
      </c>
    </row>
    <row r="80" spans="1:15">
      <c r="A80" s="1152">
        <f>IF(QEPressScrFive&lt;&gt;2,FSPrCostCalc15,0)</f>
        <v>0</v>
      </c>
      <c r="B80" s="1152">
        <f>IF(QEPressScrFive&lt;&gt;1,FSPrCostCalc25,0)</f>
        <v>0</v>
      </c>
      <c r="C80" s="725" t="s">
        <v>2987</v>
      </c>
      <c r="D80" s="1152">
        <f>IF(QEPcsHrs2&gt;0,((QEMfgRate5+RateAdjust5)/QEPcsHrs2)*BaseQuantity,0)</f>
        <v>0</v>
      </c>
      <c r="E80" s="1152">
        <f>IF(QEPcsHrs22&gt;0,((QEMfgRate5+RateAdjust5)/QEPcsHrs22)*BaseQuantity,0)</f>
        <v>0</v>
      </c>
      <c r="F80" s="745"/>
      <c r="G80" s="732"/>
      <c r="J80" s="574" t="s">
        <v>5471</v>
      </c>
      <c r="K80" s="729">
        <f>FSMatThreeJ37*FSMatlMU3</f>
        <v>0</v>
      </c>
      <c r="L80" s="729">
        <f>FSMatThreeK37*FSMatlMU3</f>
        <v>0</v>
      </c>
      <c r="M80" s="729">
        <f>FSMatThreeL37*FSMatlMU3</f>
        <v>0</v>
      </c>
      <c r="N80" s="729">
        <f>FSMatThreeM37*FSMatlMU3</f>
        <v>0</v>
      </c>
      <c r="O80" s="729">
        <f>FSMatThreeN37*FSMatlMU3</f>
        <v>0</v>
      </c>
    </row>
    <row r="81" spans="1:15">
      <c r="A81" s="1152">
        <f>IF(QEPressScr6&lt;&gt;2,FSPrCostCalc16,0)</f>
        <v>0</v>
      </c>
      <c r="B81" s="1152">
        <f>IF(QEPressScr6&lt;&gt;1,FSPrCostCalc26,0)</f>
        <v>0</v>
      </c>
      <c r="C81" s="725" t="s">
        <v>3442</v>
      </c>
      <c r="D81" s="1152">
        <f>IF(QEPCSSCR1C&gt;0,((QEMfgRate6+RateAdjust6)/QEPCSSCR1C)*BaseQuantity,0)</f>
        <v>0</v>
      </c>
      <c r="E81" s="1152">
        <f>IF(QEPCSSCR2C&gt;0,((QEMfgRate6+RateAdjust6)/QEPCSSCR2C)*BaseQuantity,0)</f>
        <v>0</v>
      </c>
      <c r="F81" s="745"/>
      <c r="G81" s="537" t="b">
        <f>NOT(FSMatlScrFour=2)</f>
        <v>1</v>
      </c>
      <c r="H81" s="537" t="b">
        <f>NOT(FSMatType4="Resin")</f>
        <v>0</v>
      </c>
      <c r="I81" s="537" t="b">
        <f>AND(FSResinTest34,FSResinTest34A)</f>
        <v>0</v>
      </c>
      <c r="J81" s="537" t="s">
        <v>4124</v>
      </c>
      <c r="K81" s="727">
        <f>IF(FSResinTest34B=TRUE,(FSMatlFourReq*MatFour)/BaseQuantity/FSMatlYield,0)</f>
        <v>0</v>
      </c>
      <c r="L81" s="727">
        <f>IF(FSResinTest34B=TRUE,(FSMatlFourReq*MatFour2)/BaseQuantity/FSMatlYield,0)</f>
        <v>0</v>
      </c>
      <c r="M81" s="727">
        <f>IF(FSResinTest34B=TRUE,(FSMatlFourReq*MatFour3)/BaseQuantity/FSMatlYield,0)</f>
        <v>0</v>
      </c>
      <c r="N81" s="727">
        <f>IF(FSResinTest34B=TRUE,(FSMatlFourReq*MatFour4)/BaseQuantity/FSMatlYield,0)</f>
        <v>0</v>
      </c>
      <c r="O81" s="727">
        <f>IF(FSResinTest34B=TRUE,(FSMatlFourReq*MatFour5)/BaseQuantity/FSMatlYield,0)</f>
        <v>0</v>
      </c>
    </row>
    <row r="82" spans="1:15">
      <c r="A82" s="1152">
        <f>IF(QEPressScr7&lt;&gt;2,FSPrCostCalc17,0)</f>
        <v>0</v>
      </c>
      <c r="B82" s="1152">
        <f>IF(QEPressScr7&lt;&gt;1,FSPrCostCalc27,0)</f>
        <v>0</v>
      </c>
      <c r="C82" s="725" t="s">
        <v>3804</v>
      </c>
      <c r="D82" s="1152">
        <f>IF(QEPCSSCR1D&gt;0,((QEMfgRate7+RateAdjust7)/QEPCSSCR1D)*BaseQuantity,0)</f>
        <v>0</v>
      </c>
      <c r="E82" s="1152">
        <f>IF(QEPCSSCR2D&gt;0,((QEMfgRate7+RateAdjust7)/QEPCSSCR2D)*BaseQuantity,0)</f>
        <v>0</v>
      </c>
      <c r="F82" s="745"/>
      <c r="G82" s="734"/>
      <c r="J82" s="537" t="s">
        <v>4125</v>
      </c>
      <c r="K82" s="729">
        <f>FSMatFourJ39*FSMatlMU4</f>
        <v>0</v>
      </c>
      <c r="L82" s="729">
        <f>FSMatFourK39*FSMatlMU4</f>
        <v>0</v>
      </c>
      <c r="M82" s="729">
        <f>FSMatFourL39*FSMatlMU4</f>
        <v>0</v>
      </c>
      <c r="N82" s="729">
        <f>FSMatFourM39*FSMatlMU4</f>
        <v>0</v>
      </c>
      <c r="O82" s="729">
        <f>FSMatFourN39*FSMatlMU4</f>
        <v>0</v>
      </c>
    </row>
    <row r="83" spans="1:15">
      <c r="A83" s="1152">
        <f>IF(QEPressScr9&lt;&gt;2,FSPrCostCalc17A,0)</f>
        <v>0</v>
      </c>
      <c r="B83" s="1152">
        <f>IF(QEPressScr9&lt;&gt;1,FSPrCostCalc27A,0)</f>
        <v>0</v>
      </c>
      <c r="C83" s="725" t="s">
        <v>2446</v>
      </c>
      <c r="D83" s="1152">
        <f>IF(QEPCSSCR1E&gt;0,((QEMfgRate9+RateAdjust9)/QEPCSSCR1E)*BaseQuantity,0)</f>
        <v>0</v>
      </c>
      <c r="E83" s="1152">
        <f>IF(QEPCSSCR2E&gt;0,((QEMfgRate9+RateAdjust9)/QEPCSSCR2E)*BaseQuantity,0)</f>
        <v>0</v>
      </c>
      <c r="G83" s="537" t="b">
        <f>NOT(FSMatlScrFive=2)</f>
        <v>1</v>
      </c>
      <c r="H83" s="537" t="b">
        <f>NOT(FSMatType5="Resin")</f>
        <v>0</v>
      </c>
      <c r="I83" s="537" t="b">
        <f>AND(FSResinTest35,FSResinTest35A)</f>
        <v>0</v>
      </c>
      <c r="J83" s="537" t="s">
        <v>2107</v>
      </c>
      <c r="K83" s="727">
        <f>IF(FSResinTest35B=TRUE,(FSMatlFiveReq*MatFive)/BaseQuantity/FSMatlYield,0)</f>
        <v>0</v>
      </c>
      <c r="L83" s="727">
        <f>IF(FSResinTest35B=TRUE,(FSMatlFiveReq*MatFive2)/BaseQuantity/FSMatlYield,0)</f>
        <v>0</v>
      </c>
      <c r="M83" s="727">
        <f>IF(FSResinTest35B=TRUE,(FSMatlFiveReq*MatFive3)/BaseQuantity/FSMatlYield,0)</f>
        <v>0</v>
      </c>
      <c r="N83" s="727">
        <f>IF(FSResinTest35B=TRUE,(FSMatlFiveReq*MatFive4)/BaseQuantity/FSMatlYield,0)</f>
        <v>0</v>
      </c>
      <c r="O83" s="727">
        <f>IF(FSResinTest35B=TRUE,(FSMatlFiveReq*MatFive5)/BaseQuantity/FSMatlYield,0)</f>
        <v>0</v>
      </c>
    </row>
    <row r="84" spans="1:15">
      <c r="A84" s="1152">
        <f>IF(QEPressScrFour&lt;&gt;2,FSPrCostCalc17B,0)</f>
        <v>0</v>
      </c>
      <c r="B84" s="1152">
        <f>IF(QEPressScrFour&lt;&gt;1,FSPrCostCalc27B,0)</f>
        <v>0</v>
      </c>
      <c r="C84" s="725" t="s">
        <v>4794</v>
      </c>
      <c r="D84" s="1152">
        <f>IF(QEPCSSCR1F&gt;0,((QEMfgRate10+RateAdjust10)/QEPCSSCR1F)*BaseQuantity,0)</f>
        <v>0</v>
      </c>
      <c r="E84" s="1152">
        <f>IF(QEPCSSCR2F&gt;0,((QEMfgRate10+RateAdjust10)/QEPCSSCR2F)*BaseQuantity,0)</f>
        <v>0</v>
      </c>
      <c r="G84" s="735"/>
      <c r="J84" s="537" t="s">
        <v>3187</v>
      </c>
      <c r="K84" s="729">
        <f>FSMatFiveJ41*FSMatlMU5</f>
        <v>0</v>
      </c>
      <c r="L84" s="729">
        <f>FSMatFiveK41*FSMatlMU5</f>
        <v>0</v>
      </c>
      <c r="M84" s="729">
        <f>FSMatFiveL41*FSMatlMU5</f>
        <v>0</v>
      </c>
      <c r="N84" s="729">
        <f>FSMatFiveM41*FSMatlMU5</f>
        <v>0</v>
      </c>
      <c r="O84" s="729">
        <f>FSMatFiveN41*FSMatlMU5</f>
        <v>0</v>
      </c>
    </row>
    <row r="85" spans="1:15">
      <c r="A85" s="1152">
        <f>IF(QEPressScr8&lt;&gt;2,FSPrCostCalc18,0)</f>
        <v>0</v>
      </c>
      <c r="B85" s="1152">
        <f>IF(QEPressScr8&lt;&gt;1,FSPrCostCalc28,0)</f>
        <v>0</v>
      </c>
      <c r="C85" s="725" t="s">
        <v>4334</v>
      </c>
      <c r="D85" s="1152">
        <f>IF(QEPcsHrs3&gt;0,((QEMfgRate8+RateAdjust8)/QEPcsHrs3)*BaseQuantity,0)</f>
        <v>0</v>
      </c>
      <c r="E85" s="1152">
        <f>IF(QEPcsHrs32&gt;0,((QEMfgRate8+RateAdjust8)/QEPcsHrs32)*BaseQuantity,0)</f>
        <v>0</v>
      </c>
      <c r="G85" s="537" t="b">
        <f>NOT(FSMatlScr6=2)</f>
        <v>1</v>
      </c>
      <c r="H85" s="537" t="b">
        <f>NOT(FSMatType6="Resin")</f>
        <v>0</v>
      </c>
      <c r="I85" s="537" t="b">
        <f>AND(FSResinTest36,FSResinTest36A)</f>
        <v>0</v>
      </c>
      <c r="J85" s="537" t="s">
        <v>2892</v>
      </c>
      <c r="K85" s="727">
        <f>IF(FSResinTest36B=TRUE,(FSMatl6Req*_Mat6)/BaseQuantity/FSMatlYield,0)</f>
        <v>0</v>
      </c>
      <c r="L85" s="727">
        <f>IF(FSResinTest36B=TRUE,(FSMatl6Req*_Mat62)/BaseQuantity/FSMatlYield,0)</f>
        <v>0</v>
      </c>
      <c r="M85" s="727">
        <f>IF(FSResinTest36B=TRUE,(FSMatl6Req*_Mat63)/BaseQuantity/FSMatlYield,0)</f>
        <v>0</v>
      </c>
      <c r="N85" s="727">
        <f>IF(FSResinTest36B=TRUE,(FSMatl6Req*_Mat64)/BaseQuantity/FSMatlYield,0)</f>
        <v>0</v>
      </c>
      <c r="O85" s="727">
        <f>IF(FSResinTest36B=TRUE,(FSMatl6Req*_Mat65)/BaseQuantity/FSMatlYield,0)</f>
        <v>0</v>
      </c>
    </row>
    <row r="86" spans="1:15">
      <c r="A86" s="1153">
        <f>SUM(FSPressCost11:FSPressCost18)</f>
        <v>17.219387755102041</v>
      </c>
      <c r="B86" s="1153">
        <f>SUM(FSPressCost21:FSPressCost28)</f>
        <v>0</v>
      </c>
      <c r="C86" s="583" t="s">
        <v>5298</v>
      </c>
      <c r="J86" s="537" t="s">
        <v>2893</v>
      </c>
      <c r="K86" s="729">
        <f>FSMat36Cost1*FSMatlMU6</f>
        <v>0</v>
      </c>
      <c r="L86" s="729">
        <f>FSMat36Cost2*FSMatlMU6</f>
        <v>0</v>
      </c>
      <c r="M86" s="729">
        <f>FSMat36Cost3*FSMatlMU6</f>
        <v>0</v>
      </c>
      <c r="N86" s="729">
        <f>FSMat36Cost4*FSMatlMU6</f>
        <v>0</v>
      </c>
      <c r="O86" s="729">
        <f>FSMat36Cost5*FSMatlMU6</f>
        <v>0</v>
      </c>
    </row>
    <row r="87" spans="1:15">
      <c r="F87" s="747"/>
      <c r="G87" s="537" t="b">
        <f>NOT(FSMatlScr7=2)</f>
        <v>1</v>
      </c>
      <c r="H87" s="537" t="b">
        <f>NOT(FSMatType7="Resin")</f>
        <v>0</v>
      </c>
      <c r="I87" s="537" t="b">
        <f>AND(FSResinTest37,FSResinTest37A)</f>
        <v>0</v>
      </c>
      <c r="J87" s="537" t="s">
        <v>2780</v>
      </c>
      <c r="K87" s="727">
        <f>IF(FSResinTest37B=TRUE,(FSMatl7Req*_Mat7)/BaseQuantity/FSMatlYield,0)</f>
        <v>0</v>
      </c>
      <c r="L87" s="727">
        <f>IF(FSResinTest37B=TRUE,(FSMatl7Req*_Mat72)/BaseQuantity/FSMatlYield,0)</f>
        <v>0</v>
      </c>
      <c r="M87" s="727">
        <f>IF(FSResinTest37B=TRUE,(FSMatl7Req*_Mat73)/BaseQuantity/FSMatlYield,0)</f>
        <v>0</v>
      </c>
      <c r="N87" s="727">
        <f>IF(FSResinTest37B=TRUE,(FSMatl7Req*_Mat74)/BaseQuantity/FSMatlYield,0)</f>
        <v>0</v>
      </c>
      <c r="O87" s="727">
        <f>IF(FSResinTest37B=TRUE,(FSMatl7Req*_Mat75)/BaseQuantity/FSMatlYield,0)</f>
        <v>0</v>
      </c>
    </row>
    <row r="88" spans="1:15">
      <c r="J88" s="537" t="s">
        <v>2781</v>
      </c>
      <c r="K88" s="729">
        <f>FSMat37Cost1*FSMatlMU7</f>
        <v>0</v>
      </c>
      <c r="L88" s="729">
        <f>FSMat37Cost2*FSMatlMU7</f>
        <v>0</v>
      </c>
      <c r="M88" s="729">
        <f>FSMat37Cost3*FSMatlMU7</f>
        <v>0</v>
      </c>
      <c r="N88" s="729">
        <f>FSMat37Cost4*FSMatlMU7</f>
        <v>0</v>
      </c>
      <c r="O88" s="729">
        <f>FSMat37Cost5*FSMatlMU7</f>
        <v>0</v>
      </c>
    </row>
    <row r="89" spans="1:15" ht="12.75">
      <c r="A89" s="719" t="s">
        <v>836</v>
      </c>
      <c r="G89" s="537" t="b">
        <f>NOT(FSMatlScr8=2)</f>
        <v>1</v>
      </c>
      <c r="H89" s="537" t="b">
        <f>NOT(FSMatType8="Resin")</f>
        <v>0</v>
      </c>
      <c r="I89" s="537" t="b">
        <f>AND(FSResinTest38,FSResinTest38A)</f>
        <v>0</v>
      </c>
      <c r="J89" s="537" t="s">
        <v>5929</v>
      </c>
      <c r="K89" s="727">
        <f>IF(FSResinTest38B=TRUE,(FSMatl8Req*_Mat8)/BaseQuantity/FSMatlYield,0)</f>
        <v>0</v>
      </c>
      <c r="L89" s="727">
        <f>IF(FSResinTest38B=TRUE,(FSMatl8Req*_Mat82)/BaseQuantity/FSMatlYield,0)</f>
        <v>0</v>
      </c>
      <c r="M89" s="727">
        <f>IF(FSResinTest38B=TRUE,(FSMatl8Req*_Mat83)/BaseQuantity/FSMatlYield,0)</f>
        <v>0</v>
      </c>
      <c r="N89" s="727">
        <f>IF(FSResinTest38B=TRUE,(FSMatl8Req*_Mat84)/BaseQuantity/FSMatlYield,0)</f>
        <v>0</v>
      </c>
      <c r="O89" s="727">
        <f>IF(FSResinTest38B=TRUE,(FSMatl8Req*_Mat85)/BaseQuantity/FSMatlYield,0)</f>
        <v>0</v>
      </c>
    </row>
    <row r="90" spans="1:15">
      <c r="A90" s="725" t="s">
        <v>4684</v>
      </c>
      <c r="B90" s="725" t="s">
        <v>2995</v>
      </c>
      <c r="C90" s="537" t="s">
        <v>3303</v>
      </c>
      <c r="D90" s="725">
        <v>1</v>
      </c>
      <c r="E90" s="725">
        <v>2</v>
      </c>
      <c r="J90" s="537" t="s">
        <v>5930</v>
      </c>
      <c r="K90" s="729">
        <f>FSMat38Cost1*FSMatlMU8</f>
        <v>0</v>
      </c>
      <c r="L90" s="729">
        <f>FSMat38Cost2*FSMatlMU8</f>
        <v>0</v>
      </c>
      <c r="M90" s="729">
        <f>FSMat38Cost3*FSMatlMU8</f>
        <v>0</v>
      </c>
      <c r="N90" s="729">
        <f>FSMat38Cost4*FSMatlMU8</f>
        <v>0</v>
      </c>
      <c r="O90" s="729">
        <f>FSMat38Cost5*FSMatlMU8</f>
        <v>0</v>
      </c>
    </row>
    <row r="91" spans="1:15">
      <c r="A91" s="1152">
        <f>IF(QEPressScrOne&lt;&gt;2,FSToolMaint11,0)</f>
        <v>1.5943877551020409</v>
      </c>
      <c r="B91" s="1152">
        <f>IF(QEPressScrOne&lt;&gt;1,FSToolMaint21,0)</f>
        <v>0</v>
      </c>
      <c r="C91" s="725" t="s">
        <v>1253</v>
      </c>
      <c r="D91" s="1152">
        <f>IF(QEPCSSCR1&gt;0,((QEToolMaintRate1)/QEPCSSCR1)*BaseQuantity,0)</f>
        <v>1.5943877551020409</v>
      </c>
      <c r="E91" s="1152">
        <f>IF(QEPCSSCR2&gt;0,((QEToolMaintRate1)/QEPCSSCR2)*BaseQuantity,0)</f>
        <v>0</v>
      </c>
      <c r="G91" s="537" t="b">
        <f>NOT(FSMatlScr9=2)</f>
        <v>1</v>
      </c>
      <c r="H91" s="537" t="b">
        <f>NOT(FSMatType9="Resin")</f>
        <v>0</v>
      </c>
      <c r="I91" s="537" t="b">
        <f>AND(FSResinTest39,FSResinTest39A)</f>
        <v>0</v>
      </c>
      <c r="J91" s="537" t="s">
        <v>5640</v>
      </c>
      <c r="K91" s="727">
        <f>IF(FSResinTest39B=TRUE,(FSMatl9Req*_Mat9)/BaseQuantity/FSMatlYield,0)</f>
        <v>0</v>
      </c>
      <c r="L91" s="727">
        <f>IF(FSResinTest39B=TRUE,(FSMatl9Req*_Mat92)/BaseQuantity/FSMatlYield,0)</f>
        <v>0</v>
      </c>
      <c r="M91" s="727">
        <f>IF(FSResinTest39B=TRUE,(FSMatl9Req*_Mat93)/BaseQuantity/FSMatlYield,0)</f>
        <v>0</v>
      </c>
      <c r="N91" s="727">
        <f>IF(FSResinTest39B=TRUE,(FSMatl9Req*_Mat94)/BaseQuantity/FSMatlYield,0)</f>
        <v>0</v>
      </c>
      <c r="O91" s="727">
        <f>IF(FSResinTest39B=TRUE,(FSMatl9Req*_Mat95)/BaseQuantity/FSMatlYield,0)</f>
        <v>0</v>
      </c>
    </row>
    <row r="92" spans="1:15">
      <c r="A92" s="1152">
        <f>IF(QEPressScrTwo&lt;&gt;2,FSToolMaint12,0)</f>
        <v>0</v>
      </c>
      <c r="B92" s="1152">
        <f>IF(QEPressScrTwo&lt;&gt;1,FSToolMaint22,0)</f>
        <v>0</v>
      </c>
      <c r="C92" s="725" t="s">
        <v>2984</v>
      </c>
      <c r="D92" s="1152">
        <f>IF(QEPCSSCR1A&gt;0,((QEToolMaintRate2)/QEPCSSCR1A)*BaseQuantity,0)</f>
        <v>0</v>
      </c>
      <c r="E92" s="1152">
        <f>IF(QEPCSSCR2A&gt;0,((QEToolMaintRate2)/QEPCSSCR2A)*BaseQuantity,0)</f>
        <v>0</v>
      </c>
      <c r="J92" s="537" t="s">
        <v>5641</v>
      </c>
      <c r="K92" s="729">
        <f>FSMat39Cost1*FSMatlMU9</f>
        <v>0</v>
      </c>
      <c r="L92" s="729">
        <f>FSMat39Cost2*FSMatlMU9</f>
        <v>0</v>
      </c>
      <c r="M92" s="729">
        <f>FSMat39Cost3*FSMatlMU9</f>
        <v>0</v>
      </c>
      <c r="N92" s="729">
        <f>FSMat39Cost4*FSMatlMU9</f>
        <v>0</v>
      </c>
      <c r="O92" s="729">
        <f>FSMat39Cost5*FSMatlMU9</f>
        <v>0</v>
      </c>
    </row>
    <row r="93" spans="1:15">
      <c r="A93" s="1152">
        <f>IF(QEPressScrThree&lt;&gt;2,FSToolMaint13,0)</f>
        <v>0</v>
      </c>
      <c r="B93" s="1152">
        <f>IF(QEPressScrThree&lt;&gt;1,FSToolMaint23,0)</f>
        <v>0</v>
      </c>
      <c r="C93" s="725" t="s">
        <v>2985</v>
      </c>
      <c r="D93" s="1152">
        <f>IF(QEPCSSCR1B&gt;0,((QEToolMaintRate3)/QEPCSSCR1B)*BaseQuantity,0)</f>
        <v>0</v>
      </c>
      <c r="E93" s="1152">
        <f>IF(QEPCSSCR2B&gt;0,((QEToolMaintRate3)/QEPCSSCR2B)*BaseQuantity,0)</f>
        <v>0</v>
      </c>
      <c r="G93" s="537" t="b">
        <f>NOT(FSMatlScr10=2)</f>
        <v>1</v>
      </c>
      <c r="H93" s="537" t="b">
        <f>NOT(FSMatType10="Resin")</f>
        <v>0</v>
      </c>
      <c r="I93" s="537" t="b">
        <f>AND(FSResinTest310,FSResinTest310A)</f>
        <v>0</v>
      </c>
      <c r="J93" s="537" t="s">
        <v>5642</v>
      </c>
      <c r="K93" s="727">
        <f>IF(FSResinTest310B=TRUE,(FSMatl10Req*_Mat10)/BaseQuantity/FSMatlYield,0)</f>
        <v>0</v>
      </c>
      <c r="L93" s="727">
        <f>IF(FSResinTest310B=TRUE,(FSMatl10Req*_Mat102)/BaseQuantity/FSMatlYield,0)</f>
        <v>0</v>
      </c>
      <c r="M93" s="727">
        <f>IF(FSResinTest310B=TRUE,(FSMatl10Req*_Mat103)/BaseQuantity/FSMatlYield,0)</f>
        <v>0</v>
      </c>
      <c r="N93" s="727">
        <f>IF(FSResinTest310B=TRUE,(FSMatl10Req*_Mat104)/BaseQuantity/FSMatlYield,0)</f>
        <v>0</v>
      </c>
      <c r="O93" s="727">
        <f>IF(FSResinTest310B=TRUE,(FSMatl10Req*_Mat105)/BaseQuantity/FSMatlYield,0)</f>
        <v>0</v>
      </c>
    </row>
    <row r="94" spans="1:15">
      <c r="A94" s="1152">
        <f>IF(QEPressScrFour&lt;&gt;2,FSToolMaint14,0)</f>
        <v>0</v>
      </c>
      <c r="B94" s="1152">
        <f>IF(QEPressScrFour&lt;&gt;1,FSToolMaint24,0)</f>
        <v>0</v>
      </c>
      <c r="C94" s="725" t="s">
        <v>2986</v>
      </c>
      <c r="D94" s="1152">
        <f>IF(QEPcsHrs1&gt;0,((QEToolMaintRate4)/QEPcsHrs1)*BaseQuantity,0)</f>
        <v>0</v>
      </c>
      <c r="E94" s="1152">
        <f>IF(QEPcsHrs12&gt;0,((QEToolMaintRate4)/QEPcsHrs12)*BaseQuantity,0)</f>
        <v>0</v>
      </c>
      <c r="J94" s="537" t="s">
        <v>5643</v>
      </c>
      <c r="K94" s="729">
        <f>FSMat310Cost1*FSMatlMU10</f>
        <v>0</v>
      </c>
      <c r="L94" s="729">
        <f>FSMat310Cost2*FSMatlMU10</f>
        <v>0</v>
      </c>
      <c r="M94" s="729">
        <f>FSMat310Cost3*FSMatlMU10</f>
        <v>0</v>
      </c>
      <c r="N94" s="729">
        <f>FSMat310Cost4*FSMatlMU10</f>
        <v>0</v>
      </c>
      <c r="O94" s="729">
        <f>FSMat310Cost5*FSMatlMU10</f>
        <v>0</v>
      </c>
    </row>
    <row r="95" spans="1:15">
      <c r="A95" s="1152">
        <f>IF(QEPressScrFive&lt;&gt;2,FSToolMaint15,0)</f>
        <v>0</v>
      </c>
      <c r="B95" s="1152">
        <f>IF(QEPressScrFive&lt;&gt;1,FSToolMaint25,0)</f>
        <v>0</v>
      </c>
      <c r="C95" s="725" t="s">
        <v>2987</v>
      </c>
      <c r="D95" s="1152">
        <f>IF(QEPcsHrs2&gt;0,((QEToolMaintRate5)/QEPcsHrs2)*BaseQuantity,0)</f>
        <v>0</v>
      </c>
      <c r="E95" s="1152">
        <f>IF(QEPcsHrs22&gt;0,((QEToolMaintRate5)/QEPcsHrs22)*BaseQuantity,0)</f>
        <v>0</v>
      </c>
      <c r="G95" s="537" t="b">
        <f>NOT(FSMatlScr11=2)</f>
        <v>1</v>
      </c>
      <c r="H95" s="537" t="b">
        <f>NOT(FSMatType11="Resin")</f>
        <v>0</v>
      </c>
      <c r="I95" s="537" t="b">
        <f>AND(G95,H95)</f>
        <v>0</v>
      </c>
      <c r="J95" s="537" t="s">
        <v>2471</v>
      </c>
      <c r="K95" s="727">
        <f>IF($I$95=TRUE,(FSMatl11Req*_Mat11)/BaseQuantity/FSMatlYield,0)</f>
        <v>0</v>
      </c>
      <c r="L95" s="727">
        <f>IF($I$95=TRUE,(FSMatl11Req*_Mat112)/BaseQuantity/FSMatlYield,0)</f>
        <v>0</v>
      </c>
      <c r="M95" s="727">
        <f>IF($I$95=TRUE,(FSMatl11Req*_Mat113)/BaseQuantity/FSMatlYield,0)</f>
        <v>0</v>
      </c>
      <c r="N95" s="727">
        <f>IF($I$95=TRUE,(FSMatl11Req*_Mat114)/BaseQuantity/FSMatlYield,0)</f>
        <v>0</v>
      </c>
      <c r="O95" s="727">
        <f>IF($I$95=TRUE,(FSMatl11Req*_Mat115)/BaseQuantity/FSMatlYield,0)</f>
        <v>0</v>
      </c>
    </row>
    <row r="96" spans="1:15">
      <c r="A96" s="1152">
        <f>IF(QEPressScr6&lt;&gt;2,FSToolMaint16,0)</f>
        <v>0</v>
      </c>
      <c r="B96" s="1152">
        <f>IF(QEPressScr6&lt;&gt;1,FSToolMaint26,0)</f>
        <v>0</v>
      </c>
      <c r="C96" s="725" t="s">
        <v>3442</v>
      </c>
      <c r="D96" s="1152">
        <f>IF(QEPCSSCR1C&gt;0,((QEToolMaintRate6)/QEPCSSCR1C)*BaseQuantity,0)</f>
        <v>0</v>
      </c>
      <c r="E96" s="1152">
        <f>IF(QEPCSSCR2C&gt;0,((QEToolMaintRate6)/QEPCSSCR2C)*BaseQuantity,0)</f>
        <v>0</v>
      </c>
      <c r="G96" s="735"/>
      <c r="J96" s="537" t="s">
        <v>2472</v>
      </c>
      <c r="K96" s="729">
        <f>K95*FSMatlMU11</f>
        <v>0</v>
      </c>
      <c r="L96" s="729">
        <f>L95*FSMatlMU11</f>
        <v>0</v>
      </c>
      <c r="M96" s="729">
        <f>M95*FSMatlMU11</f>
        <v>0</v>
      </c>
      <c r="N96" s="729">
        <f>N95*FSMatlMU11</f>
        <v>0</v>
      </c>
      <c r="O96" s="729">
        <f>O95*FSMatlMU11</f>
        <v>0</v>
      </c>
    </row>
    <row r="97" spans="1:15">
      <c r="A97" s="1152">
        <f>IF(QEPressScr7&lt;&gt;2,FSToolMaint17,0)</f>
        <v>0</v>
      </c>
      <c r="B97" s="1152">
        <f>IF(QEPressScr7&lt;&gt;1,FSToolMaint27,0)</f>
        <v>0</v>
      </c>
      <c r="C97" s="725" t="s">
        <v>3804</v>
      </c>
      <c r="D97" s="1152">
        <f>IF(QEPCSSCR1D&gt;0,((QEToolMaintRate7)/QEPCSSCR1D)*BaseQuantity,0)</f>
        <v>0</v>
      </c>
      <c r="E97" s="1152">
        <f>IF(QEPCSSCR2D&gt;0,((QEToolMaintRate7)/QEPCSSCR2D)*BaseQuantity,0)</f>
        <v>0</v>
      </c>
      <c r="G97" s="537" t="b">
        <f>NOT(FSMatlScr12=2)</f>
        <v>1</v>
      </c>
      <c r="H97" s="537" t="b">
        <f>NOT(FSMatType12="Resin")</f>
        <v>0</v>
      </c>
      <c r="I97" s="537" t="b">
        <f>AND(G97,H97)</f>
        <v>0</v>
      </c>
      <c r="J97" s="537" t="s">
        <v>1411</v>
      </c>
      <c r="K97" s="727">
        <f>IF($I$97=TRUE,(FSMatl12Req*_Mat12)/BaseQuantity/FSMatlYield,0)</f>
        <v>0</v>
      </c>
      <c r="L97" s="727">
        <f>IF($I$97=TRUE,(FSMatl12Req*_Mat122)/BaseQuantity/FSMatlYield,0)</f>
        <v>0</v>
      </c>
      <c r="M97" s="727">
        <f>IF($I$97=TRUE,(FSMatl12Req*_Mat123)/BaseQuantity/FSMatlYield,0)</f>
        <v>0</v>
      </c>
      <c r="N97" s="727">
        <f>IF($I$97=TRUE,(FSMatl12Req*_Mat124)/BaseQuantity/FSMatlYield,0)</f>
        <v>0</v>
      </c>
      <c r="O97" s="727">
        <f>IF($I$97=TRUE,(FSMatl12Req*_Mat125)/BaseQuantity/FSMatlYield,0)</f>
        <v>0</v>
      </c>
    </row>
    <row r="98" spans="1:15">
      <c r="A98" s="1152">
        <f>IF(QEPressScr9&lt;&gt;2,FSToolMaint17A,0)</f>
        <v>0</v>
      </c>
      <c r="B98" s="1152">
        <f>IF(QEPressScr9&lt;&gt;1,FSToolMaint27A,0)</f>
        <v>0</v>
      </c>
      <c r="C98" s="725" t="s">
        <v>2446</v>
      </c>
      <c r="D98" s="1152">
        <f>IF(QEPCSSCR1E&gt;0,((QEToolMaintRate9)/QEPCSSCR1E)*BaseQuantity,0)</f>
        <v>0</v>
      </c>
      <c r="E98" s="1152">
        <f>IF(QEPCSSCR2E&gt;0,((QEToolMaintRate9)/QEPCSSCR2E)*BaseQuantity,0)</f>
        <v>0</v>
      </c>
      <c r="G98" s="735"/>
      <c r="J98" s="537" t="s">
        <v>1412</v>
      </c>
      <c r="K98" s="729">
        <f>K97*FSMatlMU12</f>
        <v>0</v>
      </c>
      <c r="L98" s="729">
        <f>L97*FSMatlMU12</f>
        <v>0</v>
      </c>
      <c r="M98" s="729">
        <f>M97*FSMatlMU12</f>
        <v>0</v>
      </c>
      <c r="N98" s="729">
        <f>N97*FSMatlMU12</f>
        <v>0</v>
      </c>
      <c r="O98" s="729">
        <f>O97*FSMatlMU12</f>
        <v>0</v>
      </c>
    </row>
    <row r="99" spans="1:15">
      <c r="A99" s="1152">
        <f>IF(QEPressScrFour&lt;&gt;2,FSToolMaint17B,0)</f>
        <v>0</v>
      </c>
      <c r="B99" s="1152">
        <f>IF(QEPressScrFour&lt;&gt;1,FSToolMaint27B,0)</f>
        <v>0</v>
      </c>
      <c r="C99" s="725" t="s">
        <v>4794</v>
      </c>
      <c r="D99" s="1152">
        <f>IF(QEPCSSCR1F&gt;0,((QEToolMaintRate10)/QEPCSSCR1F)*BaseQuantity,0)</f>
        <v>0</v>
      </c>
      <c r="E99" s="1152">
        <f>IF(QEPCSSCR2F&gt;0,((QEToolMaintRate10)/QEPCSSCR2F)*BaseQuantity,0)</f>
        <v>0</v>
      </c>
      <c r="G99" s="537" t="b">
        <f>NOT(FSMatlScr13=2)</f>
        <v>1</v>
      </c>
      <c r="H99" s="537" t="b">
        <f>NOT(FSMatType13="Resin")</f>
        <v>0</v>
      </c>
      <c r="I99" s="537" t="b">
        <f>AND(G99,H99)</f>
        <v>0</v>
      </c>
      <c r="J99" s="537" t="s">
        <v>1413</v>
      </c>
      <c r="K99" s="727">
        <f>IF($I$99=TRUE,(FSMatl13Req*_Mat13)/BaseQuantity/FSMatlYield,0)</f>
        <v>0</v>
      </c>
      <c r="L99" s="727">
        <f>IF($I$99=TRUE,(FSMatl13Req*_Mat132)/BaseQuantity/FSMatlYield,0)</f>
        <v>0</v>
      </c>
      <c r="M99" s="727">
        <f>IF($I$99=TRUE,(FSMatl13Req*_Mat133)/BaseQuantity/FSMatlYield,0)</f>
        <v>0</v>
      </c>
      <c r="N99" s="727">
        <f>IF($I$99=TRUE,(FSMatl13Req*_Mat134)/BaseQuantity/FSMatlYield,0)</f>
        <v>0</v>
      </c>
      <c r="O99" s="727">
        <f>IF($I$99=TRUE,(FSMatl13Req*_Mat135)/BaseQuantity/FSMatlYield,0)</f>
        <v>0</v>
      </c>
    </row>
    <row r="100" spans="1:15">
      <c r="A100" s="1152">
        <f>IF(QEPressScr8&lt;&gt;2,FSToolMaint18,0)</f>
        <v>0</v>
      </c>
      <c r="B100" s="1152">
        <f>IF(QEPressScr8&lt;&gt;1,FSToolMaint28,0)</f>
        <v>0</v>
      </c>
      <c r="C100" s="725" t="s">
        <v>4334</v>
      </c>
      <c r="D100" s="1152">
        <f>IF(QEPcsHrs3&gt;0,((QEToolMaintRate8)/QEPcsHrs3)*BaseQuantity,0)</f>
        <v>0</v>
      </c>
      <c r="E100" s="1152">
        <f>IF(QEPcsHrs32&gt;0,((QEToolMaintRate8)/QEPcsHrs32)*BaseQuantity,0)</f>
        <v>0</v>
      </c>
      <c r="G100" s="735"/>
      <c r="J100" s="537" t="s">
        <v>1414</v>
      </c>
      <c r="K100" s="729">
        <f>K99*FSMatlMU13</f>
        <v>0</v>
      </c>
      <c r="L100" s="729">
        <f>L99*FSMatlMU13</f>
        <v>0</v>
      </c>
      <c r="M100" s="729">
        <f>M99*FSMatlMU13</f>
        <v>0</v>
      </c>
      <c r="N100" s="729">
        <f>N99*FSMatlMU13</f>
        <v>0</v>
      </c>
      <c r="O100" s="729">
        <f>O99*FSMatlMU13</f>
        <v>0</v>
      </c>
    </row>
    <row r="101" spans="1:15">
      <c r="A101" s="1153">
        <f>SUM(FSToolMaintCost11:FSToolMaintCost18)</f>
        <v>1.5943877551020409</v>
      </c>
      <c r="B101" s="1153">
        <f>SUM(FSToolMaintCost21:FSToolMaintCost28)</f>
        <v>0</v>
      </c>
      <c r="C101" s="583" t="s">
        <v>5298</v>
      </c>
      <c r="G101" s="537" t="b">
        <f>NOT(FSMatlScr14=2)</f>
        <v>1</v>
      </c>
      <c r="H101" s="537" t="b">
        <f>NOT(FSMatType14="Resin")</f>
        <v>0</v>
      </c>
      <c r="I101" s="537" t="b">
        <f>AND(G101,H101)</f>
        <v>0</v>
      </c>
      <c r="J101" s="537" t="s">
        <v>1415</v>
      </c>
      <c r="K101" s="727">
        <f>IF($I$101=TRUE,(FSMatl14Req*_Mat14)/BaseQuantity/FSMatlYield,0)</f>
        <v>0</v>
      </c>
      <c r="L101" s="727">
        <f>IF($I$101=TRUE,(FSMatl14Req*_Mat142)/BaseQuantity/FSMatlYield,0)</f>
        <v>0</v>
      </c>
      <c r="M101" s="727">
        <f>IF($I$101=TRUE,(FSMatl14Req*_Mat143)/BaseQuantity/FSMatlYield,0)</f>
        <v>0</v>
      </c>
      <c r="N101" s="727">
        <f>IF($I$101=TRUE,(FSMatl14Req*_Mat144)/BaseQuantity/FSMatlYield,0)</f>
        <v>0</v>
      </c>
      <c r="O101" s="727">
        <f>IF($I$101=TRUE,(FSMatl14Req*_Mat145)/BaseQuantity/FSMatlYield,0)</f>
        <v>0</v>
      </c>
    </row>
    <row r="102" spans="1:15">
      <c r="G102" s="735"/>
      <c r="J102" s="537" t="s">
        <v>1416</v>
      </c>
      <c r="K102" s="729">
        <f>K101*FSMatlMU14</f>
        <v>0</v>
      </c>
      <c r="L102" s="729">
        <f>L101*FSMatlMU14</f>
        <v>0</v>
      </c>
      <c r="M102" s="729">
        <f>M101*FSMatlMU14</f>
        <v>0</v>
      </c>
      <c r="N102" s="729">
        <f>N101*FSMatlMU14</f>
        <v>0</v>
      </c>
      <c r="O102" s="729">
        <f>O101*FSMatlMU14</f>
        <v>0</v>
      </c>
    </row>
    <row r="103" spans="1:15">
      <c r="G103" s="537" t="b">
        <f>NOT(FSMatlScr15=2)</f>
        <v>1</v>
      </c>
      <c r="H103" s="537" t="b">
        <f>NOT(FSMatType15="Resin")</f>
        <v>0</v>
      </c>
      <c r="I103" s="537" t="b">
        <f>AND(G103,H103)</f>
        <v>0</v>
      </c>
      <c r="J103" s="537" t="s">
        <v>1417</v>
      </c>
      <c r="K103" s="727">
        <f>IF($I$103=TRUE,(FSMatl15Req*_Mat15)/BaseQuantity/FSMatlYield,0)</f>
        <v>0</v>
      </c>
      <c r="L103" s="727">
        <f>IF($I$103=TRUE,(FSMatl15Req*_Mat152)/BaseQuantity/FSMatlYield,0)</f>
        <v>0</v>
      </c>
      <c r="M103" s="727">
        <f>IF($I$103=TRUE,(FSMatl15Req*_Mat153)/BaseQuantity/FSMatlYield,0)</f>
        <v>0</v>
      </c>
      <c r="N103" s="727">
        <f>IF($I$103=TRUE,(FSMatl15Req*_Mat154)/BaseQuantity/FSMatlYield,0)</f>
        <v>0</v>
      </c>
      <c r="O103" s="727">
        <f>IF($I$103=TRUE,(FSMatl15Req*_Mat155)/BaseQuantity/FSMatlYield,0)</f>
        <v>0</v>
      </c>
    </row>
    <row r="104" spans="1:15" ht="12.75">
      <c r="A104" s="719" t="s">
        <v>3321</v>
      </c>
      <c r="G104" s="735"/>
      <c r="J104" s="537" t="s">
        <v>1418</v>
      </c>
      <c r="K104" s="729">
        <f>K103*FSMatlMU15</f>
        <v>0</v>
      </c>
      <c r="L104" s="729">
        <f>L103*FSMatlMU15</f>
        <v>0</v>
      </c>
      <c r="M104" s="729">
        <f>M103*FSMatlMU15</f>
        <v>0</v>
      </c>
      <c r="N104" s="729">
        <f>N103*FSMatlMU15</f>
        <v>0</v>
      </c>
      <c r="O104" s="729">
        <f>O103*FSMatlMU15</f>
        <v>0</v>
      </c>
    </row>
    <row r="105" spans="1:15">
      <c r="A105" s="748" t="s">
        <v>966</v>
      </c>
      <c r="B105" s="748" t="s">
        <v>3481</v>
      </c>
      <c r="C105" s="537" t="s">
        <v>3303</v>
      </c>
      <c r="D105" s="725">
        <v>1</v>
      </c>
      <c r="E105" s="725">
        <v>2</v>
      </c>
      <c r="G105" s="732"/>
      <c r="J105" s="574" t="s">
        <v>986</v>
      </c>
      <c r="K105" s="729">
        <f>FSMatOneJ33+FSMatTwoJ35+FSMatThreeJ37+FSMatFourJ39+FSMatFiveJ41+FSMat36Cost1+FSMat37Cost1+FSMat38Cost1+FSMat39Cost1+FSMat310Cost1+K95+K97+K99+K101+K103</f>
        <v>0</v>
      </c>
      <c r="L105" s="729">
        <f>FSMatOneK33+FSMatTwoK35+FSMatThreeK37+FSMatFourK39+FSMatFiveK41+FSMat36Cost2+FSMat37Cost2+FSMat38Cost2+FSMat39Cost2+FSMat310Cost2+L95+L97+L99+L101+L103</f>
        <v>0</v>
      </c>
      <c r="M105" s="729">
        <f>FSMatOneL33+FSMatTwoL35+FSMatThreeL37+FSMatFourL39+FSMatFiveL41+FSMat36Cost3+FSMat37Cost3+FSMat38Cost3+FSMat39Cost3+FSMat310Cost3+M95+M97+M99+M101+M103</f>
        <v>0</v>
      </c>
      <c r="N105" s="729">
        <f>FSMatOneM33+FSMatTwoM35+FSMatThreeM37+FSMatFourM39+FSMatFiveM41+FSMat36Cost4+FSMat37Cost4+FSMat38Cost4+FSMat39Cost4+FSMat310Cost4+N95+N97+N99+N101+N103</f>
        <v>0</v>
      </c>
      <c r="O105" s="729">
        <f>FSMatOneN33+FSMatTwoN35+FSMatThreeN37+FSMatFourN39+FSMatFiveN41+FSMat36Cost5+FSMat37Cost5+FSMat38Cost5+FSMat39Cost5+FSMat310Cost5+BOMat11Cost5+BOMat12Cost5+BOMat13Cost5+BOMat14Cost5+BOMat15Cost5</f>
        <v>0</v>
      </c>
    </row>
    <row r="106" spans="1:15">
      <c r="A106" s="744">
        <f>IF(QEPressScrOne&lt;&gt;2,FSLaborCostCalc11,0)</f>
        <v>2.3738424744897961</v>
      </c>
      <c r="B106" s="744">
        <f>IF(QEPressScrOne&lt;&gt;1,FSLaborCostCalc21,0)</f>
        <v>0</v>
      </c>
      <c r="C106" s="725" t="s">
        <v>1253</v>
      </c>
      <c r="D106" s="744">
        <f>IF(QEPCSSCR1&gt;0,(QEOper1*QELaborRate1/QEPCSSCR1)*BaseQuantity,0)</f>
        <v>2.3738424744897961</v>
      </c>
      <c r="E106" s="744">
        <f>IF(QEPCSSCR2&gt;0,(QEOper1*QELaborRate1/QEPCSSCR2)*BaseQuantity,0)</f>
        <v>0</v>
      </c>
      <c r="G106" s="741"/>
      <c r="J106" s="574" t="s">
        <v>987</v>
      </c>
      <c r="K106" s="729">
        <f>FSMatOneJ34+FSMatTwoJ36+FSMatThreeJ38+FSMatFourJ40+FSMatFiveJ42+FSMat36Price1+FSMat37Price1+FSMat38Price1+FSMat39Price1+FSMat310Price1+K96+K98+K100+K102+K104</f>
        <v>0</v>
      </c>
      <c r="L106" s="729">
        <f>FSMatOneK34+FSMatTwoK36+FSMatThreeK38+FSMatFourK40+FSMatFiveK42+FSMat36Price2+FSMat37Price2+FSMat38Price2+FSMat39Price2+FSMat310Price2+L96+L98+L100+L102+L104</f>
        <v>0</v>
      </c>
      <c r="M106" s="729">
        <f>FSMatOneL34+FSMatTwoL36+FSMatThreeL38+FSMatFourL40+FSMatFiveL42+FSMat36Price3+FSMat37Price3+FSMat38Price3+FSMat39Price3+FSMat310Price3+M96+M98+M100+M102+M104</f>
        <v>0</v>
      </c>
      <c r="N106" s="729">
        <f>FSMatOneM34+FSMatTwoM36+FSMatThreeM38+FSMatFourM40+FSMatFiveM42+FSMat36Price4+FSMat37Price4+FSMat38Price4+FSMat39Price4+FSMat310Price4+N96+N98+N100+N102+N104</f>
        <v>0</v>
      </c>
      <c r="O106" s="729">
        <f>FSMatOneN34+FSMatTwoN36+FSMatThreeN38+FSMatFourN40+FSMatFiveN42+FSMat36Price5+FSMat37Price5+FSMat38Price5+FSMat39Price5+FSMat310Price5+O96+O98+O100+O102+O104</f>
        <v>0</v>
      </c>
    </row>
    <row r="107" spans="1:15">
      <c r="A107" s="744">
        <f>IF(QEPressScrTwo&lt;&gt;2,FSLaborCostCalc12,0)</f>
        <v>0</v>
      </c>
      <c r="B107" s="744">
        <f>IF(QEPressScrTwo&lt;&gt;1,FSLaborCostCalc22,0)</f>
        <v>0</v>
      </c>
      <c r="C107" s="725" t="s">
        <v>2984</v>
      </c>
      <c r="D107" s="744">
        <f>IF(QEPCSSCR1A&gt;0,(QEOper2*QELaborRate2/QEPCSSCR1A)*BaseQuantity,0)</f>
        <v>0</v>
      </c>
      <c r="E107" s="744">
        <f>IF(QEPCSSCR2A&gt;0,(QEOper2*QELaborRate2/QEPCSSCR2A)*BaseQuantity,0)</f>
        <v>0</v>
      </c>
      <c r="J107" s="722"/>
      <c r="K107" s="722"/>
    </row>
    <row r="108" spans="1:15" ht="25.5">
      <c r="A108" s="744">
        <f>IF(QEPressScrThree&lt;&gt;2,FSLaborCostCalc13,0)</f>
        <v>0</v>
      </c>
      <c r="B108" s="744">
        <f>IF(QEPressScrThree&lt;&gt;1,FSLaborCostCalc23,0)</f>
        <v>0</v>
      </c>
      <c r="C108" s="725" t="s">
        <v>2985</v>
      </c>
      <c r="D108" s="744">
        <f>IF(QEPCSSCR1B&gt;0,(QEOper3*QELaborRate3/QEPCSSCR1B)*BaseQuantity,0)</f>
        <v>0</v>
      </c>
      <c r="E108" s="744">
        <f>IF(QEPCSSCR2B&gt;0,(QEOper3*QELaborRate3/QEPCSSCR2B)*BaseQuantity,0)</f>
        <v>0</v>
      </c>
      <c r="J108" s="719" t="s">
        <v>5728</v>
      </c>
      <c r="K108" s="722"/>
      <c r="L108" s="722"/>
    </row>
    <row r="109" spans="1:15" ht="12.75">
      <c r="A109" s="744">
        <f>IF(QEPressScrFour&lt;&gt;2,FSLaborCostCalc14,0)</f>
        <v>0</v>
      </c>
      <c r="B109" s="744">
        <f>IF(QEPressScrFour&lt;&gt;1,FSLaborCostCalc24,0)</f>
        <v>0</v>
      </c>
      <c r="C109" s="725" t="s">
        <v>2986</v>
      </c>
      <c r="D109" s="744">
        <f>IF(QEPcsHrs1&gt;0,(QEOper4*QELaborRate4/QEPcsHrs1)*BaseQuantity,0)</f>
        <v>0</v>
      </c>
      <c r="E109" s="744">
        <f>IF(QEPcsHrs12&gt;0,(QEOper4*QELaborRate4/QEPcsHrs12)*BaseQuantity,0)</f>
        <v>0</v>
      </c>
      <c r="J109" s="724" t="s">
        <v>1181</v>
      </c>
      <c r="K109" s="573" t="s">
        <v>1686</v>
      </c>
      <c r="L109" s="573" t="s">
        <v>2066</v>
      </c>
      <c r="M109" s="573" t="s">
        <v>2067</v>
      </c>
      <c r="N109" s="573" t="s">
        <v>2068</v>
      </c>
      <c r="O109" s="573" t="s">
        <v>5309</v>
      </c>
    </row>
    <row r="110" spans="1:15">
      <c r="A110" s="744">
        <f>IF(QEPressScrFive&lt;&gt;2,FSLaborCostCalc15,0)</f>
        <v>0</v>
      </c>
      <c r="B110" s="744">
        <f>IF(QEPressScrFive&lt;&gt;1,FSLaborCostCalc25,0)</f>
        <v>0</v>
      </c>
      <c r="C110" s="725" t="s">
        <v>2987</v>
      </c>
      <c r="D110" s="744">
        <f>IF(QEPcsHrs2&gt;0,(QEOper5*QELaborRate5/QEPcsHrs2)*BaseQuantity,0)</f>
        <v>0</v>
      </c>
      <c r="E110" s="744">
        <f>IF(QEPcsHrs22&gt;0,(QEOper5*QELaborRate5/QEPcsHrs22)*BaseQuantity,0)</f>
        <v>0</v>
      </c>
      <c r="G110" s="537" t="b">
        <f>NOT(FSMatlScrOne=1)</f>
        <v>0</v>
      </c>
      <c r="H110" s="537" t="b">
        <f>NOT(FSMatType1="Resin")</f>
        <v>0</v>
      </c>
      <c r="I110" s="537" t="b">
        <f>AND(FSResinTest41,FSResinTest41A)</f>
        <v>0</v>
      </c>
      <c r="J110" s="574" t="s">
        <v>5114</v>
      </c>
      <c r="K110" s="727">
        <f>IF(FSResinTest41B=TRUE,(FSMatlOneReq*MatOne)/BaseQuantity/FSMatlYield,0)</f>
        <v>0</v>
      </c>
      <c r="L110" s="727">
        <f>IF(FSResinTest41B=TRUE,(FSMatlOneReq*MatOne2)/BaseQuantity/FSMatlYield,0)</f>
        <v>0</v>
      </c>
      <c r="M110" s="727">
        <f>IF(FSResinTest41B=TRUE,(FSMatlOneReq*MatOne3)/BaseQuantity/FSMatlYield,0)</f>
        <v>0</v>
      </c>
      <c r="N110" s="727">
        <f>IF(FSResinTest41B=TRUE,(FSMatlOneReq*MatOne4)/BaseQuantity/FSMatlYield,0)</f>
        <v>0</v>
      </c>
      <c r="O110" s="727">
        <f>IF(FSResinTest41B=TRUE,(FSMatlOneReq*MatOne5)/BaseQuantity/FSMatlYield,0)</f>
        <v>0</v>
      </c>
    </row>
    <row r="111" spans="1:15">
      <c r="A111" s="744">
        <f>IF(QEPressScr6&lt;&gt;2,FSLaborCostCalc16,0)</f>
        <v>0</v>
      </c>
      <c r="B111" s="744">
        <f>IF(QEPressScr6&lt;&gt;1,FSLaborCostCalc26,0)</f>
        <v>0</v>
      </c>
      <c r="C111" s="725" t="s">
        <v>3442</v>
      </c>
      <c r="D111" s="744">
        <f>IF(QEPCSSCR1C&gt;0,(QEOper6*QELaborRate6/QEPCSSCR1C)*BaseQuantity,0)</f>
        <v>0</v>
      </c>
      <c r="E111" s="744">
        <f>IF(QEPCSSCR2C&gt;0,(QEOper6*QELaborRate6/QEPCSSCR2C)*BaseQuantity,0)</f>
        <v>0</v>
      </c>
      <c r="G111" s="722"/>
      <c r="J111" s="574" t="s">
        <v>5115</v>
      </c>
      <c r="K111" s="729">
        <f>FSMatOneJ48*FSMatlMU1</f>
        <v>0</v>
      </c>
      <c r="L111" s="729">
        <f>FSMatOneK48*FSMatlMU1</f>
        <v>0</v>
      </c>
      <c r="M111" s="729">
        <f>FSMatOneL48*FSMatlMU1</f>
        <v>0</v>
      </c>
      <c r="N111" s="729">
        <f>FSMatOneM48*FSMatlMU1</f>
        <v>0</v>
      </c>
      <c r="O111" s="729">
        <f>FSMatOneN48*FSMatlMU1</f>
        <v>0</v>
      </c>
    </row>
    <row r="112" spans="1:15">
      <c r="A112" s="744">
        <f>IF(QEPressScr7&lt;&gt;2,FSLaborCostCalc17,0)</f>
        <v>0</v>
      </c>
      <c r="B112" s="744">
        <f>IF(QEPressScr7&lt;&gt;1,FSLaborCostCalc27,0)</f>
        <v>0</v>
      </c>
      <c r="C112" s="725" t="s">
        <v>3804</v>
      </c>
      <c r="D112" s="744">
        <f>IF(QEPCSSCR1D&gt;0,(QEOper7*QELaborRate7/QEPCSSCR1D)*BaseQuantity,0)</f>
        <v>0</v>
      </c>
      <c r="E112" s="744">
        <f>IF(QEPCSSCR2D&gt;0,(QEOper7*QELaborRate7/QEPCSSCR2D)*BaseQuantity,0)</f>
        <v>0</v>
      </c>
      <c r="G112" s="537" t="b">
        <f>NOT(FSMatlScrTwo=1)</f>
        <v>1</v>
      </c>
      <c r="H112" s="537" t="b">
        <f>NOT(FSMatType2="Resin")</f>
        <v>0</v>
      </c>
      <c r="I112" s="537" t="b">
        <f>AND(FSResinTest42,FSResinTest42A)</f>
        <v>0</v>
      </c>
      <c r="J112" s="574" t="s">
        <v>5116</v>
      </c>
      <c r="K112" s="727">
        <f>IF(FSResinTest42B=TRUE,(FSMatlTwoReq*MatTwo)/BaseQuantity/FSMatlYield,0)</f>
        <v>0</v>
      </c>
      <c r="L112" s="727">
        <f>IF(FSResinTest42B=TRUE,(FSMatlTwoReq*MatTwo2)/BaseQuantity/FSMatlYield,0)</f>
        <v>0</v>
      </c>
      <c r="M112" s="727">
        <f>IF(FSResinTest42B=TRUE,(FSMatlTwoReq*MatTwo3)/BaseQuantity/FSMatlYield,0)</f>
        <v>0</v>
      </c>
      <c r="N112" s="727">
        <f>IF(FSResinTest42B=TRUE,(FSMatlTwoReq*MatTwo4)/BaseQuantity/FSMatlYield,0)</f>
        <v>0</v>
      </c>
      <c r="O112" s="727">
        <f>IF(FSResinTest42B=TRUE,(FSMatlTwoReq*MatTwo5)/BaseQuantity/FSMatlYield,0)</f>
        <v>0</v>
      </c>
    </row>
    <row r="113" spans="1:15">
      <c r="A113" s="744">
        <f>IF(QEPressScr9&lt;&gt;2,FSLaborCostCalc17A,0)</f>
        <v>0</v>
      </c>
      <c r="B113" s="744">
        <f>IF(QEPressScr9&lt;&gt;1,FSLaborCostCalc27A,0)</f>
        <v>0</v>
      </c>
      <c r="C113" s="725" t="s">
        <v>2446</v>
      </c>
      <c r="D113" s="744">
        <f>IF(QEPCSSCR1E&gt;0,(QEOper9*QELaborRate9/QEPCSSCR1E)*BaseQuantity,0)</f>
        <v>0</v>
      </c>
      <c r="E113" s="744">
        <f>IF(QEPCSSCR2E&gt;0,(QEOper9*QELaborRate9/QEPCSSCR2E)*BaseQuantity,0)</f>
        <v>0</v>
      </c>
      <c r="G113" s="722"/>
      <c r="J113" s="574" t="s">
        <v>5469</v>
      </c>
      <c r="K113" s="729">
        <f>FSMatTwoJ50*FSMatlMU2</f>
        <v>0</v>
      </c>
      <c r="L113" s="729">
        <f>FSMatTwoK50*FSMatlMU2</f>
        <v>0</v>
      </c>
      <c r="M113" s="729">
        <f>FSMatTwoL50*FSMatlMU2</f>
        <v>0</v>
      </c>
      <c r="N113" s="729">
        <f>FSMatTwoM50*FSMatlMU2</f>
        <v>0</v>
      </c>
      <c r="O113" s="729">
        <f>FSMatTwoN50*FSMatlMU2</f>
        <v>0</v>
      </c>
    </row>
    <row r="114" spans="1:15">
      <c r="A114" s="744">
        <f>IF(QEPressScrFour&lt;&gt;2,FSLaborCostCalc17B,0)</f>
        <v>0</v>
      </c>
      <c r="B114" s="744">
        <f>IF(QEPressScrFour&lt;&gt;1,FSLaborCostCalc27B,0)</f>
        <v>0</v>
      </c>
      <c r="C114" s="725" t="s">
        <v>4794</v>
      </c>
      <c r="D114" s="744">
        <f>IF(QEPCSSCR1F&gt;0,(QEOper10*QELaborRate10/QEPCSSCR1F)*BaseQuantity,0)</f>
        <v>0</v>
      </c>
      <c r="E114" s="744">
        <f>IF(QEPCSSCR2F&gt;0,(QEOper10*QELaborRate10/QEPCSSCR2F)*BaseQuantity,0)</f>
        <v>0</v>
      </c>
      <c r="G114" s="537" t="b">
        <f>NOT(FSMatlScrThree=1)</f>
        <v>0</v>
      </c>
      <c r="H114" s="537" t="b">
        <f>NOT(FSMatType3="Resin")</f>
        <v>0</v>
      </c>
      <c r="I114" s="537" t="b">
        <f>AND(FSResinTest43,FSResinTest43A)</f>
        <v>0</v>
      </c>
      <c r="J114" s="574" t="s">
        <v>5470</v>
      </c>
      <c r="K114" s="727">
        <f>IF(FSResinTest43B=TRUE,(FSMatlThreeReq*MatThree)/BaseQuantity/FSMatlYield,0)</f>
        <v>0</v>
      </c>
      <c r="L114" s="727">
        <f>IF(FSResinTest43B=TRUE,(FSMatlThreeReq*MatThree2)/BaseQuantity/FSMatlYield,0)</f>
        <v>0</v>
      </c>
      <c r="M114" s="727">
        <f>IF(FSResinTest43B=TRUE,(FSMatlThreeReq*MatThree3)/BaseQuantity/FSMatlYield,0)</f>
        <v>0</v>
      </c>
      <c r="N114" s="727">
        <f>IF(FSResinTest43B=TRUE,(FSMatlThreeReq*MatThree4)/BaseQuantity/FSMatlYield,0)</f>
        <v>0</v>
      </c>
      <c r="O114" s="727">
        <f>IF(FSResinTest43B=TRUE,(FSMatlThreeReq*MatThree5)/BaseQuantity/FSMatlYield,0)</f>
        <v>0</v>
      </c>
    </row>
    <row r="115" spans="1:15">
      <c r="A115" s="744">
        <f>IF(QEPressScr8&lt;&gt;2,FSLaborCostCalc18,0)</f>
        <v>0</v>
      </c>
      <c r="B115" s="744">
        <f>IF(QEPressScr8&lt;&gt;1,FSLaborCostCalc28,0)</f>
        <v>0</v>
      </c>
      <c r="C115" s="725" t="s">
        <v>4334</v>
      </c>
      <c r="D115" s="744">
        <f>IF(QEPcsHrs3&gt;0,(QEOper8*QELaborRate8/QEPcsHrs3)*BaseQuantity,0)</f>
        <v>0</v>
      </c>
      <c r="E115" s="744">
        <f>IF(QEPcsHrs32&gt;0,(QEOper8*QELaborRate8/QEPcsHrs32)*BaseQuantity,0)</f>
        <v>0</v>
      </c>
      <c r="G115" s="732"/>
      <c r="J115" s="574" t="s">
        <v>5471</v>
      </c>
      <c r="K115" s="729">
        <f>FSMatThreeJ52*FSMatlMU3</f>
        <v>0</v>
      </c>
      <c r="L115" s="729">
        <f>FSMatThreeK52*FSMatlMU3</f>
        <v>0</v>
      </c>
      <c r="M115" s="729">
        <f>FSMatThreeL52*FSMatlMU3</f>
        <v>0</v>
      </c>
      <c r="N115" s="729">
        <f>FSMatThreeM52*FSMatlMU3</f>
        <v>0</v>
      </c>
      <c r="O115" s="729">
        <f>FSMatThreeN52*FSMatlMU3</f>
        <v>0</v>
      </c>
    </row>
    <row r="116" spans="1:15">
      <c r="A116" s="746">
        <f>SUM(FSLaborCost11:FSLaborCost18)</f>
        <v>2.3738424744897961</v>
      </c>
      <c r="B116" s="746">
        <f>SUM(FSLaborCost21:FSLaborCost28)</f>
        <v>0</v>
      </c>
      <c r="C116" s="583" t="s">
        <v>5298</v>
      </c>
      <c r="G116" s="537" t="b">
        <f>NOT(FSMatlScrFour=1)</f>
        <v>0</v>
      </c>
      <c r="H116" s="537" t="b">
        <f>NOT(FSMatType4="Resin")</f>
        <v>0</v>
      </c>
      <c r="I116" s="537" t="b">
        <f>AND(FSResinTest44,FSResinTest44A)</f>
        <v>0</v>
      </c>
      <c r="J116" s="537" t="s">
        <v>4124</v>
      </c>
      <c r="K116" s="727">
        <f>IF(FSResinTest44B=TRUE,(FSMatlFourReq*MatFour)/BaseQuantity/FSMatlYield,0)</f>
        <v>0</v>
      </c>
      <c r="L116" s="727">
        <f>IF(FSResinTest44B=TRUE,(FSMatlFourReq*MatFour2)/BaseQuantity/FSMatlYield,0)</f>
        <v>0</v>
      </c>
      <c r="M116" s="727">
        <f>IF(FSResinTest44B=TRUE,(FSMatlFourReq*MatFour3)/BaseQuantity/FSMatlYield,0)</f>
        <v>0</v>
      </c>
      <c r="N116" s="727">
        <f>IF(FSResinTest44B=TRUE,(FSMatlFourReq*MatFour4)/BaseQuantity/FSMatlYield,0)</f>
        <v>0</v>
      </c>
      <c r="O116" s="727">
        <f>IF(FSResinTest44B=TRUE,(FSMatlFourReq*MatFour5)/BaseQuantity/FSMatlYield,0)</f>
        <v>0</v>
      </c>
    </row>
    <row r="117" spans="1:15">
      <c r="G117" s="734"/>
      <c r="J117" s="537" t="s">
        <v>4125</v>
      </c>
      <c r="K117" s="729">
        <f>FSMatFourJ54*FSMatlMU4</f>
        <v>0</v>
      </c>
      <c r="L117" s="729">
        <f>FSMatFourK54*FSMatlMU4</f>
        <v>0</v>
      </c>
      <c r="M117" s="729">
        <f>FSMatFourL54*FSMatlMU4</f>
        <v>0</v>
      </c>
      <c r="N117" s="729">
        <f>FSMatFourM54*FSMatlMU4</f>
        <v>0</v>
      </c>
      <c r="O117" s="729">
        <f>FSMatFourN54*FSMatlMU4</f>
        <v>0</v>
      </c>
    </row>
    <row r="118" spans="1:15" ht="12.75">
      <c r="A118" s="749" t="s">
        <v>3320</v>
      </c>
      <c r="B118" s="750"/>
      <c r="C118" s="750"/>
      <c r="D118" s="750"/>
      <c r="E118" s="745"/>
      <c r="G118" s="537" t="b">
        <f>NOT(FSMatlScrFive=1)</f>
        <v>0</v>
      </c>
      <c r="H118" s="537" t="b">
        <f>NOT(FSMatType5="Resin")</f>
        <v>0</v>
      </c>
      <c r="I118" s="537" t="b">
        <f>AND(FSResinTest45,FSResinTest45A)</f>
        <v>0</v>
      </c>
      <c r="J118" s="537" t="s">
        <v>2107</v>
      </c>
      <c r="K118" s="727">
        <f>IF(FSResinTest45B=TRUE,(FSMatlFiveReq*MatFive)/BaseQuantity/FSMatlYield,0)</f>
        <v>0</v>
      </c>
      <c r="L118" s="727">
        <f>IF(FSResinTest45B=TRUE,(FSMatlFiveReq*MatFive2)/BaseQuantity/FSMatlYield,0)</f>
        <v>0</v>
      </c>
      <c r="M118" s="727">
        <f>IF(FSResinTest45B=TRUE,(FSMatlFiveReq*MatFive3)/BaseQuantity/FSMatlYield,0)</f>
        <v>0</v>
      </c>
      <c r="N118" s="727">
        <f>IF(FSResinTest45B=TRUE,(FSMatlFiveReq*MatFive4)/BaseQuantity/FSMatlYield,0)</f>
        <v>0</v>
      </c>
      <c r="O118" s="727">
        <f>IF(FSResinTest45B=TRUE,(FSMatlFiveReq*MatFive5)/BaseQuantity/FSMatlYield,0)</f>
        <v>0</v>
      </c>
    </row>
    <row r="119" spans="1:15">
      <c r="A119" s="725" t="s">
        <v>6231</v>
      </c>
      <c r="B119" s="725" t="s">
        <v>3708</v>
      </c>
      <c r="C119" s="537" t="s">
        <v>3303</v>
      </c>
      <c r="D119" s="725">
        <v>1</v>
      </c>
      <c r="E119" s="725">
        <v>2</v>
      </c>
      <c r="J119" s="537" t="s">
        <v>3187</v>
      </c>
      <c r="K119" s="729">
        <f>FSMatFiveJ56*FSMatlMU5</f>
        <v>0</v>
      </c>
      <c r="L119" s="729">
        <f>FSMatFiveK56*FSMatlMU5</f>
        <v>0</v>
      </c>
      <c r="M119" s="729">
        <f>FSMatFiveL56*FSMatlMU5</f>
        <v>0</v>
      </c>
      <c r="N119" s="729">
        <f>FSMatFiveM56*FSMatlMU5</f>
        <v>0</v>
      </c>
      <c r="O119" s="729">
        <f>FSMatFiveN56*FSMatlMU5</f>
        <v>0</v>
      </c>
    </row>
    <row r="120" spans="1:15">
      <c r="A120" s="1152">
        <f>IF(QEPressScrOne&lt;&gt;2,D120,0)</f>
        <v>275</v>
      </c>
      <c r="B120" s="1152">
        <f>IF(QEPressScrOne&lt;&gt;1,E120,0)</f>
        <v>0</v>
      </c>
      <c r="C120" s="725" t="s">
        <v>1253</v>
      </c>
      <c r="D120" s="1155">
        <f>QEMin1*QEMinCost1</f>
        <v>275</v>
      </c>
      <c r="E120" s="1155">
        <f>QEMin1*QEMinCost1</f>
        <v>275</v>
      </c>
      <c r="G120" s="537" t="b">
        <f>NOT(FSMatlScr6=1)</f>
        <v>0</v>
      </c>
      <c r="H120" s="537" t="b">
        <f>NOT(FSMatType6="Resin")</f>
        <v>0</v>
      </c>
      <c r="I120" s="537" t="b">
        <f>AND(FSResinTest46,FSResinTest46A)</f>
        <v>0</v>
      </c>
      <c r="J120" s="537" t="s">
        <v>2892</v>
      </c>
      <c r="K120" s="727">
        <f>IF(FSResinTest46B=TRUE,(FSMatl6Req*_Mat6)/BaseQuantity/FSMatlYield,0)</f>
        <v>0</v>
      </c>
      <c r="L120" s="727">
        <f>IF(FSResinTest46B=TRUE,(FSMatl6Req*_Mat62)/BaseQuantity/FSMatlYield,0)</f>
        <v>0</v>
      </c>
      <c r="M120" s="727">
        <f>IF(FSResinTest46B=TRUE,(FSMatl6Req*_Mat63)/BaseQuantity/FSMatlYield,0)</f>
        <v>0</v>
      </c>
      <c r="N120" s="727">
        <f>IF(FSResinTest46B=TRUE,(FSMatl6Req*_Mat64)/BaseQuantity/FSMatlYield,0)</f>
        <v>0</v>
      </c>
      <c r="O120" s="727">
        <f>IF(FSResinTest46B=TRUE,(FSMatl6Req*_Mat65)/BaseQuantity/FSMatlYield,0)</f>
        <v>0</v>
      </c>
    </row>
    <row r="121" spans="1:15">
      <c r="A121" s="1152">
        <f>IF(QEPressScrTwo&lt;&gt;2,D121,0)</f>
        <v>0</v>
      </c>
      <c r="B121" s="1152">
        <f>IF(QEPressScrTwo&lt;&gt;1,E121,0)</f>
        <v>0</v>
      </c>
      <c r="C121" s="725" t="s">
        <v>2984</v>
      </c>
      <c r="D121" s="1155">
        <f>QEMin2*QEMinCost2</f>
        <v>0</v>
      </c>
      <c r="E121" s="1155">
        <f>QEMin2*QEMinCost2</f>
        <v>0</v>
      </c>
      <c r="J121" s="537" t="s">
        <v>2893</v>
      </c>
      <c r="K121" s="729">
        <f>FSMat46Cost1*FSMatlMU6</f>
        <v>0</v>
      </c>
      <c r="L121" s="729">
        <f>FSMat46Cost2*FSMatlMU6</f>
        <v>0</v>
      </c>
      <c r="M121" s="729">
        <f>FSMat46Cost3*FSMatlMU6</f>
        <v>0</v>
      </c>
      <c r="N121" s="729">
        <f>FSMat46Cost4*FSMatlMU6</f>
        <v>0</v>
      </c>
      <c r="O121" s="729">
        <f>FSMat46Cost5*FSMatlMU6</f>
        <v>0</v>
      </c>
    </row>
    <row r="122" spans="1:15">
      <c r="A122" s="1152">
        <f>IF(QEPressScrThree&lt;&gt;2,D122,0)</f>
        <v>0</v>
      </c>
      <c r="B122" s="1152">
        <f>IF(QEPressScrThree&lt;&gt;1,E122,0)</f>
        <v>0</v>
      </c>
      <c r="C122" s="725" t="s">
        <v>2985</v>
      </c>
      <c r="D122" s="1155">
        <f>QEMin3*QEMinCost3</f>
        <v>0</v>
      </c>
      <c r="E122" s="1155">
        <f>QEMin3*QEMinCost3</f>
        <v>0</v>
      </c>
      <c r="G122" s="537" t="b">
        <f>NOT(FSMatlScr7=1)</f>
        <v>0</v>
      </c>
      <c r="H122" s="537" t="b">
        <f>NOT(FSMatType7="Resin")</f>
        <v>0</v>
      </c>
      <c r="I122" s="537" t="b">
        <f>AND(FSResinTest47,FSResinTest47A)</f>
        <v>0</v>
      </c>
      <c r="J122" s="537" t="s">
        <v>2780</v>
      </c>
      <c r="K122" s="727">
        <f>IF(FSResinTest47B=TRUE,(FSMatl7Req*_Mat7)/BaseQuantity/FSMatlYield,0)</f>
        <v>0</v>
      </c>
      <c r="L122" s="727">
        <f>IF(FSResinTest47B=TRUE,(FSMatl7Req*_Mat72)/BaseQuantity/FSMatlYield,0)</f>
        <v>0</v>
      </c>
      <c r="M122" s="727">
        <f>IF(FSResinTest47B=TRUE,(FSMatl7Req*_Mat73)/BaseQuantity/FSMatlYield,0)</f>
        <v>0</v>
      </c>
      <c r="N122" s="727">
        <f>IF(FSResinTest47B=TRUE,(FSMatl7Req*_Mat74)/BaseQuantity/FSMatlYield,0)</f>
        <v>0</v>
      </c>
      <c r="O122" s="727">
        <f>IF(FSResinTest47B=TRUE,(FSMatl7Req*_Mat75)/BaseQuantity/FSMatlYield,0)</f>
        <v>0</v>
      </c>
    </row>
    <row r="123" spans="1:15">
      <c r="A123" s="1152">
        <f>IF(QEPressScrFour&lt;&gt;2,D123,0)</f>
        <v>0</v>
      </c>
      <c r="B123" s="1152">
        <f>IF(QEPressScrFour&lt;&gt;1,E123,0)</f>
        <v>0</v>
      </c>
      <c r="C123" s="725" t="s">
        <v>2986</v>
      </c>
      <c r="D123" s="1155">
        <f>QEMin4*QEMinCost4</f>
        <v>0</v>
      </c>
      <c r="E123" s="1155">
        <f>QEMin4*QEMinCost4</f>
        <v>0</v>
      </c>
      <c r="J123" s="537" t="s">
        <v>2781</v>
      </c>
      <c r="K123" s="729">
        <f>FSMat47Cost1*FSMatlMU7</f>
        <v>0</v>
      </c>
      <c r="L123" s="729">
        <f>FSMat47Cost2*FSMatlMU7</f>
        <v>0</v>
      </c>
      <c r="M123" s="729">
        <f>FSMat47Cost3*FSMatlMU7</f>
        <v>0</v>
      </c>
      <c r="N123" s="729">
        <f>FSMat47Cost4*FSMatlMU7</f>
        <v>0</v>
      </c>
      <c r="O123" s="729">
        <f>FSMat47Cost5*FSMatlMU7</f>
        <v>0</v>
      </c>
    </row>
    <row r="124" spans="1:15">
      <c r="A124" s="1152">
        <f>IF(QEPressScrFive&lt;&gt;2,D124,0)</f>
        <v>0</v>
      </c>
      <c r="B124" s="1152">
        <f>IF(QEPressScrFive&lt;&gt;1,E124,0)</f>
        <v>0</v>
      </c>
      <c r="C124" s="725" t="s">
        <v>2987</v>
      </c>
      <c r="D124" s="1155">
        <f>QEMin5*QEMinCost5</f>
        <v>0</v>
      </c>
      <c r="E124" s="1155">
        <f>QEMin5*QEMinCost5</f>
        <v>0</v>
      </c>
      <c r="G124" s="537" t="b">
        <f>NOT(FSMatlScr8=1)</f>
        <v>0</v>
      </c>
      <c r="H124" s="537" t="b">
        <f>NOT(FSMatType8="Resin")</f>
        <v>0</v>
      </c>
      <c r="I124" s="537" t="b">
        <f>AND(FSResinTest48,FSResinTest48A)</f>
        <v>0</v>
      </c>
      <c r="J124" s="537" t="s">
        <v>5929</v>
      </c>
      <c r="K124" s="727">
        <f>IF(FSResinTest48B=TRUE,(FSMatl8Req*_Mat8)/BaseQuantity/FSMatlYield,0)</f>
        <v>0</v>
      </c>
      <c r="L124" s="727">
        <f>IF(FSResinTest48B=TRUE,(FSMatl8Req*_Mat82)/BaseQuantity/FSMatlYield,0)</f>
        <v>0</v>
      </c>
      <c r="M124" s="727">
        <f>IF(FSResinTest48B=TRUE,(FSMatl8Req*_Mat83)/BaseQuantity/FSMatlYield,0)</f>
        <v>0</v>
      </c>
      <c r="N124" s="727">
        <f>IF(FSResinTest48B=TRUE,(FSMatl8Req*_Mat84)/BaseQuantity/FSMatlYield,0)</f>
        <v>0</v>
      </c>
      <c r="O124" s="727">
        <f>IF(FSResinTest48B=TRUE,(FSMatl8Req*_Mat85)/BaseQuantity/FSMatlYield,0)</f>
        <v>0</v>
      </c>
    </row>
    <row r="125" spans="1:15">
      <c r="A125" s="1152">
        <f>IF(QEPressScr6&lt;&gt;2,D125,0)</f>
        <v>0</v>
      </c>
      <c r="B125" s="1152">
        <f>IF(QEPressScr6&lt;&gt;1,E125,0)</f>
        <v>0</v>
      </c>
      <c r="C125" s="725" t="s">
        <v>3442</v>
      </c>
      <c r="D125" s="1155">
        <f>QEMin6*QEMinCost6</f>
        <v>0</v>
      </c>
      <c r="E125" s="1155">
        <f>QEMin6*QEMinCost6</f>
        <v>0</v>
      </c>
      <c r="J125" s="537" t="s">
        <v>5930</v>
      </c>
      <c r="K125" s="729">
        <f>FSMat48Cost1*FSMatlMU8</f>
        <v>0</v>
      </c>
      <c r="L125" s="729">
        <f>FSMat48Cost2*FSMatlMU8</f>
        <v>0</v>
      </c>
      <c r="M125" s="729">
        <f>FSMat48Cost3*FSMatlMU8</f>
        <v>0</v>
      </c>
      <c r="N125" s="729">
        <f>FSMat48Cost4*FSMatlMU8</f>
        <v>0</v>
      </c>
      <c r="O125" s="729">
        <f>FSMat48Cost5*FSMatlMU8</f>
        <v>0</v>
      </c>
    </row>
    <row r="126" spans="1:15">
      <c r="A126" s="1152">
        <f>IF(QEPressScr7&lt;&gt;2,D126,0)</f>
        <v>0</v>
      </c>
      <c r="B126" s="1152">
        <f>IF(QEPressScr7&lt;&gt;1,E126,0)</f>
        <v>0</v>
      </c>
      <c r="C126" s="725" t="s">
        <v>3804</v>
      </c>
      <c r="D126" s="1155">
        <f>QEMin7*QEMinCost7</f>
        <v>0</v>
      </c>
      <c r="E126" s="1155">
        <f>QEMin7*QEMinCost7</f>
        <v>0</v>
      </c>
      <c r="G126" s="537" t="b">
        <f>NOT(FSMatlScr9=1)</f>
        <v>0</v>
      </c>
      <c r="H126" s="537" t="b">
        <f>NOT(FSMatType9="Resin")</f>
        <v>0</v>
      </c>
      <c r="I126" s="537" t="b">
        <f>AND(FSResinTest49,FSResinTest49A)</f>
        <v>0</v>
      </c>
      <c r="J126" s="537" t="s">
        <v>5640</v>
      </c>
      <c r="K126" s="727">
        <f>IF(FSResinTest49B=TRUE,(FSMatl9Req*_Mat9)/BaseQuantity/FSMatlYield,0)</f>
        <v>0</v>
      </c>
      <c r="L126" s="727">
        <f>IF(FSResinTest49B=TRUE,(FSMatl9Req*_Mat92)/BaseQuantity/FSMatlYield,0)</f>
        <v>0</v>
      </c>
      <c r="M126" s="727">
        <f>IF(FSResinTest49B=TRUE,(FSMatl9Req*_Mat93)/BaseQuantity/FSMatlYield,0)</f>
        <v>0</v>
      </c>
      <c r="N126" s="727">
        <f>IF(FSResinTest49B=TRUE,(FSMatl9Req*_Mat94)/BaseQuantity/FSMatlYield,0)</f>
        <v>0</v>
      </c>
      <c r="O126" s="727">
        <f>IF(FSResinTest49B=TRUE,(FSMatl9Req*_Mat95)/BaseQuantity/FSMatlYield,0)</f>
        <v>0</v>
      </c>
    </row>
    <row r="127" spans="1:15">
      <c r="A127" s="1152">
        <f>IF(QEPressScr9&lt;&gt;2,D127,0)</f>
        <v>0</v>
      </c>
      <c r="B127" s="1152">
        <f>IF(QEPressScr9&lt;&gt;1,E127,0)</f>
        <v>0</v>
      </c>
      <c r="C127" s="725" t="s">
        <v>2446</v>
      </c>
      <c r="D127" s="1155">
        <f>QEMin9*QEMinCost9</f>
        <v>0</v>
      </c>
      <c r="E127" s="1155">
        <f>QEMin9*QEMinCost9</f>
        <v>0</v>
      </c>
      <c r="J127" s="537" t="s">
        <v>5641</v>
      </c>
      <c r="K127" s="729">
        <f>FSMat49Cost1*FSMatlMU9</f>
        <v>0</v>
      </c>
      <c r="L127" s="729">
        <f>FSMat49Cost2*FSMatlMU9</f>
        <v>0</v>
      </c>
      <c r="M127" s="729">
        <f>FSMat49Cost3*FSMatlMU9</f>
        <v>0</v>
      </c>
      <c r="N127" s="729">
        <f>FSMat49Cost4*FSMatlMU9</f>
        <v>0</v>
      </c>
      <c r="O127" s="729">
        <f>FSMat49Cost5*FSMatlMU9</f>
        <v>0</v>
      </c>
    </row>
    <row r="128" spans="1:15">
      <c r="A128" s="1152">
        <f>IF(QEPressScrFour&lt;&gt;2,D128,0)</f>
        <v>0</v>
      </c>
      <c r="B128" s="1152">
        <f>IF(QEPressScrFour&lt;&gt;1,E128,0)</f>
        <v>0</v>
      </c>
      <c r="C128" s="725" t="s">
        <v>4794</v>
      </c>
      <c r="D128" s="1155">
        <f>QEMin10*QEMinCost10</f>
        <v>0</v>
      </c>
      <c r="E128" s="1155">
        <f>QEMin10*QEMinCost10</f>
        <v>0</v>
      </c>
      <c r="G128" s="537" t="b">
        <f>NOT(FSMatlScr10=1)</f>
        <v>0</v>
      </c>
      <c r="H128" s="537" t="b">
        <f>NOT(FSMatType10="Resin")</f>
        <v>0</v>
      </c>
      <c r="I128" s="537" t="b">
        <f>AND(FSResinTest410,FSResinTest410A)</f>
        <v>0</v>
      </c>
      <c r="J128" s="537" t="s">
        <v>5642</v>
      </c>
      <c r="K128" s="727">
        <f>IF(FSResinTest410B=TRUE,(FSMatl10Req*_Mat10)/BaseQuantity/FSMatlYield,0)</f>
        <v>0</v>
      </c>
      <c r="L128" s="727">
        <f>IF(FSResinTest410B=TRUE,(FSMatl10Req*_Mat102)/BaseQuantity/FSMatlYield,0)</f>
        <v>0</v>
      </c>
      <c r="M128" s="727">
        <f>IF(FSResinTest410B=TRUE,(FSMatl10Req*_Mat103)/BaseQuantity/FSMatlYield,0)</f>
        <v>0</v>
      </c>
      <c r="N128" s="727">
        <f>IF(FSResinTest410B=TRUE,(FSMatl10Req*_Mat104)/BaseQuantity/FSMatlYield,0)</f>
        <v>0</v>
      </c>
      <c r="O128" s="727">
        <f>IF(FSResinTest410B=TRUE,(FSMatl10Req*_Mat105)/BaseQuantity/FSMatlYield,0)</f>
        <v>0</v>
      </c>
    </row>
    <row r="129" spans="1:15">
      <c r="A129" s="1152">
        <f>IF(QEPressScr8&lt;&gt;2,D129,0)</f>
        <v>0</v>
      </c>
      <c r="B129" s="1152">
        <f>IF(QEPressScr8&lt;&gt;1,E129,0)</f>
        <v>0</v>
      </c>
      <c r="C129" s="725" t="s">
        <v>4334</v>
      </c>
      <c r="D129" s="1155">
        <f>QEMin8*QEMinCost8</f>
        <v>0</v>
      </c>
      <c r="E129" s="1155">
        <f>QEMin8*QEMinCost8</f>
        <v>0</v>
      </c>
      <c r="J129" s="537" t="s">
        <v>5643</v>
      </c>
      <c r="K129" s="729">
        <f>FSMat410Cost1*FSMatlMU10</f>
        <v>0</v>
      </c>
      <c r="L129" s="729">
        <f>FSMat410Cost2*FSMatlMU10</f>
        <v>0</v>
      </c>
      <c r="M129" s="729">
        <f>FSMat410Cost3*FSMatlMU10</f>
        <v>0</v>
      </c>
      <c r="N129" s="729">
        <f>FSMat410Cost4*FSMatlMU10</f>
        <v>0</v>
      </c>
      <c r="O129" s="729">
        <f>FSMat410Cost5*FSMatlMU10</f>
        <v>0</v>
      </c>
    </row>
    <row r="130" spans="1:15">
      <c r="A130" s="1154">
        <f>SUM(A120:A129)</f>
        <v>275</v>
      </c>
      <c r="B130" s="1154">
        <f>SUM(B120:B129)</f>
        <v>0</v>
      </c>
      <c r="C130" s="583" t="s">
        <v>5298</v>
      </c>
      <c r="D130" s="119"/>
      <c r="G130" s="537" t="b">
        <f>NOT(FSMatlScr11=1)</f>
        <v>0</v>
      </c>
      <c r="H130" s="537" t="b">
        <f>NOT(FSMatType11="Resin")</f>
        <v>0</v>
      </c>
      <c r="I130" s="537" t="b">
        <f>AND(FSResinTest411,FSResinTest411A)</f>
        <v>0</v>
      </c>
      <c r="J130" s="537" t="s">
        <v>2471</v>
      </c>
      <c r="K130" s="727">
        <f>IF($I$130=TRUE,(FSMatl11Req*_Mat11)/BaseQuantity/FSMatlYield,0)</f>
        <v>0</v>
      </c>
      <c r="L130" s="727">
        <f>IF($I$130=TRUE,(FSMatl11Req*_Mat112)/BaseQuantity/FSMatlYield,0)</f>
        <v>0</v>
      </c>
      <c r="M130" s="727">
        <f>IF($I$130=TRUE,(FSMatl11Req*_Mat113)/BaseQuantity/FSMatlYield,0)</f>
        <v>0</v>
      </c>
      <c r="N130" s="727">
        <f>IF($I$130=TRUE,(FSMatl11Req*_Mat114)/BaseQuantity/FSMatlYield,0)</f>
        <v>0</v>
      </c>
      <c r="O130" s="727">
        <f>IF($I$130=TRUE,(FSMatl11Req*_Mat115)/BaseQuantity/FSMatlYield,0)</f>
        <v>0</v>
      </c>
    </row>
    <row r="131" spans="1:15">
      <c r="J131" s="537" t="s">
        <v>2472</v>
      </c>
      <c r="K131" s="729">
        <f>K130*FSMatlMU11</f>
        <v>0</v>
      </c>
      <c r="L131" s="729">
        <f>L130*FSMatlMU11</f>
        <v>0</v>
      </c>
      <c r="M131" s="729">
        <f>M130*FSMatlMU11</f>
        <v>0</v>
      </c>
      <c r="N131" s="729">
        <f>N130*FSMatlMU11</f>
        <v>0</v>
      </c>
      <c r="O131" s="729">
        <f>O130*FSMatlMU11</f>
        <v>0</v>
      </c>
    </row>
    <row r="132" spans="1:15" ht="12.75">
      <c r="A132" s="575" t="s">
        <v>1944</v>
      </c>
      <c r="B132" s="112" t="s">
        <v>2877</v>
      </c>
      <c r="C132" s="112" t="s">
        <v>4139</v>
      </c>
      <c r="D132" s="112" t="s">
        <v>186</v>
      </c>
      <c r="E132" s="747"/>
      <c r="G132" s="537" t="b">
        <f>NOT(FSMatlScr12=1)</f>
        <v>0</v>
      </c>
      <c r="H132" s="537" t="b">
        <f>NOT(FSMatType12="Resin")</f>
        <v>0</v>
      </c>
      <c r="I132" s="537" t="b">
        <f>AND(FSResinTest412,FSResinTest412A)</f>
        <v>0</v>
      </c>
      <c r="J132" s="537" t="s">
        <v>1411</v>
      </c>
      <c r="K132" s="727">
        <f>IF($I$132=TRUE,(FSMatl12Req*_Mat12)/BaseQuantity/FSMatlYield,0)</f>
        <v>0</v>
      </c>
      <c r="L132" s="727">
        <f>IF($I$132=TRUE,(FSMatl12Req*_Mat122)/BaseQuantity/FSMatlYield,0)</f>
        <v>0</v>
      </c>
      <c r="M132" s="727">
        <f>IF($I$132=TRUE,(FSMatl12Req*_Mat123)/BaseQuantity/FSMatlYield,0)</f>
        <v>0</v>
      </c>
      <c r="N132" s="727">
        <f>IF($I$132=TRUE,(FSMatl12Req*_Mat124)/BaseQuantity/FSMatlYield,0)</f>
        <v>0</v>
      </c>
      <c r="O132" s="727">
        <f>IF($I$132=TRUE,(FSMatl12Req*_Mat125)/BaseQuantity/FSMatlYield,0)</f>
        <v>0</v>
      </c>
    </row>
    <row r="133" spans="1:15">
      <c r="A133" s="576" t="s">
        <v>1864</v>
      </c>
      <c r="B133" s="751">
        <f>QEAutomationCost</f>
        <v>0</v>
      </c>
      <c r="C133" s="752">
        <f>IF(AND(FSAutomationCost&gt;0,CavityScr1&gt;0), (FSAutomationCost*0.1)/(VSAutomationFactor*CavityScr1)*BaseQuantity,0)</f>
        <v>0</v>
      </c>
      <c r="D133" s="752">
        <f>IF(AND(FSAutomationCost&gt;0,CavityScr2&gt;0), (FSAutomationCost*0.1)/(VSAutomationFactor*CavityScr2)*BaseQuantity,0)</f>
        <v>0</v>
      </c>
      <c r="J133" s="537" t="s">
        <v>1412</v>
      </c>
      <c r="K133" s="729">
        <f>K132*FSMatlMU12</f>
        <v>0</v>
      </c>
      <c r="L133" s="729">
        <f>L132*FSMatlMU12</f>
        <v>0</v>
      </c>
      <c r="M133" s="729">
        <f>M132*FSMatlMU12</f>
        <v>0</v>
      </c>
      <c r="N133" s="729">
        <f>N132*FSMatlMU12</f>
        <v>0</v>
      </c>
      <c r="O133" s="729">
        <f>O132*FSMatlMU12</f>
        <v>0</v>
      </c>
    </row>
    <row r="134" spans="1:15">
      <c r="A134" s="576" t="s">
        <v>3625</v>
      </c>
      <c r="B134" s="725" t="s">
        <v>2964</v>
      </c>
      <c r="C134" s="725" t="s">
        <v>2965</v>
      </c>
      <c r="G134" s="537" t="b">
        <f>NOT(FSMatlScr13=1)</f>
        <v>0</v>
      </c>
      <c r="H134" s="537" t="b">
        <f>NOT(FSMatType13="Resin")</f>
        <v>0</v>
      </c>
      <c r="I134" s="537" t="b">
        <f>AND(FSResinTest413,FSResinTest413A)</f>
        <v>0</v>
      </c>
      <c r="J134" s="537" t="s">
        <v>1413</v>
      </c>
      <c r="K134" s="727">
        <f>IF($I$134=TRUE,(FSMatl13Req*_Mat13)/BaseQuantity/FSMatlYield,0)</f>
        <v>0</v>
      </c>
      <c r="L134" s="727">
        <f>IF($I$134=TRUE,(FSMatl13Req*_Mat132)/BaseQuantity/FSMatlYield,0)</f>
        <v>0</v>
      </c>
      <c r="M134" s="727">
        <f>IF($I$134=TRUE,(FSMatl13Req*_Mat133)/BaseQuantity/FSMatlYield,0)</f>
        <v>0</v>
      </c>
      <c r="N134" s="727">
        <f>IF($I$134=TRUE,(FSMatl13Req*_Mat134)/BaseQuantity/FSMatlYield,0)</f>
        <v>0</v>
      </c>
      <c r="O134" s="727">
        <f>IF($I$134=TRUE,(FSMatl13Req*_Mat135)/BaseQuantity/FSMatlYield,0)</f>
        <v>0</v>
      </c>
    </row>
    <row r="135" spans="1:15">
      <c r="A135" s="576" t="s">
        <v>1510</v>
      </c>
      <c r="B135" s="751"/>
      <c r="C135" s="751"/>
      <c r="J135" s="537" t="s">
        <v>1414</v>
      </c>
      <c r="K135" s="729">
        <f>K134*FSMatlMU13</f>
        <v>0</v>
      </c>
      <c r="L135" s="729">
        <f>L134*FSMatlMU13</f>
        <v>0</v>
      </c>
      <c r="M135" s="729">
        <f>M134*FSMatlMU13</f>
        <v>0</v>
      </c>
      <c r="N135" s="729">
        <f>N134*FSMatlMU13</f>
        <v>0</v>
      </c>
      <c r="O135" s="729">
        <f>O134*FSMatlMU13</f>
        <v>0</v>
      </c>
    </row>
    <row r="136" spans="1:15" ht="22.5">
      <c r="A136" s="576" t="s">
        <v>36</v>
      </c>
      <c r="B136" s="751">
        <f>IF(CavityScr1&gt;0,ScnOneGFL,0)</f>
        <v>0</v>
      </c>
      <c r="C136" s="751">
        <f>IF(CavityScr2&gt;0,ScnTwoGFL,0)</f>
        <v>0</v>
      </c>
      <c r="G136" s="537" t="b">
        <f>NOT(FSMatlScr14=1)</f>
        <v>0</v>
      </c>
      <c r="H136" s="537" t="b">
        <f>NOT(FSMatType14="Resin")</f>
        <v>0</v>
      </c>
      <c r="I136" s="537" t="b">
        <f>AND(FSResinTest414,FSResinTest414A)</f>
        <v>0</v>
      </c>
      <c r="J136" s="537" t="s">
        <v>1415</v>
      </c>
      <c r="K136" s="727">
        <f>IF($I$136=TRUE,(FSMatl14Req*_Mat14)/BaseQuantity/FSMatlYield,0)</f>
        <v>0</v>
      </c>
      <c r="L136" s="727">
        <f>IF($I$136=TRUE,(FSMatl14Req*_Mat142)/BaseQuantity/FSMatlYield,0)</f>
        <v>0</v>
      </c>
      <c r="M136" s="727">
        <f>IF($I$136=TRUE,(FSMatl14Req*_Mat143)/BaseQuantity/FSMatlYield,0)</f>
        <v>0</v>
      </c>
      <c r="N136" s="727">
        <f>IF($I$136=TRUE,(FSMatl14Req*_Mat144)/BaseQuantity/FSMatlYield,0)</f>
        <v>0</v>
      </c>
      <c r="O136" s="727">
        <f>IF($I$136=TRUE,(FSMatl14Req*_Mat145)/BaseQuantity/FSMatlYield,0)</f>
        <v>0</v>
      </c>
    </row>
    <row r="137" spans="1:15">
      <c r="A137" s="753" t="s">
        <v>618</v>
      </c>
      <c r="B137" s="754">
        <f>SUM(FSAutoMaint1:FSGFLVal1)</f>
        <v>0</v>
      </c>
      <c r="C137" s="754">
        <f>SUM(FSAutoMaint2:FSGFLVal2)</f>
        <v>0</v>
      </c>
      <c r="J137" s="537" t="s">
        <v>1416</v>
      </c>
      <c r="K137" s="729">
        <f>K136*FSMatlMU14</f>
        <v>0</v>
      </c>
      <c r="L137" s="729">
        <f>L136*FSMatlMU14</f>
        <v>0</v>
      </c>
      <c r="M137" s="729">
        <f>M136*FSMatlMU14</f>
        <v>0</v>
      </c>
      <c r="N137" s="729">
        <f>N136*FSMatlMU14</f>
        <v>0</v>
      </c>
      <c r="O137" s="729">
        <f>O136*FSMatlMU14</f>
        <v>0</v>
      </c>
    </row>
    <row r="138" spans="1:15">
      <c r="G138" s="537" t="b">
        <f>NOT(FSMatlScr15=1)</f>
        <v>0</v>
      </c>
      <c r="H138" s="537" t="b">
        <f>NOT(FSMatType15="Resin")</f>
        <v>0</v>
      </c>
      <c r="I138" s="537" t="b">
        <f>AND(FSResinTest415,FSResinTest415A)</f>
        <v>0</v>
      </c>
      <c r="J138" s="537" t="s">
        <v>1417</v>
      </c>
      <c r="K138" s="727">
        <f>IF($I$138=TRUE,(FSMatl15Req*_Mat15)/BaseQuantity/FSMatlYield,0)</f>
        <v>0</v>
      </c>
      <c r="L138" s="727">
        <f>IF($I$138=TRUE,(FSMatl15Req*_Mat152)/BaseQuantity/FSMatlYield,0)</f>
        <v>0</v>
      </c>
      <c r="M138" s="727">
        <f>IF($I$138=TRUE,(FSMatl15Req*_Mat153)/BaseQuantity/FSMatlYield,0)</f>
        <v>0</v>
      </c>
      <c r="N138" s="727">
        <f>IF($I$138=TRUE,(FSMatl15Req*_Mat154)/BaseQuantity/FSMatlYield,0)</f>
        <v>0</v>
      </c>
      <c r="O138" s="727">
        <f>IF($I$138=TRUE,(FSMatl15Req*_Mat155)/BaseQuantity/FSMatlYield,0)</f>
        <v>0</v>
      </c>
    </row>
    <row r="139" spans="1:15" ht="25.5">
      <c r="A139" s="719" t="s">
        <v>196</v>
      </c>
      <c r="B139" s="755"/>
      <c r="C139" s="719" t="s">
        <v>197</v>
      </c>
      <c r="D139" s="755"/>
      <c r="E139" s="112"/>
      <c r="J139" s="537" t="s">
        <v>1418</v>
      </c>
      <c r="K139" s="729">
        <f>K138*FSMatlMU15</f>
        <v>0</v>
      </c>
      <c r="L139" s="729">
        <f>L138*FSMatlMU15</f>
        <v>0</v>
      </c>
      <c r="M139" s="729">
        <f>M138*FSMatlMU15</f>
        <v>0</v>
      </c>
      <c r="N139" s="729">
        <f>N138*FSMatlMU15</f>
        <v>0</v>
      </c>
      <c r="O139" s="729">
        <f>O138*FSMatlMU15</f>
        <v>0</v>
      </c>
    </row>
    <row r="140" spans="1:15">
      <c r="A140" s="725">
        <f>SpecialPackaging</f>
        <v>0</v>
      </c>
      <c r="B140" s="752">
        <f>IF(FSSpecPack &gt; 0,  VLOOKUP(SpecialPackaging,PSPackArray,2),0)</f>
        <v>0</v>
      </c>
      <c r="C140" s="725">
        <f>SpecialPackaging1</f>
        <v>0</v>
      </c>
      <c r="D140" s="752">
        <f>IF(FSSpecPack1 &gt; 0,  VLOOKUP(SpecialPackaging,PSPackArray,2),0)</f>
        <v>0</v>
      </c>
      <c r="J140" s="574" t="s">
        <v>986</v>
      </c>
      <c r="K140" s="729">
        <f>FSMatOneJ48+FSMatTwoJ50+FSMatThreeJ52+FSMatFourJ54+FSMatFiveJ56+FSMat46Cost1+FSMat47Cost1+FSMat48Cost1+FSMat49Cost1+FSMat410Cost1+BO2Mat11Cost1+BO2Mat12Cost1+BO2Mat13Cost1+BO2Mat14Cost1+BO2Mat15Cost1</f>
        <v>0</v>
      </c>
      <c r="L140" s="729">
        <f>FSMatOneK48+FSMatTwoK50+FSMatThreeK52+FSMatFourK54+FSMatFiveK56+FSMat46Cost2+FSMat47Cost2+FSMat48Cost2+FSMat49Cost2+FSMat410Cost2+'Formula sheet'!L130+'Formula sheet'!L132+'Formula sheet'!L134+'Formula sheet'!L136+'Formula sheet'!L138</f>
        <v>0</v>
      </c>
      <c r="M140" s="729">
        <f>FSMatOneL48+FSMatTwoL50+FSMatThreeL52+FSMatFourL54+FSMatFiveL56+FSMat46Cost3+FSMat47Cost3+FSMat48Cost3+FSMat49Cost3+FSMat410Cost3+'Formula sheet'!M130+'Formula sheet'!M132+'Formula sheet'!M134+'Formula sheet'!M136+'Formula sheet'!M138</f>
        <v>0</v>
      </c>
      <c r="N140" s="729">
        <f>FSMatOneM48+FSMatTwoM50+FSMatThreeM52+FSMatFourM54+FSMatFiveM56+FSMat46Cost4+FSMat47Cost4+FSMat48Cost4+FSMat49Cost4+FSMat410Cost4+'Formula sheet'!N130+'Formula sheet'!N132+'Formula sheet'!N134+'Formula sheet'!N136+'Formula sheet'!N138</f>
        <v>0</v>
      </c>
      <c r="O140" s="729">
        <f>FSMatOneN48+FSMatTwoN50+FSMatThreeN52+FSMatFourN54+FSMatFiveN56+FSMat46Cost5+FSMat47Cost5+FSMat48Cost5+FSMat49Cost5+FSMat410Cost5+'Formula sheet'!O130+'Formula sheet'!O132+'Formula sheet'!O134+'Formula sheet'!O136+'Formula sheet'!O138</f>
        <v>0</v>
      </c>
    </row>
    <row r="141" spans="1:15">
      <c r="A141" s="725" t="s">
        <v>5597</v>
      </c>
      <c r="B141" s="725" t="s">
        <v>5598</v>
      </c>
      <c r="C141" s="725" t="s">
        <v>5599</v>
      </c>
      <c r="D141" s="725" t="s">
        <v>4138</v>
      </c>
      <c r="J141" s="574" t="s">
        <v>987</v>
      </c>
      <c r="K141" s="729">
        <f>FSMatOneJ49+FSMatTwoJ51+FSMatThreeJ53+FSMatFourJ55+FSMatFiveJ57+FSMat46Price1+FSMat47Price1+FSMat48Price1+FSMat49Price1+FSMat410Price1+'Formula sheet'!K131++'Formula sheet'!K133+'Formula sheet'!K135+'Formula sheet'!K137+'Formula sheet'!K139</f>
        <v>0</v>
      </c>
      <c r="L141" s="729">
        <f>FSMatOneK49+FSMatTwoK51+FSMatThreeK53+FSMatFourK55+FSMatFiveK57+FSMat46Price2+FSMat47Price2+FSMat48Price2+FSMat49Price2+FSMat410Price2+'Formula sheet'!L131+'Formula sheet'!L133+'Formula sheet'!L135+'Formula sheet'!L137+'Formula sheet'!L139</f>
        <v>0</v>
      </c>
      <c r="M141" s="729">
        <f>FSMatOneL49+FSMatTwoL51+FSMatThreeL53+FSMatFourL55+FSMatFiveL57+FSMat46Price3+FSMat47Price3+FSMat48Price3+FSMat49Price3+FSMat410Price3+'Formula sheet'!M131+'Formula sheet'!M133+'Formula sheet'!M135+'Formula sheet'!M137+'Formula sheet'!M139</f>
        <v>0</v>
      </c>
      <c r="N141" s="729">
        <f>FSMatOneM49+FSMatTwoM51+FSMatThreeM53+FSMatFourM55+FSMatFiveM57+FSMat46Price4+FSMat47Price4+FSMat48Price4+FSMat49Price4+FSMat410Price4+'Formula sheet'!N131+'Formula sheet'!N133+'Formula sheet'!N135+'Formula sheet'!N137+'Formula sheet'!N139</f>
        <v>0</v>
      </c>
      <c r="O141" s="729">
        <f>FSMatOneN49+FSMatTwoN51+FSMatThreeN53+FSMatFourN55+FSMatFiveN57+FSMat46Price5+FSMat47Price5+FSMat48Price5+FSMat49Price5+FSMat410Price5+'Formula sheet'!O131+'Formula sheet'!O133+'Formula sheet'!O135+'Formula sheet'!O137+'Formula sheet'!O139</f>
        <v>0</v>
      </c>
    </row>
    <row r="142" spans="1:15">
      <c r="A142" s="752">
        <f>IF(AND( CavityScr1&gt;0, FSSpecPack&gt;0),  FSSpecPackCost,0)</f>
        <v>0</v>
      </c>
      <c r="B142" s="752">
        <f>IF(FSSpecPackCost1&gt;0,(VSPackMU*FSSpecPackCost1),0)</f>
        <v>0</v>
      </c>
      <c r="C142" s="752">
        <f>IF(AND( CavityScr2&gt;0, FSSpecPack1&gt;0),  FSSpecPackCostA,0)</f>
        <v>0</v>
      </c>
      <c r="D142" s="752">
        <f>IF(FSSpecPackCost2&gt;0,(VSPackMU*FSSpecPackCost2),0)</f>
        <v>0</v>
      </c>
    </row>
    <row r="143" spans="1:15">
      <c r="A143" s="119"/>
      <c r="B143" s="119"/>
      <c r="C143" s="119"/>
      <c r="D143" s="119"/>
    </row>
    <row r="144" spans="1:15" ht="25.5">
      <c r="A144" s="719" t="s">
        <v>5164</v>
      </c>
    </row>
    <row r="145" spans="1:5" ht="22.5">
      <c r="A145" s="725" t="s">
        <v>5165</v>
      </c>
      <c r="B145" s="725" t="s">
        <v>5166</v>
      </c>
      <c r="C145" s="537" t="s">
        <v>3303</v>
      </c>
      <c r="D145" s="725">
        <v>1</v>
      </c>
      <c r="E145" s="725">
        <v>2</v>
      </c>
    </row>
    <row r="146" spans="1:5">
      <c r="A146" s="756" t="str">
        <f>IF(QEPressScrOne&lt;&gt;2,D146,0)</f>
        <v>1</v>
      </c>
      <c r="B146" s="756">
        <f>IF(QEPressScrOne&lt;&gt;1,E146,0)</f>
        <v>0</v>
      </c>
      <c r="C146" s="725" t="s">
        <v>1253</v>
      </c>
      <c r="D146" s="757" t="str">
        <f>IF(QEToolMaint1&gt;"",MID(QEToolMaint1,6,1),0)</f>
        <v>1</v>
      </c>
      <c r="E146" s="757" t="str">
        <f>IF(QEToolMaint1&gt;"",MID(QEToolMaint1,6,1),0)</f>
        <v>1</v>
      </c>
    </row>
    <row r="147" spans="1:5">
      <c r="A147" s="756">
        <f>IF(QEPressScrTwo&lt;&gt;2,D147,0)</f>
        <v>0</v>
      </c>
      <c r="B147" s="756">
        <f>IF(QEPressScrTwo&lt;&gt;1,E147,0)</f>
        <v>0</v>
      </c>
      <c r="C147" s="725" t="s">
        <v>2984</v>
      </c>
      <c r="D147" s="757">
        <f>IF(QEToolMaint2&gt;"",MID(QEToolMaint2,6,1),0)</f>
        <v>0</v>
      </c>
      <c r="E147" s="757">
        <f>IF(QEToolMaint2&gt;"",MID(QEToolMaint2,6,1),0)</f>
        <v>0</v>
      </c>
    </row>
    <row r="148" spans="1:5">
      <c r="A148" s="756">
        <f>IF(QEPressScrThree&lt;&gt;2,D148,0)</f>
        <v>0</v>
      </c>
      <c r="B148" s="756">
        <f>IF(QEPressScrThree&lt;&gt;1,E148,0)</f>
        <v>0</v>
      </c>
      <c r="C148" s="725" t="s">
        <v>2985</v>
      </c>
      <c r="D148" s="757">
        <f>IF(QEToolMaint3&gt;"",MID(QEToolMaint3,6,1),0)</f>
        <v>0</v>
      </c>
      <c r="E148" s="757">
        <f>IF(QEToolMaint3&gt;"",MID(QEToolMaint3,6,1),0)</f>
        <v>0</v>
      </c>
    </row>
    <row r="149" spans="1:5">
      <c r="A149" s="756">
        <f>IF(QEPressScrFour&lt;&gt;2,D149,0)</f>
        <v>0</v>
      </c>
      <c r="B149" s="756">
        <f>IF(QEPressScrFour&lt;&gt;1,E149,0)</f>
        <v>0</v>
      </c>
      <c r="C149" s="725" t="s">
        <v>2986</v>
      </c>
      <c r="D149" s="757">
        <f>IF(QEToolMaint4&gt;"",MID(QEToolMaint4,6,1),0)</f>
        <v>0</v>
      </c>
      <c r="E149" s="757">
        <f>IF(QEToolMaint4&gt;"",MID(QEToolMaint4,6,1),0)</f>
        <v>0</v>
      </c>
    </row>
    <row r="150" spans="1:5">
      <c r="A150" s="756">
        <f>IF(QEPressScrFive&lt;&gt;2,D150,0)</f>
        <v>0</v>
      </c>
      <c r="B150" s="756">
        <f>IF(QEPressScrFive&lt;&gt;1,E150,0)</f>
        <v>0</v>
      </c>
      <c r="C150" s="725" t="s">
        <v>2987</v>
      </c>
      <c r="D150" s="757">
        <f>IF(QEToolMaint5&gt;"",MID(QEToolMaint5,6,1),0)</f>
        <v>0</v>
      </c>
      <c r="E150" s="757">
        <f>IF(QEToolMaint5&gt;"",MID(QEToolMaint5,6,1),0)</f>
        <v>0</v>
      </c>
    </row>
    <row r="151" spans="1:5">
      <c r="A151" s="756">
        <f>IF(QEPressScr6&lt;&gt;2,D151,0)</f>
        <v>0</v>
      </c>
      <c r="B151" s="756">
        <f>IF(QEPressScr6&lt;&gt;1,E151,0)</f>
        <v>0</v>
      </c>
      <c r="C151" s="725" t="s">
        <v>3442</v>
      </c>
      <c r="D151" s="757">
        <f>IF(QEToolMaint6&gt;"",MID(QEToolMaint6,6,1),0)</f>
        <v>0</v>
      </c>
      <c r="E151" s="757">
        <f>IF(QEToolMaint6&gt;"",MID(QEToolMaint6,6,1),0)</f>
        <v>0</v>
      </c>
    </row>
    <row r="152" spans="1:5">
      <c r="A152" s="756">
        <f>IF(QEPressScr7&lt;&gt;2,D152,0)</f>
        <v>0</v>
      </c>
      <c r="B152" s="756">
        <f>IF(QEPressScr7&lt;&gt;1,E152,0)</f>
        <v>0</v>
      </c>
      <c r="C152" s="725" t="s">
        <v>3804</v>
      </c>
      <c r="D152" s="757">
        <f>IF(QEToolMaint7&gt;"",MID(QEToolMaint7,6,1),0)</f>
        <v>0</v>
      </c>
      <c r="E152" s="757">
        <f>IF(QEToolMaint7&gt;"",MID(QEToolMaint7,6,1),0)</f>
        <v>0</v>
      </c>
    </row>
    <row r="153" spans="1:5">
      <c r="A153" s="756">
        <f>IF(QEPressScr9&lt;&gt;2,D153,0)</f>
        <v>0</v>
      </c>
      <c r="B153" s="756">
        <f>IF(QEPressScr9&lt;&gt;1,E153,0)</f>
        <v>0</v>
      </c>
      <c r="C153" s="725" t="s">
        <v>2446</v>
      </c>
      <c r="D153" s="757">
        <f>IF(QEToolMaint9&gt;"",MID(QEToolMaint9,6,1),0)</f>
        <v>0</v>
      </c>
      <c r="E153" s="757">
        <f>IF(QEToolMaint9&gt;"",MID(QEToolMaint9,6,1),0)</f>
        <v>0</v>
      </c>
    </row>
    <row r="154" spans="1:5">
      <c r="A154" s="756">
        <f>IF(QEPressScrFour&lt;&gt;2,D154,0)</f>
        <v>0</v>
      </c>
      <c r="B154" s="756">
        <f>IF(QEPressScrFour&lt;&gt;1,E154,0)</f>
        <v>0</v>
      </c>
      <c r="C154" s="725" t="s">
        <v>4794</v>
      </c>
      <c r="D154" s="757">
        <f>IF(QEToolMaint10&gt;"",MID(QEToolMaint10,6,1),0)</f>
        <v>0</v>
      </c>
      <c r="E154" s="757">
        <f>IF(QEToolMaint10&gt;"",MID(QEToolMaint10,6,1),0)</f>
        <v>0</v>
      </c>
    </row>
    <row r="155" spans="1:5">
      <c r="A155" s="756">
        <f>IF(QEPressScr8&lt;&gt;2,D155,0)</f>
        <v>0</v>
      </c>
      <c r="B155" s="756">
        <f>IF(QEPressScr8&lt;&gt;1,E155,0)</f>
        <v>0</v>
      </c>
      <c r="C155" s="725" t="s">
        <v>4334</v>
      </c>
      <c r="D155" s="757">
        <f>IF(QEToolMaint8&gt;"",MID(QEToolMaint8,6,1),0)</f>
        <v>0</v>
      </c>
      <c r="E155" s="757">
        <f>IF(QEToolMaint8&gt;"",MID(QEToolMaint8,6,1),0)</f>
        <v>0</v>
      </c>
    </row>
    <row r="156" spans="1:5">
      <c r="A156" s="758">
        <f xml:space="preserve"> 10 -  COUNT(A146:A155)</f>
        <v>1</v>
      </c>
      <c r="B156" s="758">
        <f xml:space="preserve"> 10 - COUNT(B146:B155)</f>
        <v>0</v>
      </c>
      <c r="C156" s="583" t="s">
        <v>5298</v>
      </c>
    </row>
    <row r="157" spans="1:5">
      <c r="A157" s="758">
        <f>IF(A156&gt;0, (A146+A147+A148+A149+A150+A151+A152+A153+A154+A155)/A156, 0)</f>
        <v>1</v>
      </c>
      <c r="B157" s="758">
        <f>IF(B156&gt;0, (B146+B147+B148+B149+B150+B151+B152+B153+B154+B155)/B156, 0)</f>
        <v>0</v>
      </c>
      <c r="C157" s="801" t="s">
        <v>5168</v>
      </c>
      <c r="D157" s="119"/>
    </row>
    <row r="158" spans="1:5" ht="22.5">
      <c r="A158" s="802">
        <f>IF(AverageScore&gt;=2.5,VSLT1,IF(AverageScore&gt;=1.5,VSLT2,
IF(AverageScore&lt;1.5, VSLT3)))</f>
        <v>5</v>
      </c>
      <c r="B158" s="802">
        <f>IF(AverageScore1&gt;=2.5,VSLT1,IF(AverageScore1&gt;=1.5,VSLT2,
IF(AverageScore1&lt;1.5, VSLT3)))</f>
        <v>5</v>
      </c>
      <c r="C158" s="802" t="s">
        <v>5167</v>
      </c>
      <c r="D158" s="119"/>
    </row>
    <row r="163" spans="1:13" ht="12.75">
      <c r="A163" s="480" t="s">
        <v>4341</v>
      </c>
      <c r="B163" s="112"/>
      <c r="C163" s="112"/>
      <c r="D163" s="112"/>
      <c r="E163" s="112"/>
      <c r="F163" s="112"/>
      <c r="G163" s="112"/>
      <c r="H163" s="575" t="s">
        <v>4342</v>
      </c>
      <c r="I163" s="112"/>
      <c r="J163" s="112"/>
      <c r="K163" s="112"/>
      <c r="L163" s="112"/>
      <c r="M163" s="112"/>
    </row>
    <row r="164" spans="1:13">
      <c r="A164" s="112"/>
      <c r="B164" s="112" t="s">
        <v>17</v>
      </c>
      <c r="C164" s="112" t="s">
        <v>18</v>
      </c>
      <c r="D164" s="112" t="s">
        <v>19</v>
      </c>
      <c r="E164" s="112" t="s">
        <v>3289</v>
      </c>
      <c r="F164" s="112" t="s">
        <v>3290</v>
      </c>
      <c r="H164" s="743"/>
      <c r="I164" s="112" t="s">
        <v>17</v>
      </c>
      <c r="J164" s="112" t="s">
        <v>18</v>
      </c>
      <c r="K164" s="112" t="s">
        <v>19</v>
      </c>
      <c r="L164" s="112" t="s">
        <v>3289</v>
      </c>
      <c r="M164" s="112" t="s">
        <v>3290</v>
      </c>
    </row>
    <row r="165" spans="1:13">
      <c r="A165" s="576" t="s">
        <v>1277</v>
      </c>
      <c r="B165" s="751">
        <f>IF(QEPCSSCR1&gt;0,Quantity1/QEPCSSCR1,0)</f>
        <v>204.08163265306123</v>
      </c>
      <c r="C165" s="751">
        <f>IF(QEPCSSCR1&gt;0,Quantity2/QEPCSSCR1,0)</f>
        <v>0</v>
      </c>
      <c r="D165" s="751">
        <f>IF(QEPCSSCR1&gt;0,Quantity3/QEPCSSCR1,0)</f>
        <v>0</v>
      </c>
      <c r="E165" s="751">
        <f>IF(QEPCSSCR1&gt;0,Quantity4/QEPCSSCR1,0)</f>
        <v>0</v>
      </c>
      <c r="F165" s="751">
        <f>IF(QEPCSSCR1&gt;0,Quantity5/QEPCSSCR1,0)</f>
        <v>0</v>
      </c>
      <c r="H165" s="576" t="s">
        <v>1277</v>
      </c>
      <c r="I165" s="751">
        <f>IF(QEPCSSCR2&gt;0,Quantity6/QEPCSSCR2,0)</f>
        <v>0</v>
      </c>
      <c r="J165" s="751">
        <f>IF(QEPCSSCR2&gt;0,Quantity7/QEPCSSCR2,0)</f>
        <v>0</v>
      </c>
      <c r="K165" s="751">
        <f>IF(QEPCSSCR2&gt;0,Quantity8/QEPCSSCR2,0)</f>
        <v>0</v>
      </c>
      <c r="L165" s="751">
        <f>IF(QEPCSSCR2&gt;0,Quantity9/QEPCSSCR2,0)</f>
        <v>0</v>
      </c>
      <c r="M165" s="751">
        <f>IF(QEPCSSCR2&gt;0,Quantity10/QEPCSSCR2,0)</f>
        <v>0</v>
      </c>
    </row>
    <row r="166" spans="1:13">
      <c r="A166" s="576" t="s">
        <v>122</v>
      </c>
      <c r="B166" s="751">
        <f>IF(QEPCSSCR1A&gt;0,Quantity1/QEPCSSCR1A,0)</f>
        <v>0</v>
      </c>
      <c r="C166" s="751">
        <f>IF(QEPCSSCR1A&gt;0,Quantity2/QEPCSSCR1A,0)</f>
        <v>0</v>
      </c>
      <c r="D166" s="751">
        <f>IF(QEPCSSCR1A&gt;0,Quantity3/QEPCSSCR1A,0)</f>
        <v>0</v>
      </c>
      <c r="E166" s="751">
        <f>IF(QEPCSSCR1A&gt;0,Quantity4/QEPCSSCR1A,0)</f>
        <v>0</v>
      </c>
      <c r="F166" s="751">
        <f>IF(QEPCSSCR1A&gt;0,Quantity5/QEPCSSCR1A,0)</f>
        <v>0</v>
      </c>
      <c r="G166" s="112"/>
      <c r="H166" s="576" t="s">
        <v>122</v>
      </c>
      <c r="I166" s="751">
        <f>IF(QEPCSSCR2A&gt;0,Quantity6/QEPCSSCR2A,0)</f>
        <v>0</v>
      </c>
      <c r="J166" s="751">
        <f>IF(QEPCSSCR2A&gt;0,Quantity7/QEPCSSCR2A,0)</f>
        <v>0</v>
      </c>
      <c r="K166" s="751">
        <f>IF(QEPCSSCR2A&gt;0,Quantity8/QEPCSSCR2A,0)</f>
        <v>0</v>
      </c>
      <c r="L166" s="751">
        <f>IF(QEPCSSCR2A&gt;0,Quantity9/QEPCSSCR2A,0)</f>
        <v>0</v>
      </c>
      <c r="M166" s="751">
        <f>IF(QEPCSSCR2A&gt;0,Quantity10/QEPCSSCR2A,0)</f>
        <v>0</v>
      </c>
    </row>
    <row r="167" spans="1:13">
      <c r="A167" s="576" t="s">
        <v>479</v>
      </c>
      <c r="B167" s="751">
        <f>IF(QEPCSSCR1B&gt;0,Quantity1/QEPCSSCR1B,0)</f>
        <v>0</v>
      </c>
      <c r="C167" s="751">
        <f>IF(QEPCSSCR1B&gt;0,Quantity2/QEPCSSCR1B,0)</f>
        <v>0</v>
      </c>
      <c r="D167" s="751">
        <f>IF(QEPCSSCR1B&gt;0,Quantity3/QEPCSSCR1B,0)</f>
        <v>0</v>
      </c>
      <c r="E167" s="751">
        <f>IF(QEPCSSCR1B&gt;0,Quantity4/QEPCSSCR1B,0)</f>
        <v>0</v>
      </c>
      <c r="F167" s="751">
        <f>IF(QEPCSSCR1B&gt;0,Quantity5/QEPCSSCR1B,0)</f>
        <v>0</v>
      </c>
      <c r="G167" s="112"/>
      <c r="H167" s="576" t="s">
        <v>479</v>
      </c>
      <c r="I167" s="751">
        <f>IF(QEPCSSCR2B&gt;0,Quantity6/QEPCSSCR2B,0)</f>
        <v>0</v>
      </c>
      <c r="J167" s="751">
        <f>IF(QEPCSSCR2B&gt;0,Quantity7/QEPCSSCR2B,0)</f>
        <v>0</v>
      </c>
      <c r="K167" s="751">
        <f>IF(QEPCSSCR2B&gt;0,Quantity8/QEPCSSCR2B,0)</f>
        <v>0</v>
      </c>
      <c r="L167" s="751">
        <f>IF(QEPCSSCR2B&gt;0,Quantity9/QEPCSSCR2B,0)</f>
        <v>0</v>
      </c>
      <c r="M167" s="751">
        <f>IF(QEPCSSCR2B&gt;0,Quantity10/QEPCSSCR2B,0)</f>
        <v>0</v>
      </c>
    </row>
    <row r="168" spans="1:13">
      <c r="A168" s="576" t="s">
        <v>480</v>
      </c>
      <c r="B168" s="751">
        <f>IF(QEPCSSCR1C&gt;0,Quantity1/QEPCSSCR1C,0)</f>
        <v>0</v>
      </c>
      <c r="C168" s="751">
        <f>IF(QEPCSSCR1C&gt;0,Quantity2/QEPCSSCR1C,0)</f>
        <v>0</v>
      </c>
      <c r="D168" s="751">
        <f>IF(QEPCSSCR1C&gt;0,Quantity3/QEPCSSCR1C,0)</f>
        <v>0</v>
      </c>
      <c r="E168" s="751">
        <f>IF(QEPCSSCR1C&gt;0,Quantity4/QEPCSSCR1C,0)</f>
        <v>0</v>
      </c>
      <c r="F168" s="751">
        <f>IF(QEPCSSCR1C&gt;0,Quantity5/QEPCSSCR1C,0)</f>
        <v>0</v>
      </c>
      <c r="G168" s="112"/>
      <c r="H168" s="576" t="s">
        <v>480</v>
      </c>
      <c r="I168" s="751">
        <f>IF(QEPCSSCR2C&gt;0,Quantity6/QEPCSSCR2C,0)</f>
        <v>0</v>
      </c>
      <c r="J168" s="751">
        <f>IF(QEPCSSCR2C&gt;0,Quantity7/QEPCSSCR2C,0)</f>
        <v>0</v>
      </c>
      <c r="K168" s="751">
        <f>IF(QEPCSSCR2C&gt;0,Quantity8/QEPCSSCR2C,0)</f>
        <v>0</v>
      </c>
      <c r="L168" s="751">
        <f>IF(QEPCSSCR2C&gt;0,Quantity9/QEPCSSCR2C,0)</f>
        <v>0</v>
      </c>
      <c r="M168" s="751">
        <f>IF(QEPCSSCR2C&gt;0,Quantity10/QEPCSSCR2C,0)</f>
        <v>0</v>
      </c>
    </row>
    <row r="169" spans="1:13">
      <c r="A169" s="576" t="s">
        <v>481</v>
      </c>
      <c r="B169" s="751">
        <f>IF(QEPCSSCR1D&gt;0,Quantity1/QEPCSSCR1D,0)</f>
        <v>0</v>
      </c>
      <c r="C169" s="751">
        <f>IF(QEPCSSCR1D&gt;0,Quantity2/QEPCSSCR1D,0)</f>
        <v>0</v>
      </c>
      <c r="D169" s="751">
        <f>IF(QEPCSSCR1D&gt;0,Quantity3/QEPCSSCR1D,0)</f>
        <v>0</v>
      </c>
      <c r="E169" s="751">
        <f>IF(QEPCSSCR1D&gt;0,Quantity4/QEPCSSCR1D,0)</f>
        <v>0</v>
      </c>
      <c r="F169" s="751">
        <f>IF(QEPCSSCR1D&gt;0,Quantity5/QEPCSSCR1D,0)</f>
        <v>0</v>
      </c>
      <c r="G169" s="112"/>
      <c r="H169" s="576" t="s">
        <v>481</v>
      </c>
      <c r="I169" s="751">
        <f>IF(QEPCSSCR2D&gt;0,Quantity6/QEPCSSCR2D,0)</f>
        <v>0</v>
      </c>
      <c r="J169" s="751">
        <f>IF(QEPCSSCR2D&gt;0,Quantity7/QEPCSSCR2D,0)</f>
        <v>0</v>
      </c>
      <c r="K169" s="751">
        <f>IF(QEPCSSCR2D&gt;0,Quantity8/QEPCSSCR2D,0)</f>
        <v>0</v>
      </c>
      <c r="L169" s="751">
        <f>IF(QEPCSSCR2D&gt;0,Quantity9/QEPCSSCR2D,0)</f>
        <v>0</v>
      </c>
      <c r="M169" s="751">
        <f>IF(QEPCSSCR2D&gt;0,Quantity10/QEPCSSCR2D,0)</f>
        <v>0</v>
      </c>
    </row>
    <row r="170" spans="1:13">
      <c r="A170" s="576" t="s">
        <v>5108</v>
      </c>
      <c r="B170" s="751">
        <f>IF(QEPCSSCR1E&gt;0,Quantity1/QEPCSSCR1E,0)</f>
        <v>0</v>
      </c>
      <c r="C170" s="751">
        <f>IF(QEPCSSCR1E&gt;0,Quantity2/QEPCSSCR1E,0)</f>
        <v>0</v>
      </c>
      <c r="D170" s="751">
        <f>IF(QEPCSSCR1E&gt;0,Quantity3/QEPCSSCR1E,0)</f>
        <v>0</v>
      </c>
      <c r="E170" s="751">
        <f>IF(QEPCSSCR1E&gt;0,Quantity4/QEPCSSCR1E,0)</f>
        <v>0</v>
      </c>
      <c r="F170" s="751">
        <f>IF(QEPCSSCR1E&gt;0,Quantity5/QEPCSSCR1E,0)</f>
        <v>0</v>
      </c>
      <c r="G170" s="112"/>
      <c r="H170" s="576" t="s">
        <v>5108</v>
      </c>
      <c r="I170" s="751">
        <f>IF(QEPCSSCR2E&gt;0,Quantity6/QEPCSSCR2E,0)</f>
        <v>0</v>
      </c>
      <c r="J170" s="751">
        <f>IF(QEPCSSCR2E&gt;0,Quantity7/QEPCSSCR2E,0)</f>
        <v>0</v>
      </c>
      <c r="K170" s="751">
        <f>IF(QEPCSSCR2E&gt;0,Quantity8/QEPCSSCR2E,0)</f>
        <v>0</v>
      </c>
      <c r="L170" s="751">
        <f>IF(QEPCSSCR2E&gt;0,Quantity9/QEPCSSCR2E,0)</f>
        <v>0</v>
      </c>
      <c r="M170" s="751">
        <f>IF(QEPCSSCR2E&gt;0,Quantity10/QEPCSSCR2E,0)</f>
        <v>0</v>
      </c>
    </row>
    <row r="171" spans="1:13">
      <c r="A171" s="576" t="s">
        <v>3717</v>
      </c>
      <c r="B171" s="751">
        <f>IF(QEPCSSCR1F&gt;0,Quantity1/QEPCSSCR1F,0)</f>
        <v>0</v>
      </c>
      <c r="C171" s="751">
        <f>IF(QEPCSSCR1F&gt;0,Quantity2/QEPCSSCR1F,0)</f>
        <v>0</v>
      </c>
      <c r="D171" s="751">
        <f>IF(QEPCSSCR1F&gt;0,Quantity3/QEPCSSCR1F,0)</f>
        <v>0</v>
      </c>
      <c r="E171" s="751">
        <f>IF(QEPCSSCR1F&gt;0,Quantity4/QEPCSSCR1F,0)</f>
        <v>0</v>
      </c>
      <c r="F171" s="751">
        <f>IF(QEPCSSCR1F&gt;0,Quantity5/QEPCSSCR1F,0)</f>
        <v>0</v>
      </c>
      <c r="G171" s="112"/>
      <c r="H171" s="576" t="s">
        <v>3717</v>
      </c>
      <c r="I171" s="751">
        <f>IF(QEPCSSCR2F&gt;0,Quantity6/QEPCSSCR2F,0)</f>
        <v>0</v>
      </c>
      <c r="J171" s="751">
        <f>IF(QEPCSSCR2F&gt;0,Quantity7/QEPCSSCR2F,0)</f>
        <v>0</v>
      </c>
      <c r="K171" s="751">
        <f>IF(QEPCSSCR2F&gt;0,Quantity8/QEPCSSCR2F,0)</f>
        <v>0</v>
      </c>
      <c r="L171" s="751">
        <f>IF(QEPCSSCR2F&gt;0,Quantity9/QEPCSSCR2F,0)</f>
        <v>0</v>
      </c>
      <c r="M171" s="751">
        <f>IF(QEPCSSCR2F&gt;0,Quantity10/QEPCSSCR2F,0)</f>
        <v>0</v>
      </c>
    </row>
    <row r="172" spans="1:13">
      <c r="A172" s="576" t="s">
        <v>4057</v>
      </c>
      <c r="B172" s="751">
        <f>IF(QEPcsHrs1&gt;0,Quantity1/QEPcsHrs1,0)</f>
        <v>0</v>
      </c>
      <c r="C172" s="751">
        <f>IF(QEPcsHrs1&gt;0,Quantity2/QEPcsHrs1,0)</f>
        <v>0</v>
      </c>
      <c r="D172" s="751">
        <f>IF(QEPcsHrs1&gt;0,Quantity3/QEPcsHrs1,0)</f>
        <v>0</v>
      </c>
      <c r="E172" s="751">
        <f>IF(QEPcsHrs1&gt;0,Quantity4/QEPcsHrs1,0)</f>
        <v>0</v>
      </c>
      <c r="F172" s="751">
        <f>IF(QEPcsHrs1&gt;0,Quantity5/QEPcsHrs1,0)</f>
        <v>0</v>
      </c>
      <c r="G172" s="112"/>
      <c r="H172" s="576" t="s">
        <v>4057</v>
      </c>
      <c r="I172" s="751">
        <f>IF(QEPcsHrs12&gt;0,Quantity6/QEPcsHrs12,0)</f>
        <v>0</v>
      </c>
      <c r="J172" s="751">
        <f>IF(QEPcsHrs12&gt;0,Quantity7/QEPcsHrs12,0)</f>
        <v>0</v>
      </c>
      <c r="K172" s="751">
        <f>IF(QEPcsHrs12&gt;0,Quantity8/QEPcsHrs12,0)</f>
        <v>0</v>
      </c>
      <c r="L172" s="751">
        <f>IF(QEPcsHrs12&gt;0,Quantity9/QEPcsHrs12,0)</f>
        <v>0</v>
      </c>
      <c r="M172" s="751">
        <f>IF(QEPcsHrs12&gt;0,Quantity10/QEPcsHrs12,0)</f>
        <v>0</v>
      </c>
    </row>
    <row r="173" spans="1:13">
      <c r="A173" s="576" t="s">
        <v>4058</v>
      </c>
      <c r="B173" s="751">
        <f>IF(QEPcsHrs2&gt;0,Quantity1/QEPcsHrs2,0)</f>
        <v>0</v>
      </c>
      <c r="C173" s="751">
        <f>IF(QEPcsHrs2&gt;0,Quantity2/QEPcsHrs2,0)</f>
        <v>0</v>
      </c>
      <c r="D173" s="751">
        <f>IF(QEPcsHrs2&gt;0,Quantity3/QEPcsHrs2,0)</f>
        <v>0</v>
      </c>
      <c r="E173" s="751">
        <f>IF(QEPcsHrs2&gt;0,Quantity4/QEPcsHrs2,0)</f>
        <v>0</v>
      </c>
      <c r="F173" s="751">
        <f>IF(QEPcsHrs2&gt;0,Quantity5/QEPcsHrs2,0)</f>
        <v>0</v>
      </c>
      <c r="G173" s="112"/>
      <c r="H173" s="576" t="s">
        <v>4058</v>
      </c>
      <c r="I173" s="751">
        <f>IF(QEPcsHrs22&gt;0,Quantity6/QEPcsHrs22,0)</f>
        <v>0</v>
      </c>
      <c r="J173" s="751">
        <f>IF(QEPcsHrs22&gt;0,Quantity7/QEPcsHrs22,0)</f>
        <v>0</v>
      </c>
      <c r="K173" s="751">
        <f>IF(QEPcsHrs22&gt;0,Quantity8/QEPcsHrs22,0)</f>
        <v>0</v>
      </c>
      <c r="L173" s="751">
        <f>IF(QEPcsHrs22&gt;0,Quantity9/QEPcsHrs22,0)</f>
        <v>0</v>
      </c>
      <c r="M173" s="751">
        <f>IF(QEPcsHrs22&gt;0,Quantity10/QEPcsHrs22,0)</f>
        <v>0</v>
      </c>
    </row>
    <row r="174" spans="1:13">
      <c r="A174" s="576" t="s">
        <v>4059</v>
      </c>
      <c r="B174" s="751">
        <f>IF(QEPcsHrs3&gt;0,Quantity1/QEPcsHrs3,0)</f>
        <v>0</v>
      </c>
      <c r="C174" s="751">
        <f>IF(QEPcsHrs3&gt;0,Quantity2/QEPcsHrs3,0)</f>
        <v>0</v>
      </c>
      <c r="D174" s="751">
        <f>IF(QEPcsHrs3&gt;0,Quantity3/QEPcsHrs3,0)</f>
        <v>0</v>
      </c>
      <c r="E174" s="751">
        <f>IF(QEPcsHrs3&gt;0,Quantity4/QEPcsHrs3,0)</f>
        <v>0</v>
      </c>
      <c r="F174" s="751">
        <f>IF(QEPcsHrs3&gt;0,Quantity5/QEPcsHrs3,0)</f>
        <v>0</v>
      </c>
      <c r="G174" s="112"/>
      <c r="H174" s="576" t="s">
        <v>4059</v>
      </c>
      <c r="I174" s="751">
        <f>IF(QEPcsHrs32&gt;0,Quantity6/QEPcsHrs32,0)</f>
        <v>0</v>
      </c>
      <c r="J174" s="751">
        <f>IF(QEPcsHrs32&gt;0,Quantity7/QEPcsHrs32,0)</f>
        <v>0</v>
      </c>
      <c r="K174" s="751">
        <f>IF(QEPcsHrs32&gt;0,Quantity8/QEPcsHrs32,0)</f>
        <v>0</v>
      </c>
      <c r="L174" s="751">
        <f>IF(QEPcsHrs32&gt;0,Quantity9/QEPcsHrs32,0)</f>
        <v>0</v>
      </c>
      <c r="M174" s="751">
        <f>IF(QEPcsHrs32&gt;0,Quantity10/QEPcsHrs32,0)</f>
        <v>0</v>
      </c>
    </row>
    <row r="175" spans="1:13">
      <c r="A175" s="576" t="s">
        <v>4333</v>
      </c>
      <c r="B175" s="751">
        <f>SUM(B165:B171)</f>
        <v>204.08163265306123</v>
      </c>
      <c r="C175" s="751">
        <f>SUM(C165:C171)</f>
        <v>0</v>
      </c>
      <c r="D175" s="751">
        <f>SUM(D165:D171)</f>
        <v>0</v>
      </c>
      <c r="E175" s="751">
        <f>SUM(E165:E171)</f>
        <v>0</v>
      </c>
      <c r="F175" s="751">
        <f>SUM(F165:F171)</f>
        <v>0</v>
      </c>
      <c r="G175" s="112"/>
      <c r="H175" s="576" t="s">
        <v>4333</v>
      </c>
      <c r="I175" s="751">
        <f>SUM(I165:I171)</f>
        <v>0</v>
      </c>
      <c r="J175" s="751">
        <f>SUM(J165:J171)</f>
        <v>0</v>
      </c>
      <c r="K175" s="751">
        <f>SUM(K165:K171)</f>
        <v>0</v>
      </c>
      <c r="L175" s="751">
        <f>SUM(L165:L171)</f>
        <v>0</v>
      </c>
      <c r="M175" s="751">
        <f>SUM(M165:M171)</f>
        <v>0</v>
      </c>
    </row>
    <row r="176" spans="1:13">
      <c r="A176" s="576" t="s">
        <v>2076</v>
      </c>
      <c r="B176" s="759">
        <f>IF(Quantity1&gt;0,FSTotMatJ13,0)</f>
        <v>12.051419005102041</v>
      </c>
      <c r="C176" s="759">
        <f>IF(Quantity2&gt;0,FSTotMatK13,0)</f>
        <v>0</v>
      </c>
      <c r="D176" s="759">
        <f>IF(Quantity3&gt;0,FSTotMatL13,0)</f>
        <v>0</v>
      </c>
      <c r="E176" s="759">
        <f>IF(Quantity4&gt;0,FSTotMatM13,0)</f>
        <v>0</v>
      </c>
      <c r="F176" s="759">
        <f>IF(Quantity5&gt;0,FSTotMatN13,0)</f>
        <v>0</v>
      </c>
      <c r="G176" s="112"/>
      <c r="H176" s="576" t="s">
        <v>2076</v>
      </c>
      <c r="I176" s="759">
        <f>IF(Quantity6&gt;0,FSTotMatJ28,0)</f>
        <v>0</v>
      </c>
      <c r="J176" s="759">
        <f>IF(Quantity7&gt;0,FSTotMatK28,0)</f>
        <v>0</v>
      </c>
      <c r="K176" s="759">
        <f>IF(Quantity8&gt;0,FSTotMatL28,0)</f>
        <v>0</v>
      </c>
      <c r="L176" s="759">
        <f>IF(Quantity9&gt;0,FSTotMatM28,0)</f>
        <v>0</v>
      </c>
      <c r="M176" s="759">
        <f>IF(Quantity10&gt;0,FSTotMatN28,0)</f>
        <v>0</v>
      </c>
    </row>
    <row r="177" spans="1:14">
      <c r="A177" s="576" t="s">
        <v>4682</v>
      </c>
      <c r="B177" s="759">
        <f>IF(Quantity1&gt;0,FSTotMatJ14,0)</f>
        <v>17.233529177295917</v>
      </c>
      <c r="C177" s="759">
        <f>IF(Quantity2&gt;0,FSTotMatK14,0)</f>
        <v>0</v>
      </c>
      <c r="D177" s="759">
        <f>IF(Quantity3&gt;0,FSTotMatL14,0)</f>
        <v>0</v>
      </c>
      <c r="E177" s="759">
        <f>IF(Quantity4&gt;0,FSTotMatM14,0)</f>
        <v>0</v>
      </c>
      <c r="F177" s="759">
        <f>IF(Quantity5&gt;0,FSTotMatN14,0)</f>
        <v>0</v>
      </c>
      <c r="G177" s="112"/>
      <c r="H177" s="576" t="s">
        <v>4682</v>
      </c>
      <c r="I177" s="759">
        <f>IF(Quantity6&gt;0,FSTotMatJ29,0)</f>
        <v>0</v>
      </c>
      <c r="J177" s="759">
        <f>IF(Quantity7&gt;0,FSTotMatK29,0)</f>
        <v>0</v>
      </c>
      <c r="K177" s="759">
        <f>IF(Quantity8&gt;0,FSTotMatL29,0)</f>
        <v>0</v>
      </c>
      <c r="L177" s="759">
        <f>IF(Quantity9&gt;0,FSTotMatM29,0)</f>
        <v>0</v>
      </c>
      <c r="M177" s="759">
        <f>IF(Quantity10&gt;0,FSTotMatN29,0)</f>
        <v>0</v>
      </c>
    </row>
    <row r="178" spans="1:14">
      <c r="A178" s="743" t="s">
        <v>2037</v>
      </c>
      <c r="B178" s="736">
        <f>IF(Quantity1&gt;0,FSTotBOJ43,0)</f>
        <v>0</v>
      </c>
      <c r="C178" s="736">
        <f>IF(Quantity2&gt;0,FSTotBOK43,0)</f>
        <v>0</v>
      </c>
      <c r="D178" s="736">
        <f>IF(Quantity3&gt;0,FSTotBOL43,0)</f>
        <v>0</v>
      </c>
      <c r="E178" s="736">
        <f>IF(Quantity4&gt;0,FSTotBOM43,0)</f>
        <v>0</v>
      </c>
      <c r="F178" s="736">
        <f>IF(Quantity5&gt;0,FSTotBON43,0)</f>
        <v>0</v>
      </c>
      <c r="G178" s="112"/>
      <c r="H178" s="743" t="s">
        <v>2037</v>
      </c>
      <c r="I178" s="736">
        <f>IF(Quantity6&gt;0,FSTotBOJ58,0)</f>
        <v>0</v>
      </c>
      <c r="J178" s="736">
        <f>IF(Quantity7&gt;0,FSTotBOK58,0)</f>
        <v>0</v>
      </c>
      <c r="K178" s="736">
        <f>IF(Quantity8&gt;0,FSTotBOL58,0)</f>
        <v>0</v>
      </c>
      <c r="L178" s="736">
        <f>IF(Quantity9&gt;0,FSTotBOM58,0)</f>
        <v>0</v>
      </c>
      <c r="M178" s="736">
        <f>IF(Quantity10&gt;0,FSTotBON58,0)</f>
        <v>0</v>
      </c>
    </row>
    <row r="179" spans="1:14">
      <c r="A179" s="743" t="s">
        <v>2704</v>
      </c>
      <c r="B179" s="736">
        <f>IF(Quantity1&gt;0,FSTotBOJ44,0)</f>
        <v>0</v>
      </c>
      <c r="C179" s="736">
        <f>IF(Quantity2&gt;0,FSTotBOK44,0)</f>
        <v>0</v>
      </c>
      <c r="D179" s="736">
        <f>IF(Quantity3&gt;0,FSTotBOL44,0)</f>
        <v>0</v>
      </c>
      <c r="E179" s="736">
        <f>IF(Quantity4&gt;0,FSTotBOM44,0)</f>
        <v>0</v>
      </c>
      <c r="F179" s="736">
        <f>IF(Quantity5&gt;0,FSTotBON44,0)</f>
        <v>0</v>
      </c>
      <c r="G179" s="112"/>
      <c r="H179" s="743" t="s">
        <v>2704</v>
      </c>
      <c r="I179" s="736">
        <f>IF(Quantity6&gt;0,FSTotBOJ59,0)</f>
        <v>0</v>
      </c>
      <c r="J179" s="736">
        <f>IF(Quantity7&gt;0,FSTotBOK59,0)</f>
        <v>0</v>
      </c>
      <c r="K179" s="736">
        <f>IF(Quantity8&gt;0,FSTotBOL59,0)</f>
        <v>0</v>
      </c>
      <c r="L179" s="736">
        <f>IF(Quantity9&gt;0,FSTotBOM59,0)</f>
        <v>0</v>
      </c>
      <c r="M179" s="736">
        <f>IF(Quantity10&gt;0,FSTotBON59,0)</f>
        <v>0</v>
      </c>
    </row>
    <row r="180" spans="1:14">
      <c r="A180" s="743" t="s">
        <v>3846</v>
      </c>
      <c r="B180" s="725" t="b">
        <f>OR(FSFinalMatCost1&gt;0,FSFinalBOCost1&gt;0)</f>
        <v>1</v>
      </c>
      <c r="C180" s="725" t="b">
        <f>OR(FSFinalMatCost2&gt;0,FSFinalBOCost2&gt;0)</f>
        <v>0</v>
      </c>
      <c r="D180" s="725" t="b">
        <f>OR(FSFinalMatCost3&gt;0,FSFinalBOCost3&gt;0)</f>
        <v>0</v>
      </c>
      <c r="E180" s="725" t="b">
        <f>OR(FSFinalMatCost4&gt;0,FSFinalBOCost4&gt;0)</f>
        <v>0</v>
      </c>
      <c r="F180" s="725" t="b">
        <f>OR(FSFinalMatCost5&gt;0,FSFinalBOCost5&gt;0)</f>
        <v>0</v>
      </c>
      <c r="H180" s="743" t="s">
        <v>3846</v>
      </c>
      <c r="I180" s="725" t="b">
        <f>OR(FSFinalMatCost6&gt;0,FSFinalBOCost6&gt;0)</f>
        <v>0</v>
      </c>
      <c r="J180" s="725" t="b">
        <f>OR(FSFinalMatCost7&gt;0,FSFinalBOCost7&gt;0)</f>
        <v>0</v>
      </c>
      <c r="K180" s="725" t="b">
        <f>OR(FSFinalMatCost8&gt;0,FSFinalBOCost8&gt;0)</f>
        <v>0</v>
      </c>
      <c r="L180" s="725" t="b">
        <f>OR(FSFinalMatCost9&gt;0,FSFinalBOCost9&gt;0)</f>
        <v>0</v>
      </c>
      <c r="M180" s="725" t="b">
        <f>OR(FSFinalMatCost10&gt;0,FSFinalBOCost10&gt;0)</f>
        <v>0</v>
      </c>
    </row>
    <row r="181" spans="1:14">
      <c r="A181" s="576" t="s">
        <v>988</v>
      </c>
      <c r="B181" s="759">
        <f>IF(LogTestMat1=TRUE,FSPressCostA38,0)</f>
        <v>17.219387755102041</v>
      </c>
      <c r="C181" s="759">
        <f>IF(LogTestMat2=TRUE,FSPressCostA38,0)</f>
        <v>0</v>
      </c>
      <c r="D181" s="759">
        <f>IF(LogTestMat3=TRUE,FSPressCostA38,0)</f>
        <v>0</v>
      </c>
      <c r="E181" s="759">
        <f>IF(LogTestMat4=TRUE,FSPressCostA38,0)</f>
        <v>0</v>
      </c>
      <c r="F181" s="759">
        <f>IF(LogTestMat5=TRUE,FSPressCostA38,0)</f>
        <v>0</v>
      </c>
      <c r="G181" s="760"/>
      <c r="H181" s="576" t="s">
        <v>988</v>
      </c>
      <c r="I181" s="761">
        <f>IF(LogTestMat6=TRUE,FSPressCostB38,0)</f>
        <v>0</v>
      </c>
      <c r="J181" s="761">
        <f>IF(LogTestMat7=TRUE,FSPressCostB38,0)</f>
        <v>0</v>
      </c>
      <c r="K181" s="761">
        <f>IF(LogTestMat8=TRUE,FSPressCostB38,0)</f>
        <v>0</v>
      </c>
      <c r="L181" s="761">
        <f>IF(LogTestMat9=TRUE,FSPressCostB38,0)</f>
        <v>0</v>
      </c>
      <c r="M181" s="761">
        <f>IF(LogTestMat10=TRUE,FSPressCostB38,0)</f>
        <v>0</v>
      </c>
    </row>
    <row r="182" spans="1:14">
      <c r="A182" s="576" t="s">
        <v>5785</v>
      </c>
      <c r="B182" s="762">
        <f>FSFinalPressCost1*QuoteEntryMarkup1</f>
        <v>22.95344387755102</v>
      </c>
      <c r="C182" s="762">
        <f>FSFinalPressCost2*QuoteEntryMarkup1</f>
        <v>0</v>
      </c>
      <c r="D182" s="762">
        <f>FSFinalPressCost3*QuoteEntryMarkup1</f>
        <v>0</v>
      </c>
      <c r="E182" s="762">
        <f>FSFinalPressCost4*QuoteEntryMarkup1</f>
        <v>0</v>
      </c>
      <c r="F182" s="762">
        <f>FSFinalPressCost5*QuoteEntryMarkup1</f>
        <v>0</v>
      </c>
      <c r="G182" s="760"/>
      <c r="H182" s="576" t="s">
        <v>5785</v>
      </c>
      <c r="I182" s="762">
        <f>FSFinalPressCost6*QuoteEntryMarkup2</f>
        <v>0</v>
      </c>
      <c r="J182" s="762">
        <f>FSFinalPressCost7*QuoteEntryMarkup2</f>
        <v>0</v>
      </c>
      <c r="K182" s="762">
        <f>FSFinalPressCost8*QuoteEntryMarkup2</f>
        <v>0</v>
      </c>
      <c r="L182" s="762">
        <f>FSFinalPressCost9*QuoteEntryMarkup2</f>
        <v>0</v>
      </c>
      <c r="M182" s="762">
        <f>FSFinalPressCost10*QuoteEntryMarkup2</f>
        <v>0</v>
      </c>
    </row>
    <row r="183" spans="1:14">
      <c r="A183" s="576" t="s">
        <v>295</v>
      </c>
      <c r="B183" s="759">
        <f>IF(LogTestMat1=TRUE,FSToolMaintCostTot1,0)</f>
        <v>1.5943877551020409</v>
      </c>
      <c r="C183" s="759">
        <f>IF(LogTestMat2=TRUE,FSToolMaintCostTot1,0)</f>
        <v>0</v>
      </c>
      <c r="D183" s="759">
        <f>IF(LogTestMat3=TRUE,FSToolMaintCostTot1,0)</f>
        <v>0</v>
      </c>
      <c r="E183" s="759">
        <f>IF(LogTestMat4=TRUE,FSToolMaintCostTot1,0)</f>
        <v>0</v>
      </c>
      <c r="F183" s="759">
        <f>IF(LogTestMat5=TRUE,FSToolMaintCostTot1,0)</f>
        <v>0</v>
      </c>
      <c r="G183" s="760"/>
      <c r="H183" s="576" t="s">
        <v>295</v>
      </c>
      <c r="I183" s="759">
        <f>IF(LogTestMat6=TRUE,FSToolMaintCostTot2,0)</f>
        <v>0</v>
      </c>
      <c r="J183" s="759">
        <f>IF(LogTestMat7=TRUE,FSToolMaintCostTot2,0)</f>
        <v>0</v>
      </c>
      <c r="K183" s="759">
        <f>IF(LogTestMat8=TRUE,FSToolMaintCostTot2,0)</f>
        <v>0</v>
      </c>
      <c r="L183" s="759">
        <f>IF(LogTestMat9=TRUE,FSToolMaintCostTot2,0)</f>
        <v>0</v>
      </c>
      <c r="M183" s="759">
        <f>IF(LogTestMat10=TRUE,FSToolMaintCostTot2,0)</f>
        <v>0</v>
      </c>
    </row>
    <row r="184" spans="1:14">
      <c r="A184" s="576" t="s">
        <v>2760</v>
      </c>
      <c r="B184" s="762">
        <f>FSFinTMCost1*QuoteEntryMarkup1</f>
        <v>2.1253188775510203</v>
      </c>
      <c r="C184" s="762">
        <f>FSFinTMCost2*QuoteEntryMarkup1</f>
        <v>0</v>
      </c>
      <c r="D184" s="762">
        <f>FSFinTMCost3*QuoteEntryMarkup1</f>
        <v>0</v>
      </c>
      <c r="E184" s="762">
        <f>FSFinTMCost4*QuoteEntryMarkup1</f>
        <v>0</v>
      </c>
      <c r="F184" s="762">
        <f>FSFinTMCost5*QuoteEntryMarkup1</f>
        <v>0</v>
      </c>
      <c r="G184" s="760"/>
      <c r="H184" s="576" t="s">
        <v>2760</v>
      </c>
      <c r="I184" s="762">
        <f>FSFinTMCost6*QuoteEntryMarkup2</f>
        <v>0</v>
      </c>
      <c r="J184" s="762">
        <f>FSFinTMCost7*QuoteEntryMarkup2</f>
        <v>0</v>
      </c>
      <c r="K184" s="762">
        <f>FSFinTMCost8*QuoteEntryMarkup2</f>
        <v>0</v>
      </c>
      <c r="L184" s="762">
        <f>FSFinTMCost9*QuoteEntryMarkup2</f>
        <v>0</v>
      </c>
      <c r="M184" s="762">
        <f>FSFinTMCost10*QuoteEntryMarkup2</f>
        <v>0</v>
      </c>
    </row>
    <row r="185" spans="1:14">
      <c r="A185" s="576" t="s">
        <v>1265</v>
      </c>
      <c r="B185" s="759">
        <f>IF(LogTestMat1=TRUE,FSLaborA48,0)</f>
        <v>2.3738424744897961</v>
      </c>
      <c r="C185" s="759">
        <f>IF(LogTestMat2=TRUE,FSLaborA48,0)</f>
        <v>0</v>
      </c>
      <c r="D185" s="759">
        <f>IF(LogTestMat3=TRUE,FSLaborA48,0)</f>
        <v>0</v>
      </c>
      <c r="E185" s="759">
        <f>IF(LogTestMat4=TRUE,FSLaborA48,0)</f>
        <v>0</v>
      </c>
      <c r="F185" s="759">
        <f>IF(LogTestMat5=TRUE,FSLaborA48,0)</f>
        <v>0</v>
      </c>
      <c r="H185" s="576" t="s">
        <v>1265</v>
      </c>
      <c r="I185" s="761">
        <f>IF(LogTestMat6=TRUE,FSLaborB48,0)</f>
        <v>0</v>
      </c>
      <c r="J185" s="761">
        <f>IF(LogTestMat7=TRUE,FSLaborB48,0)</f>
        <v>0</v>
      </c>
      <c r="K185" s="761">
        <f>IF(LogTestMat8=TRUE,FSLaborB48,0)</f>
        <v>0</v>
      </c>
      <c r="L185" s="761">
        <f>IF(LogTestMat9=TRUE,FSLaborB48,0)</f>
        <v>0</v>
      </c>
      <c r="M185" s="761">
        <f>IF(LogTestMat10=TRUE,FSLaborB48,0)</f>
        <v>0</v>
      </c>
      <c r="N185" s="760"/>
    </row>
    <row r="186" spans="1:14">
      <c r="A186" s="576" t="s">
        <v>16</v>
      </c>
      <c r="B186" s="762">
        <f>FSLaborCost1*QuoteEntryMarkup1</f>
        <v>3.164332018494898</v>
      </c>
      <c r="C186" s="762">
        <f>FSLaborCost2*QuoteEntryMarkup1</f>
        <v>0</v>
      </c>
      <c r="D186" s="762">
        <f>FSLaborCost3*QuoteEntryMarkup1</f>
        <v>0</v>
      </c>
      <c r="E186" s="762">
        <f>FSLaborCost4*QuoteEntryMarkup1</f>
        <v>0</v>
      </c>
      <c r="F186" s="762">
        <f>FSLaborCost5*QuoteEntryMarkup1</f>
        <v>0</v>
      </c>
      <c r="H186" s="576" t="s">
        <v>16</v>
      </c>
      <c r="I186" s="762">
        <f>FSLaborCost6*QuoteEntryMarkup2</f>
        <v>0</v>
      </c>
      <c r="J186" s="762">
        <f>FSLaborCost7*QuoteEntryMarkup2</f>
        <v>0</v>
      </c>
      <c r="K186" s="762">
        <f>FSLaborCost8*QuoteEntryMarkup2</f>
        <v>0</v>
      </c>
      <c r="L186" s="762">
        <f>FSLaborCost9*QuoteEntryMarkup2</f>
        <v>0</v>
      </c>
      <c r="M186" s="762">
        <f>FSLaborCost10*QuoteEntryMarkup2</f>
        <v>0</v>
      </c>
      <c r="N186" s="760"/>
    </row>
    <row r="187" spans="1:14">
      <c r="A187" s="576" t="s">
        <v>5030</v>
      </c>
      <c r="B187" s="790">
        <f>QESetUp1</f>
        <v>6</v>
      </c>
      <c r="C187" s="790">
        <f>QESetUp2</f>
        <v>0</v>
      </c>
      <c r="D187" s="790">
        <f>QESetUp3</f>
        <v>0</v>
      </c>
      <c r="E187" s="790">
        <f>QESetUp4</f>
        <v>0</v>
      </c>
      <c r="F187" s="790">
        <f>QESetUp5</f>
        <v>0</v>
      </c>
      <c r="G187" s="806"/>
      <c r="H187" s="576" t="s">
        <v>5030</v>
      </c>
      <c r="I187" s="790">
        <f>QESetUp6</f>
        <v>0</v>
      </c>
      <c r="J187" s="790">
        <f>QESetUp7</f>
        <v>0</v>
      </c>
      <c r="K187" s="790">
        <f>QESetUp8</f>
        <v>0</v>
      </c>
      <c r="L187" s="790">
        <f>QESetUp9</f>
        <v>0</v>
      </c>
      <c r="M187" s="790">
        <f>QESetUp10</f>
        <v>0</v>
      </c>
      <c r="N187" s="760"/>
    </row>
    <row r="188" spans="1:14">
      <c r="A188" s="576" t="s">
        <v>5422</v>
      </c>
      <c r="B188" s="762">
        <f>IF(LogTestMat1=TRUE,((FSSetUp1*FSTotMin1)/Quantity1))*BaseQuantity</f>
        <v>3.4375</v>
      </c>
      <c r="C188" s="762">
        <f>IF(LogTestMat2=TRUE,((FSSetUp2*FSTotMin1)/Quantity2))*BaseQuantity</f>
        <v>0</v>
      </c>
      <c r="D188" s="762">
        <f>IF(LogTestMat3=TRUE,((FSSetUp3*FSTotMin1)/Quantity3))*BaseQuantity</f>
        <v>0</v>
      </c>
      <c r="E188" s="762">
        <f>IF(LogTestMat4=TRUE,((FSSetUp4*FSTotMin1)/Quantity4))*BaseQuantity</f>
        <v>0</v>
      </c>
      <c r="F188" s="762">
        <f>IF(LogTestMat5=TRUE,((FSSetUp5*FSTotMin1)/Quantity5))*BaseQuantity</f>
        <v>0</v>
      </c>
      <c r="G188" s="807"/>
      <c r="H188" s="576" t="s">
        <v>5422</v>
      </c>
      <c r="I188" s="762">
        <f>IF(LogTestMat6=TRUE,((FSSetUp6*FSTotMin2)/Quantity6))*BaseQuantity</f>
        <v>0</v>
      </c>
      <c r="J188" s="762">
        <f>IF(LogTestMat7=TRUE,((FSSetUp7*FSTotMin2)/Quantity7))*BaseQuantity</f>
        <v>0</v>
      </c>
      <c r="K188" s="762">
        <f>IF(LogTestMat8=TRUE,((FSSetUp8*FSTotMin2)/Quantity8))*BaseQuantity</f>
        <v>0</v>
      </c>
      <c r="L188" s="762">
        <f>IF(LogTestMat9=TRUE,((FSSetUp9*FSTotMin2)/Quantity9))*BaseQuantity</f>
        <v>0</v>
      </c>
      <c r="M188" s="762">
        <f>IF(LogTestMat10=TRUE,((FSSetUp10*FSTotMin2)/Quantity10))*BaseQuantity</f>
        <v>0</v>
      </c>
    </row>
    <row r="189" spans="1:14">
      <c r="A189" s="576" t="s">
        <v>3399</v>
      </c>
      <c r="B189" s="759">
        <f>FSMinCost1*QuoteEntryMarkup1</f>
        <v>4.5821874999999999</v>
      </c>
      <c r="C189" s="759">
        <f>FSMinCost2*QuoteEntryMarkup1</f>
        <v>0</v>
      </c>
      <c r="D189" s="759">
        <f>FSMinCost3*QuoteEntryMarkup1</f>
        <v>0</v>
      </c>
      <c r="E189" s="759">
        <f>FSMinCost4*QuoteEntryMarkup1</f>
        <v>0</v>
      </c>
      <c r="F189" s="759">
        <f>FSMinCost5*QuoteEntryMarkup1</f>
        <v>0</v>
      </c>
      <c r="G189" s="760"/>
      <c r="H189" s="576" t="s">
        <v>3399</v>
      </c>
      <c r="I189" s="759">
        <f>FSMinCost6*QuoteEntryMarkup2</f>
        <v>0</v>
      </c>
      <c r="J189" s="759">
        <f>FSMinCost7*QuoteEntryMarkup2</f>
        <v>0</v>
      </c>
      <c r="K189" s="759">
        <f>FSMinCost8*QuoteEntryMarkup2</f>
        <v>0</v>
      </c>
      <c r="L189" s="759">
        <f>FSMinCost9*QuoteEntryMarkup2</f>
        <v>0</v>
      </c>
      <c r="M189" s="759">
        <f>FSMinCost10*QuoteEntryMarkup2</f>
        <v>0</v>
      </c>
    </row>
    <row r="190" spans="1:14">
      <c r="A190" s="576" t="s">
        <v>2121</v>
      </c>
      <c r="B190" s="759">
        <f>IF(LogTestMat1=TRUE,FSMaint1Sub,0)</f>
        <v>0</v>
      </c>
      <c r="C190" s="759">
        <f>IF(LogTestMat2=TRUE,FSMaint1Sub,0)</f>
        <v>0</v>
      </c>
      <c r="D190" s="759">
        <f>IF(LogTestMat3=TRUE,FSMaint1Sub,0)</f>
        <v>0</v>
      </c>
      <c r="E190" s="759">
        <f>IF(LogTestMat4=TRUE,FSMaint1Sub,0)</f>
        <v>0</v>
      </c>
      <c r="F190" s="759">
        <f>IF(LogTestMat5=TRUE,FSMaint1Sub,0)</f>
        <v>0</v>
      </c>
      <c r="G190" s="760"/>
      <c r="H190" s="576" t="s">
        <v>2121</v>
      </c>
      <c r="I190" s="761">
        <f>IF(LogTestMat6=TRUE,FSMaint2Sub,0)</f>
        <v>0</v>
      </c>
      <c r="J190" s="761">
        <f>IF(LogTestMat7=TRUE,FSMaint2Sub,0)</f>
        <v>0</v>
      </c>
      <c r="K190" s="761">
        <f>IF(LogTestMat8=TRUE,FSMaint2Sub,0)</f>
        <v>0</v>
      </c>
      <c r="L190" s="761">
        <f>IF(LogTestMat9=TRUE,FSMaint2Sub,0)</f>
        <v>0</v>
      </c>
      <c r="M190" s="761">
        <f>IF(LogTestMat10=TRUE,FSMaint2Sub,0)</f>
        <v>0</v>
      </c>
    </row>
    <row r="191" spans="1:14">
      <c r="A191" s="576" t="s">
        <v>5427</v>
      </c>
      <c r="B191" s="759">
        <f>IF(LogTestMat1=TRUE,FSMaint1Sub,0)</f>
        <v>0</v>
      </c>
      <c r="C191" s="759">
        <f>IF(LogTestMat2=TRUE,FSMaint1Sub,0)</f>
        <v>0</v>
      </c>
      <c r="D191" s="759">
        <f>IF(LogTestMat3=TRUE,FSMaint1Sub,0)</f>
        <v>0</v>
      </c>
      <c r="E191" s="759">
        <f>IF(LogTestMat4=TRUE,FSMaint1Sub,0)</f>
        <v>0</v>
      </c>
      <c r="F191" s="759">
        <f>IF(LogTestMat5=TRUE,FSMaint1Sub,0)</f>
        <v>0</v>
      </c>
      <c r="G191" s="760"/>
      <c r="H191" s="576" t="s">
        <v>5427</v>
      </c>
      <c r="I191" s="761">
        <f>IF(LogTestMat6=TRUE,FSMaint2Sub,0)</f>
        <v>0</v>
      </c>
      <c r="J191" s="761">
        <f>IF(LogTestMat7=TRUE,FSMaint2Sub,0)</f>
        <v>0</v>
      </c>
      <c r="K191" s="761">
        <f>IF(LogTestMat8=TRUE,FSMaint2Sub,0)</f>
        <v>0</v>
      </c>
      <c r="L191" s="761">
        <f>IF(LogTestMat9=TRUE,FSMaint2Sub,0)</f>
        <v>0</v>
      </c>
      <c r="M191" s="761">
        <f>IF(LogTestMat10=TRUE,FSMaint2Sub,0)</f>
        <v>0</v>
      </c>
    </row>
    <row r="192" spans="1:14">
      <c r="A192" s="576" t="s">
        <v>3623</v>
      </c>
      <c r="B192" s="759">
        <f>IF(LogTestMat1=TRUE,FSSpecPackCost1,0)</f>
        <v>0</v>
      </c>
      <c r="C192" s="759">
        <f>IF(LogTestMat2=TRUE,FSSpecPackCost1,0)</f>
        <v>0</v>
      </c>
      <c r="D192" s="759">
        <f>IF(LogTestMat3=TRUE,FSSpecPackCost1,0)</f>
        <v>0</v>
      </c>
      <c r="E192" s="759">
        <f>IF(LogTestMat4=TRUE,FSSpecPackCost1,0)</f>
        <v>0</v>
      </c>
      <c r="F192" s="759">
        <f>IF(LogTestMat5=TRUE,FSSpecPackCost1,0)</f>
        <v>0</v>
      </c>
      <c r="G192" s="760"/>
      <c r="H192" s="576" t="s">
        <v>3623</v>
      </c>
      <c r="I192" s="761">
        <f>IF(LogTestMat6=TRUE,FSSpecPackCost2,0)</f>
        <v>0</v>
      </c>
      <c r="J192" s="761">
        <f>IF(LogTestMat7=TRUE,FSSpecPackCost2,0)</f>
        <v>0</v>
      </c>
      <c r="K192" s="761">
        <f>IF(LogTestMat8=TRUE,FSSpecPackCost2,0)</f>
        <v>0</v>
      </c>
      <c r="L192" s="761">
        <f>IF(LogTestMat9=TRUE,FSSpecPackCost2,0)</f>
        <v>0</v>
      </c>
      <c r="M192" s="761">
        <f>IF(LogTestMat10=TRUE,FSSpecPackCost2,0)</f>
        <v>0</v>
      </c>
    </row>
    <row r="193" spans="1:13">
      <c r="A193" s="576" t="s">
        <v>619</v>
      </c>
      <c r="B193" s="759">
        <f>IF(LogTestMat1=TRUE,FSSpecPackPrice1,0)</f>
        <v>0</v>
      </c>
      <c r="C193" s="759">
        <f>IF(LogTestMat2=TRUE,FSSpecPackPrice1,0)</f>
        <v>0</v>
      </c>
      <c r="D193" s="759">
        <f>IF(LogTestMat3=TRUE,FSSpecPackPrice1,0)</f>
        <v>0</v>
      </c>
      <c r="E193" s="759">
        <f>IF(LogTestMat4=TRUE,FSSpecPackPrice1,0)</f>
        <v>0</v>
      </c>
      <c r="F193" s="759">
        <f>IF(LogTestMat5=TRUE,FSSpecPackPrice1,0)</f>
        <v>0</v>
      </c>
      <c r="G193" s="760"/>
      <c r="H193" s="576" t="s">
        <v>619</v>
      </c>
      <c r="I193" s="761">
        <f>IF(LogTestMat6=TRUE,FSSpecPackPrice2,0)</f>
        <v>0</v>
      </c>
      <c r="J193" s="761">
        <f>IF(LogTestMat7=TRUE,FSSpecPackPrice2,0)</f>
        <v>0</v>
      </c>
      <c r="K193" s="761">
        <f>IF(LogTestMat8=TRUE,FSSpecPackPrice2,0)</f>
        <v>0</v>
      </c>
      <c r="L193" s="761">
        <f>IF(LogTestMat9=TRUE,FSSpecPackPrice2,0)</f>
        <v>0</v>
      </c>
      <c r="M193" s="761">
        <f>IF(LogTestMat10=TRUE,FSSpecPackPrice2,0)</f>
        <v>0</v>
      </c>
    </row>
    <row r="194" spans="1:13">
      <c r="A194" s="743" t="s">
        <v>4473</v>
      </c>
      <c r="B194" s="759">
        <f>IF(LogTestMat1=TRUE,FSComm1,0)</f>
        <v>2.6346742868890978</v>
      </c>
      <c r="C194" s="759">
        <f>IF(LogTestMat2=TRUE,FSComm2,0)</f>
        <v>0</v>
      </c>
      <c r="D194" s="759">
        <f>IF(LogTestMat3=TRUE,FSComm3,0)</f>
        <v>0</v>
      </c>
      <c r="E194" s="759">
        <f>IF(LogTestMat4=TRUE,FSComm4,0)</f>
        <v>0</v>
      </c>
      <c r="F194" s="759">
        <f>IF(LogTestMat5=TRUE,FSComm5,0)</f>
        <v>0</v>
      </c>
      <c r="G194" s="760"/>
      <c r="H194" s="743" t="s">
        <v>4473</v>
      </c>
      <c r="I194" s="761">
        <f>IF(LogTestMat6=TRUE,FSComm6,0)</f>
        <v>0</v>
      </c>
      <c r="J194" s="761">
        <f>IF(LogTestMat7=TRUE,FSComm7,0)</f>
        <v>0</v>
      </c>
      <c r="K194" s="761">
        <f>IF(LogTestMat8=TRUE,FSComm8,0)</f>
        <v>0</v>
      </c>
      <c r="L194" s="761">
        <f>IF(LogTestMat9=TRUE,FSComm9,0)</f>
        <v>0</v>
      </c>
      <c r="M194" s="761">
        <f>IF(LogTestMat10=TRUE,FSComm10,0)</f>
        <v>0</v>
      </c>
    </row>
    <row r="195" spans="1:13">
      <c r="A195" s="576" t="s">
        <v>3288</v>
      </c>
      <c r="B195" s="762">
        <f>CostAdjuster1</f>
        <v>0</v>
      </c>
      <c r="C195" s="762">
        <f>CostAdjuster12</f>
        <v>0</v>
      </c>
      <c r="D195" s="762">
        <f>CostAdjuster13</f>
        <v>0</v>
      </c>
      <c r="E195" s="762">
        <f>CostAdjuster14</f>
        <v>0</v>
      </c>
      <c r="F195" s="762">
        <f>CostAdjuster15</f>
        <v>0</v>
      </c>
      <c r="G195" s="112"/>
      <c r="H195" s="576" t="s">
        <v>3288</v>
      </c>
      <c r="I195" s="763">
        <f>CostAdjuster2</f>
        <v>0</v>
      </c>
      <c r="J195" s="763">
        <f>CostAdjuster22</f>
        <v>0</v>
      </c>
      <c r="K195" s="763">
        <f>CostAdjuster23</f>
        <v>0</v>
      </c>
      <c r="L195" s="763">
        <f>CostAdjuster24</f>
        <v>0</v>
      </c>
      <c r="M195" s="763">
        <f>CostAdjuster25</f>
        <v>0</v>
      </c>
    </row>
    <row r="196" spans="1:13">
      <c r="A196" s="576" t="s">
        <v>4200</v>
      </c>
      <c r="B196" s="762">
        <f>IF(LogTestMat1=TRUE,FSFinalMatCost1+FSFinalBOCost1+FSFinalPressCost1+FSFinTMCost1+FSLaborCost1+FSMinCost1+FSMaintCost1+FSPackCost1+FSCostAdj1+FSRobotCost1,0)</f>
        <v>36.67653698979592</v>
      </c>
      <c r="C196" s="762">
        <f>IF(LogTestMat2=TRUE,FSFinalMatCost2+FSFinalBOCost2+FSFinalPressCost2+FSFinTMCost2+FSLaborCost2+FSMinCost2+FSMaintCost2+FSPackCost2+FSCostAdj2 +FSRobotCost2,0)</f>
        <v>0</v>
      </c>
      <c r="D196" s="762">
        <f>IF(LogTestMat3=TRUE,FSFinalMatCost3+FSFinalBOCost3+FSFinalPressCost3+FSFinTMCost3+FSLaborCost3+FSMinCost3+FSMaintCost3+FSPackCost3+FSCostAdj3 +FSRobotCost3,0)</f>
        <v>0</v>
      </c>
      <c r="E196" s="762">
        <f>IF(LogTestMat4=TRUE,FSFinalMatCost4+FSFinalBOCost4+FSFinalPressCost4+FSFinTMCost4+FSLaborCost4+FSMinCost4+FSMaintCost4+FSPackCost4+FSCostAdj4 +FSRobotCost4,0)</f>
        <v>0</v>
      </c>
      <c r="F196" s="762">
        <f>IF(LogTestMat5=TRUE,FSFinalMatCost5+FSFinalBOCost5+FSFinalPressCost5+FSFinTMCost5+FSLaborCost5+FSMinCost5+FSMaintCost5+FSPackCost5+FSCostAdj5 +FSRobotCost5,0)</f>
        <v>0</v>
      </c>
      <c r="G196" s="112"/>
      <c r="H196" s="576" t="s">
        <v>4200</v>
      </c>
      <c r="I196" s="762">
        <f>IF(LogTestMat6=TRUE,FSFinalMatCost6+FSFinalBOCost6+FSFinalPressCost6+FSFinTMCost6+FSLaborCost6+FSMinCost6+FSMaintCost6+FSPackCost6+FSCostAdj6 +FSRobotCost6,0)</f>
        <v>0</v>
      </c>
      <c r="J196" s="762">
        <f>IF(LogTestMat7=TRUE,FSFinalMatCost7+FSFinalBOCost7+FSFinalPressCost7+FSFinTMCost7+FSLaborCost7+FSMinCost7+FSMaintCost7+FSPackCost7+FSCostAdj7 +FSRobotCost7,0)</f>
        <v>0</v>
      </c>
      <c r="K196" s="762">
        <f>IF(LogTestMat8=TRUE,FSFinalMatCost8+FSFinalBOCost8+FSFinalPressCost8+FSFinTMCost8+FSLaborCost8+FSMinCost8+FSMaintCost8+FSPackCost8+FSCostAdj8 +FSRobotCost8,0)</f>
        <v>0</v>
      </c>
      <c r="L196" s="762">
        <f>IF(LogTestMat9=TRUE,FSFinalMatCost9+FSFinalBOCost9+FSFinalPressCost9+FSFinTMCost9+FSLaborCost9+FSMinCost9+FSMaintCost9+FSPackCost9+FSCostAdj9 +FSRobotCost9,0)</f>
        <v>0</v>
      </c>
      <c r="M196" s="762">
        <f>IF(LogTestMat10=TRUE,FSFinalMatCost10+FSFinalBOCost10+FSFinalPressCost10+FSFinTMCost10+FSLaborCost10+FSMinCost10+FSMaintCost10+FSPackCost10+FSCostAdj10 +FSRobotCost10,0)</f>
        <v>0</v>
      </c>
    </row>
    <row r="197" spans="1:13">
      <c r="A197" s="576" t="s">
        <v>2826</v>
      </c>
      <c r="B197" s="762">
        <f>PriceAdjuster1</f>
        <v>0</v>
      </c>
      <c r="C197" s="762">
        <f>PriceAdjuster12</f>
        <v>0</v>
      </c>
      <c r="D197" s="762">
        <f>PriceAdjuster13</f>
        <v>0</v>
      </c>
      <c r="E197" s="762">
        <f>PriceAdjuster14</f>
        <v>0</v>
      </c>
      <c r="F197" s="762">
        <f>PriceAdjuster15</f>
        <v>0</v>
      </c>
      <c r="G197" s="112"/>
      <c r="H197" s="576" t="s">
        <v>2826</v>
      </c>
      <c r="I197" s="763">
        <f>PriceAdjuster2</f>
        <v>0</v>
      </c>
      <c r="J197" s="763">
        <f>PriceAdjuster22</f>
        <v>0</v>
      </c>
      <c r="K197" s="763">
        <f>PriceAdjuster23</f>
        <v>0</v>
      </c>
      <c r="L197" s="763">
        <f>PriceAdjuster24</f>
        <v>0</v>
      </c>
      <c r="M197" s="763">
        <f>PriceAdjuster25</f>
        <v>0</v>
      </c>
    </row>
    <row r="198" spans="1:13">
      <c r="A198" s="576" t="s">
        <v>410</v>
      </c>
      <c r="B198" s="804">
        <f>IF(LogTestMat1=TRUE, (FSFinalMatPrice1+FSFinalBOPrice1+FSFinalPressPrice1+FSFinTMPrice1+FSLaborPrice1+FSMinPrice1+FSMaintPrice1+FSPackPrice1+FSPriceAdj1+FSRobotPrice1),0)</f>
        <v>50.058811450892847</v>
      </c>
      <c r="C198" s="804">
        <f>IF(LogTestMat2=TRUE,  (FSFinalMatPrice2+FSFinalBOPrice2+FSFinalPressPrice2+FSFinTMPrice2+FSLaborPrice2+FSMinPrice2+FSMaintPrice2+FSPackPrice2+FSPriceAdj2+FSRobotPrice2),0)</f>
        <v>0</v>
      </c>
      <c r="D198" s="804">
        <f>IF(LogTestMat3=TRUE,  (FSFinalMatPrice3+FSFinalBOPrice3+FSFinalPressPrice3+FSFinTMPrice3+FSLaborPrice3+FSMinPrice3+FSMaintPrice3+FSPackPrice3+FSPriceAdj3+FSRobotPrice3),0)</f>
        <v>0</v>
      </c>
      <c r="E198" s="804">
        <f>IF(LogTestMat4=TRUE,  (FSFinalMatPrice4+FSFinalBOPrice4+FSFinalPressPrice4+FSFinTMPrice4+FSLaborPrice4+FSMinPrice4+FSMaintPrice4+FSPackPrice4+FSPriceAdj4+FSRobotPrice4),0)</f>
        <v>0</v>
      </c>
      <c r="F198" s="804">
        <f>IF(LogTestMat5=TRUE,  (FSFinalMatPrice5+FSFinalBOPrice5+FSFinalPressPrice5+FSFinTMPrice5+FSLaborPrice5+FSMinPrice5+FSMaintPrice5+FSPackPrice5+FSPriceAdj5+FSRobotPrice5),0)</f>
        <v>0</v>
      </c>
      <c r="G198" s="112"/>
      <c r="H198" s="576" t="s">
        <v>410</v>
      </c>
      <c r="I198" s="804">
        <f>IF(LogTestMat6=TRUE, (FSFinalMatPrice6+FSFinalBOPrice6+FSFinalPressPrice6+FSFinTMPrice6+FSLaborPrice6+FSMinPrice6+FSMaintPrice6+FSPackPrice6+FSPriceAdj6+FSRobotPrice6),0)</f>
        <v>0</v>
      </c>
      <c r="J198" s="804">
        <f>IF(LogTestMat7=TRUE,  (FSFinalMatPrice7+FSFinalBOPrice7+FSFinalPressPrice7+FSFinTMPrice7+FSLaborPrice7+FSMinPrice7+FSMaintPrice7+FSPackPrice7+FSPriceAdj7+FSRobotPrice7),0)</f>
        <v>0</v>
      </c>
      <c r="K198" s="804">
        <f>IF(LogTestMat8=TRUE,  (FSFinalMatPrice8+FSFinalBOPrice8+FSFinalPressPrice8+FSFinTMPrice8+FSLaborPrice8+FSMinPrice8+FSMaintPrice8+FSPackPrice8+FSPriceAdj8+FSRobotPrice8),0)</f>
        <v>0</v>
      </c>
      <c r="L198" s="804">
        <f>IF(LogTestMat9=TRUE,  (FSFinalMatPrice9+FSFinalBOPrice9+FSFinalPressPrice9+FSFinTMPrice9+FSLaborPrice9+FSMinPrice9+FSMaintPrice9+FSPackPrice9+FSPriceAdj9+FSRobotPrice9),0)</f>
        <v>0</v>
      </c>
      <c r="M198" s="804">
        <f>IF(LogTestMat10=TRUE,  (FSFinalMatPrice10+FSFinalBOPrice10+FSFinalPressPrice10+FSFinTMPrice10+FSLaborPrice10+FSMinPrice10+FSMaintPrice10+FSPackPrice10+FSPriceAdj10+FSRobotPrice10),0)</f>
        <v>0</v>
      </c>
    </row>
    <row r="199" spans="1:13">
      <c r="A199" s="576" t="s">
        <v>3955</v>
      </c>
      <c r="B199" s="764">
        <f>IF(AND(LogTestMat1=TRUE,FSTargetMar1=0, FSReduction1=0), PrePr1,0)</f>
        <v>50.058811450892847</v>
      </c>
      <c r="C199" s="764">
        <f>IF(AND(LogTestMat2=TRUE,FSTargetMar2=0, FSReduction2=0), PrePr2,0)</f>
        <v>0</v>
      </c>
      <c r="D199" s="764">
        <f>IF(AND(LogTestMat3=TRUE,FSTargetMar3=0, FSReduction3=0), PrePr3,0)</f>
        <v>0</v>
      </c>
      <c r="E199" s="764">
        <f>IF(AND(LogTestMat4=TRUE,FSTargetMar4=0, FSReduction4=0), PrePr4,0)</f>
        <v>0</v>
      </c>
      <c r="F199" s="764">
        <f>IF(AND(LogTestMat5=TRUE,FSTargetMar5=0, FSReduction5=0), PrePr5,0)</f>
        <v>0</v>
      </c>
      <c r="G199" s="112"/>
      <c r="H199" s="576" t="s">
        <v>3955</v>
      </c>
      <c r="I199" s="764">
        <f>IF(AND(LogTestMat6=TRUE,FSTargetMar6=0, FSReduction6=0), PrePr6,0)</f>
        <v>0</v>
      </c>
      <c r="J199" s="764">
        <f>IF(AND(LogTestMat7=TRUE,FSTargetMar7=0, FSReduction7=0), PrePr7,0)</f>
        <v>0</v>
      </c>
      <c r="K199" s="764">
        <f>IF(AND(LogTestMat8=TRUE,FSTargetMar8=0, FSReduction8=0), PrePr8,0)</f>
        <v>0</v>
      </c>
      <c r="L199" s="764">
        <f>IF(AND(LogTestMat9=TRUE,FSTargetMar9=0, FSReduction9=0), PrePr9,0)</f>
        <v>0</v>
      </c>
      <c r="M199" s="764">
        <f>IF(AND(LogTestMat10=TRUE,FSTargetMar10=0, FSReduction10=0), PrePr10,0)</f>
        <v>0</v>
      </c>
    </row>
    <row r="200" spans="1:13">
      <c r="A200" s="576" t="s">
        <v>4411</v>
      </c>
      <c r="B200" s="764">
        <f>IF(FSTargetMar1&gt;0,FSMfgCost1/(1-FSTargetMar1),0)</f>
        <v>0</v>
      </c>
      <c r="C200" s="764">
        <f>IF(FSTargetMar2&gt;0,FSMfgCost2/(1-FSTargetMar2),0)</f>
        <v>0</v>
      </c>
      <c r="D200" s="764">
        <f>IF(FSTargetMar3&gt;0,FSMfgCost3/(1-FSTargetMar3),0)</f>
        <v>0</v>
      </c>
      <c r="E200" s="764">
        <f>IF(FSTargetMar4&gt;0,FSMfgCost4/(1-FSTargetMar4),0)</f>
        <v>0</v>
      </c>
      <c r="F200" s="764">
        <f>IF(FSTargetMar5&gt;0,FSMfgCost5/(1-FSTargetMar5),0)</f>
        <v>0</v>
      </c>
      <c r="G200" s="112"/>
      <c r="H200" s="576" t="s">
        <v>4411</v>
      </c>
      <c r="I200" s="764">
        <f>IF(FSTargetMar6&gt;0,FSMfgCost6/(1-FSTargetMar6),0)</f>
        <v>0</v>
      </c>
      <c r="J200" s="764">
        <f>IF(FSTargetMar7&gt;0,FSMfgCost7/(1-FSTargetMar7),0)</f>
        <v>0</v>
      </c>
      <c r="K200" s="764">
        <f>IF(FSTargetMar8&gt;0,FSMfgCost8/(1-FSTargetMar8),0)</f>
        <v>0</v>
      </c>
      <c r="L200" s="764">
        <f>IF(FSTargetMar9&gt;0,FSMfgCost9/(1-FSTargetMar9),0)</f>
        <v>0</v>
      </c>
      <c r="M200" s="764">
        <f>IF(FSTargetMar10&gt;0,FSMfgCost10/(1-FSTargetMar10),0)</f>
        <v>0</v>
      </c>
    </row>
    <row r="201" spans="1:13">
      <c r="A201" s="576" t="s">
        <v>409</v>
      </c>
      <c r="B201" s="764">
        <f>IF(FSReduction1&gt;0, FSPrePr2/(1-FSReduction1),  PrePr1)</f>
        <v>50.058811450892847</v>
      </c>
      <c r="C201" s="764">
        <f>IF(FSReduction2&gt;0, FSPrePr3/(1-FSReduction2),PrePr2)</f>
        <v>0</v>
      </c>
      <c r="D201" s="764">
        <f>IF(FSReduction3&gt;0, FSPrePr4/(1-FSReduction3),PrePr3)</f>
        <v>0</v>
      </c>
      <c r="E201" s="764">
        <f>IF(FSReduction4&gt;0, FSPrePr5/(1-FSReduction4),  PrePr4)</f>
        <v>0</v>
      </c>
      <c r="F201" s="764">
        <f>IF(FSReduction5&gt;0, FSPrePr6/(1-FSReduction5),  PrePr5 )</f>
        <v>0</v>
      </c>
      <c r="G201" s="112"/>
      <c r="H201" s="576" t="s">
        <v>409</v>
      </c>
      <c r="I201" s="764">
        <f>IF(FSReduction6&gt;0, FSPrePr7/(1-FSReduction6),  PrePr6)</f>
        <v>0</v>
      </c>
      <c r="J201" s="764">
        <f>IF(FSReduction7&gt;0, FSPrePr8/(1-FSReduction7),  PrePr7)</f>
        <v>0</v>
      </c>
      <c r="K201" s="764">
        <f>IF(FSReduction8&gt;0, FSPrePr9/(1-FSReduction8),  PrePr8)</f>
        <v>0</v>
      </c>
      <c r="L201" s="764">
        <f>IF(FSReduction9&gt;0, FSPrePr10/(1-FSReduction9),  PrePr9)</f>
        <v>0</v>
      </c>
      <c r="M201" s="764">
        <f>IF(FSReduction10&gt;0, FSPrePr10/(1-FSReduction10),  PrePr10)</f>
        <v>0</v>
      </c>
    </row>
    <row r="202" spans="1:13">
      <c r="A202" s="576" t="s">
        <v>2805</v>
      </c>
      <c r="B202" s="764">
        <f>IF(AND(LogTestMat1=TRUE,FSTargetMar1=0, FSReduction1=0), FSPrePrWO1,0) + IF(AND(LogTestMat1=TRUE,FSTargetMar1&gt;0, FSReduction1=0),  PrePr21, 0) + IF(AND(LogTestMat1=TRUE,FSTargetMar1=0, FSReduction1&gt; 0), FSPrePr1, 0)</f>
        <v>50.058811450892847</v>
      </c>
      <c r="C202" s="764">
        <f>IF(AND(LogTestMat2=TRUE,FSTargetMar2=0,FSReduction2=0),FSPrePrWO2,0)+IF(AND(LogTestMat2=TRUE,FSTargetMar2&gt;0,FSReduction2=0),PrePr22,0) +IF(AND(LogTestMat2=TRUE,FSReduction2&gt;0,FSTargetMar2=0),FSPrePr2,0)</f>
        <v>0</v>
      </c>
      <c r="D202" s="764">
        <f>IF(AND(LogTestMat3=TRUE,FSTargetMar3=0, FSReduction3=0), FSPrePrWO3,0) + IF(AND(LogTestMat3=TRUE,FSTargetMar3&gt;0, FSReduction3=0),  PrePr23, 0) + IF(AND(LogTestMat3=TRUE,FSTargetMar3=0, FSReduction3&gt; 0), FSPrePr3, 0)</f>
        <v>0</v>
      </c>
      <c r="E202" s="764">
        <f>IF(AND(LogTestMat4=TRUE,FSTargetMar4=0, FSReduction4=0), FSPrePrWO4,0) + IF(AND(LogTestMat4=TRUE,FSTargetMar4&gt;0, FSReduction4=0),  PrePr24, 0) + IF(AND(LogTestMat4=TRUE,FSTargetMar4=0, FSReduction4&gt; 0), FSPrePr4, 0)</f>
        <v>0</v>
      </c>
      <c r="F202" s="764">
        <f>IF(AND(LogTestMat5=TRUE,FSTargetMar5=0, FSReduction5=0), FSPrePrWO5,0) + IF(AND(LogTestMat5=TRUE,FSTargetMar5&gt;0, FSReduction5=0),  PrePr25, 0) + IF(AND(LogTestMat5=TRUE,FSTargetMar5=0, FSReduction5&gt; 0), FSPrePr5, 0)</f>
        <v>0</v>
      </c>
      <c r="G202" s="112"/>
      <c r="H202" s="576" t="s">
        <v>2805</v>
      </c>
      <c r="I202" s="764">
        <f>IF(AND(LogTestMat6=TRUE,FSTargetMar6=0, FSReduction6=0), FSPrePrWO6,0) + IF(AND(LogTestMat6=TRUE,FSTargetMar6&gt;0, FSReduction6=0),  PrePr26, 0) + IF(AND(LogTestMat6=TRUE,FSTargetMar6=0, FSReduction6&gt; 0), FSPrePr6, 0)</f>
        <v>0</v>
      </c>
      <c r="J202" s="764">
        <f>IF(AND(LogTestMat7=TRUE,FSTargetMar7=0, FSReduction7=0), FSPrePrWO7,0) + IF(AND(LogTestMat7=TRUE,FSTargetMar7&gt;0, FSReduction7=0),  PrePr27, 0) + IF(AND(LogTestMat7=TRUE,FSTargetMar7=0, FSReduction7&gt; 0), FSPrePr7, 0)</f>
        <v>0</v>
      </c>
      <c r="K202" s="764">
        <f>IF(AND(LogTestMat8=TRUE,FSTargetMar8=0, FSReduction8=0), FSPrePrWO8,0) + IF(AND(LogTestMat8=TRUE,FSTargetMar8&gt;0, FSReduction8=0),  PrePr28, 0) + IF(AND(LogTestMat8=TRUE,FSTargetMar8=0, FSReduction8&gt; 0), FSPrePr8, 0)</f>
        <v>0</v>
      </c>
      <c r="L202" s="764">
        <f>IF(AND(LogTestMat9=TRUE,FSTargetMar9=0, FSReduction9=0), FSPrePrWO9,0) + IF(AND(LogTestMat9=TRUE,FSTargetMar9&gt;0, FSReduction9=0),  PrePr29, 0) + IF(AND(LogTestMat9=TRUE,FSTargetMar9=0, FSReduction9&gt; 0), FSPrePr9, 0)</f>
        <v>0</v>
      </c>
      <c r="M202" s="764">
        <f>IF(AND(LogTestMat10=TRUE,FSTargetMar10=0, FSReduction10=0), FSPrePrWO10,0) + IF(AND(LogTestMat10=TRUE,FSTargetMar10&gt;0, FSReduction10=0),  PrePr210, 0) + IF(AND(LogTestMat10=TRUE,FSTargetMar10=0, FSReduction10&gt; 0), FSPrePr10, 0)</f>
        <v>0</v>
      </c>
    </row>
    <row r="203" spans="1:13">
      <c r="A203" s="576" t="s">
        <v>1625</v>
      </c>
      <c r="B203" s="731">
        <f>IF(LogTestMat1=TRUE,(FSPrice1-FSMfgCost1)/FSPrice1,0)</f>
        <v>0.26733104668745067</v>
      </c>
      <c r="C203" s="731">
        <f>IF(LogTestMat2=TRUE,(FSPrice2-FSMfgCost2)/FSPrice2,0)</f>
        <v>0</v>
      </c>
      <c r="D203" s="731">
        <f>IF(LogTestMat3=TRUE,(FSPrice3-FSMfgCost3)/FSPrice3,0)</f>
        <v>0</v>
      </c>
      <c r="E203" s="731">
        <f>IF(LogTestMat4=TRUE,(FSPrice4-FSMfgCost4)/FSPrice4,0)</f>
        <v>0</v>
      </c>
      <c r="F203" s="731">
        <f>IF(LogTestMat5=TRUE,(FSPrice5-FSMfgCost5)/FSPrice5,0)</f>
        <v>0</v>
      </c>
      <c r="G203" s="112"/>
      <c r="H203" s="576" t="s">
        <v>1625</v>
      </c>
      <c r="I203" s="731">
        <f>IF(LogTestMat6=TRUE,(FSPrice6-FSMfgCost6)/FSPrice6,0)</f>
        <v>0</v>
      </c>
      <c r="J203" s="731">
        <f>IF(LogTestMat7=TRUE,(FSPrice7-FSMfgCost7)/FSPrice7,0)</f>
        <v>0</v>
      </c>
      <c r="K203" s="731">
        <f>IF(LogTestMat8=TRUE,(FSPrice8-FSMfgCost8)/FSPrice8,0)</f>
        <v>0</v>
      </c>
      <c r="L203" s="731">
        <f>IF(LogTestMat9=TRUE,(FSPrice9-FSMfgCost9)/FSPrice9,0)</f>
        <v>0</v>
      </c>
      <c r="M203" s="731">
        <f>IF(LogTestMat10=TRUE,(FSPrice10-FSMfgCost10)/FSPrice10,0)</f>
        <v>0</v>
      </c>
    </row>
    <row r="204" spans="1:13">
      <c r="A204" s="593" t="s">
        <v>1626</v>
      </c>
      <c r="B204" s="765">
        <f>QETargetMar1</f>
        <v>0</v>
      </c>
      <c r="C204" s="765">
        <f>QETargetMar2</f>
        <v>0</v>
      </c>
      <c r="D204" s="765">
        <f>QETargetMar3</f>
        <v>0</v>
      </c>
      <c r="E204" s="765">
        <f>QETargetMar4</f>
        <v>0</v>
      </c>
      <c r="F204" s="765">
        <f>QETargetMar5</f>
        <v>0</v>
      </c>
      <c r="G204" s="112"/>
      <c r="H204" s="593" t="s">
        <v>1626</v>
      </c>
      <c r="I204" s="765">
        <f>QETargetMar6</f>
        <v>0</v>
      </c>
      <c r="J204" s="765">
        <f>QETargetMar7</f>
        <v>0</v>
      </c>
      <c r="K204" s="765">
        <f>QETargetMar8</f>
        <v>0</v>
      </c>
      <c r="L204" s="765">
        <f>QETargetMar9</f>
        <v>0</v>
      </c>
      <c r="M204" s="765">
        <f>QETargetMar10</f>
        <v>0</v>
      </c>
    </row>
    <row r="205" spans="1:13">
      <c r="A205" s="576" t="s">
        <v>3843</v>
      </c>
      <c r="B205" s="764">
        <f>IF(LogTestMat1=TRUE,FSPrice1+FSCommVal1+FSAmortDol1,0)</f>
        <v>52.693485737781941</v>
      </c>
      <c r="C205" s="764">
        <f>IF(LogTestMat2=TRUE,FSPrice2+FSCommVal2+FSAmortDol2,0)</f>
        <v>0</v>
      </c>
      <c r="D205" s="764">
        <f>IF(LogTestMat3=TRUE,FSPrice3+FSCommVal3+FSAmortDol3,0)</f>
        <v>0</v>
      </c>
      <c r="E205" s="764">
        <f>IF(LogTestMat4=TRUE,FSPrice4+FSCommVal4+FSAmortDol4,0)</f>
        <v>0</v>
      </c>
      <c r="F205" s="764">
        <f>IF(LogTestMat5=TRUE,FSPrice5+FSCommVal5+FSAmortDol5,0)</f>
        <v>0</v>
      </c>
      <c r="G205" s="112"/>
      <c r="H205" s="576" t="s">
        <v>3843</v>
      </c>
      <c r="I205" s="764">
        <f>IF(LogTestMat6=TRUE,FSPrice6+FSCommVal6+FSAmortDol6,0)</f>
        <v>0</v>
      </c>
      <c r="J205" s="764">
        <f>IF(LogTestMat7=TRUE,FSPrice7+FSCommVal7+FSAmortDol7,0)</f>
        <v>0</v>
      </c>
      <c r="K205" s="764">
        <f>IF(LogTestMat8=TRUE,FSPrice8+FSCommVal8+FSAmortDol8,0)</f>
        <v>0</v>
      </c>
      <c r="L205" s="764">
        <f>IF(LogTestMat9=TRUE,FSPrice9+FSCommVal9+FSAmortDol9,0)</f>
        <v>0</v>
      </c>
      <c r="M205" s="764">
        <f>IF(LogTestMat10=TRUE,FSPrice10+FSCommVal10+FSAmortDol10,0)</f>
        <v>0</v>
      </c>
    </row>
    <row r="206" spans="1:13">
      <c r="A206" s="766" t="s">
        <v>1328</v>
      </c>
      <c r="B206" s="767">
        <f>QEReduction1</f>
        <v>0</v>
      </c>
      <c r="C206" s="767">
        <f>QEReduction2</f>
        <v>0</v>
      </c>
      <c r="D206" s="767">
        <f>QEReduction3</f>
        <v>0</v>
      </c>
      <c r="E206" s="767">
        <f>QEReduction4</f>
        <v>0</v>
      </c>
      <c r="F206" s="767">
        <f>QEReduction5</f>
        <v>0</v>
      </c>
      <c r="G206" s="112"/>
      <c r="H206" s="766" t="s">
        <v>1328</v>
      </c>
      <c r="I206" s="767">
        <f>QEReduction6</f>
        <v>0</v>
      </c>
      <c r="J206" s="767">
        <f>QEReduction7</f>
        <v>0</v>
      </c>
      <c r="K206" s="767">
        <f>QEReduction8</f>
        <v>0</v>
      </c>
      <c r="L206" s="767">
        <f>QEReduction9</f>
        <v>0</v>
      </c>
      <c r="M206" s="767">
        <f>QEReduction10</f>
        <v>0</v>
      </c>
    </row>
    <row r="207" spans="1:13">
      <c r="A207" s="766" t="s">
        <v>1329</v>
      </c>
      <c r="B207" s="764">
        <f>IF(AND(Quantity1&gt;0, FSReduction1&gt;0),FSFinalPrice2/(1-FSReduction1),FSFinalPrice1)</f>
        <v>52.693485737781941</v>
      </c>
      <c r="C207" s="764">
        <f>IF(AND(Quantity2&gt;0, FSReduction2&gt;0), FSFinalPrice3/(1-FSReduction2),FSFinalPrice2)</f>
        <v>0</v>
      </c>
      <c r="D207" s="764">
        <f>IF(AND(Quantity3&gt;0, FSReduction3&gt;0),FSFinalPrice4/(1-FSReduction3),FSFinalPrice3)</f>
        <v>0</v>
      </c>
      <c r="E207" s="764">
        <f>IF(AND(Quantity4&gt;0, FSReduction4&gt;0),FSFinalPrice5/(1-FSReduction4),FSFinalPrice4)</f>
        <v>0</v>
      </c>
      <c r="F207" s="764">
        <f>IF(AND(Quantity5&gt;0, FSReduction5&gt;0),FSFinalPrice6/(1-FSReduction5),FSFinalPrice5)</f>
        <v>0</v>
      </c>
      <c r="G207" s="112"/>
      <c r="H207" s="766" t="s">
        <v>1329</v>
      </c>
      <c r="I207" s="764">
        <f>IF(AND(Quantity6&gt;0, FSReduction6&gt;0),FSFinalPrice7/(1-FSReduction6),FSFinalPrice6)</f>
        <v>0</v>
      </c>
      <c r="J207" s="764">
        <f>IF(AND(Quantity7&gt;0, FSReduction7&gt;0),FSFinalPrice8/(1-FSReduction7),FSFinalPrice7)</f>
        <v>0</v>
      </c>
      <c r="K207" s="764">
        <f>IF(AND(Quantity8&gt;0, FSReduction8&gt;0),FSFinalPrice9/(1-FSReduction8),FSFinalPrice8)</f>
        <v>0</v>
      </c>
      <c r="L207" s="764">
        <f>IF(AND(Quantity9&gt;0, FSReduction9&gt;0),FSFinalPrice10/(1-FSReduction9),FSFinalPrice9)</f>
        <v>0</v>
      </c>
      <c r="M207" s="764">
        <f>IF(AND(Quantity10&gt;0, FSReduction10&gt;0),FSRevisedFinalPrice10/(1-FSReduction10),FSFinalPrice10)</f>
        <v>0</v>
      </c>
    </row>
    <row r="208" spans="1:13">
      <c r="A208" s="766" t="s">
        <v>1330</v>
      </c>
      <c r="B208" s="731">
        <f>IF(LogTestMat1=TRUE,(FSPrice1-FSMfgCost1)/FSPrice1,0)</f>
        <v>0.26733104668745067</v>
      </c>
      <c r="C208" s="731">
        <f>IF(LogTestMat2=TRUE,(FSPrice2-FSMfgCost2)/FSPrice2,0)</f>
        <v>0</v>
      </c>
      <c r="D208" s="731">
        <f>IF(LogTestMat3=TRUE,(FSPrice3-FSMfgCost3)/FSPrice3,0)</f>
        <v>0</v>
      </c>
      <c r="E208" s="731">
        <f>IF(LogTestMat4=TRUE,(FSPrice4-FSMfgCost4)/FSPrice4,0)</f>
        <v>0</v>
      </c>
      <c r="F208" s="731">
        <f>IF(LogTestMat5=TRUE,(FSPrice5-FSMfgCost5)/FSPrice5,0)</f>
        <v>0</v>
      </c>
      <c r="G208" s="112"/>
      <c r="H208" s="766" t="s">
        <v>1330</v>
      </c>
      <c r="I208" s="731">
        <f>IF(LogTestMat6=TRUE,(FSPrice6-FSMfgCost6)/FSPrice6,0)</f>
        <v>0</v>
      </c>
      <c r="J208" s="731">
        <f>IF(LogTestMat7=TRUE,(FSPrice7-FSMfgCost7)/FSPrice7,0)</f>
        <v>0</v>
      </c>
      <c r="K208" s="731">
        <f>IF(LogTestMat8=TRUE,(FSPrice8-FSMfgCost8)/FSPrice8,0)</f>
        <v>0</v>
      </c>
      <c r="L208" s="731">
        <f>IF(LogTestMat9=TRUE,(FSPrice9-FSMfgCost9)/FSPrice9,0)</f>
        <v>0</v>
      </c>
      <c r="M208" s="731">
        <f>IF(LogTestMat10=TRUE,(FSPrice10-FSMfgCost10)/FSPrice10,0)</f>
        <v>0</v>
      </c>
    </row>
    <row r="209" spans="1:13">
      <c r="A209" s="743" t="s">
        <v>3847</v>
      </c>
      <c r="B209" s="731">
        <f>IF(LogTestMat1=TRUE,(FSFinalMatCost1)/(FSPrice1-FSMinPrice1),0)</f>
        <v>0.26500249926457953</v>
      </c>
      <c r="C209" s="731">
        <f>IF(LogTestMat2=TRUE,(FSFinalMatCost2)/(FSPrice2-FSMinPrice2),0)</f>
        <v>0</v>
      </c>
      <c r="D209" s="731">
        <f>IF(LogTestMat3=TRUE,(FSFinalMatCost3)/(FSPrice3-FSMinPrice3),0)</f>
        <v>0</v>
      </c>
      <c r="E209" s="731">
        <f>IF(LogTestMat4=TRUE,(FSFinalMatCost4)/(FSPrice4-FSMinPrice4),0)</f>
        <v>0</v>
      </c>
      <c r="F209" s="731">
        <f>IF(LogTestMat5=TRUE,(FSFinalMatCost5)/(FSPrice5-FSMinPrice5),0)</f>
        <v>0</v>
      </c>
      <c r="H209" s="743" t="s">
        <v>3847</v>
      </c>
      <c r="I209" s="731">
        <f>IF(LogTestMat6=TRUE,(FSFinalMatCost6)/(FSPrice6-FSMinPrice6),0)</f>
        <v>0</v>
      </c>
      <c r="J209" s="731">
        <f>IF(LogTestMat7=TRUE,(FSFinalMatCost7)/(FSPrice7-FSMinPrice7),0)</f>
        <v>0</v>
      </c>
      <c r="K209" s="731">
        <f>IF(LogTestMat8=TRUE,(FSFinalMatCost8)/(FSPrice8-FSMinPrice8),0)</f>
        <v>0</v>
      </c>
      <c r="L209" s="731">
        <f>IF(LogTestMat9=TRUE,(FSFinalMatCost9)/(FSPrice9-FSMinPrice9),0)</f>
        <v>0</v>
      </c>
      <c r="M209" s="731">
        <f>IF(LogTestMat10=TRUE,(FSFinalMatCost10)/(FSPrice10-FSMinPrice10),0)</f>
        <v>0</v>
      </c>
    </row>
    <row r="210" spans="1:13">
      <c r="A210" s="743" t="s">
        <v>649</v>
      </c>
      <c r="B210" s="731">
        <f>IF(LogTestMat1=TRUE,(FSFinalBOCost1)/(FSPrice1-FSMinPrice1),0)</f>
        <v>0</v>
      </c>
      <c r="C210" s="731">
        <f>IF(LogTestMat2=TRUE,(FSFinalBOCost2)/(FSPrice2-FSMinPrice2),0)</f>
        <v>0</v>
      </c>
      <c r="D210" s="731">
        <f>IF(LogTestMat3=TRUE,(FSFinalBOCost3)/(FSPrice3-FSMinPrice3),0)</f>
        <v>0</v>
      </c>
      <c r="E210" s="731">
        <f>IF(LogTestMat4=TRUE,(FSFinalBOCost4)/(FSPrice4-FSMinPrice4),0)</f>
        <v>0</v>
      </c>
      <c r="F210" s="731">
        <f>IF(LogTestMat5=TRUE,(FSFinalBOCost5)/(FSPrice5-FSMinPrice5),0)</f>
        <v>0</v>
      </c>
      <c r="H210" s="743" t="s">
        <v>649</v>
      </c>
      <c r="I210" s="731">
        <f>IF(LogTestMat6=TRUE,(FSFinalBOCost6)/(FSPrice6-FSMinPrice6),0)</f>
        <v>0</v>
      </c>
      <c r="J210" s="731">
        <f>IF(LogTestMat7=TRUE,(FSFinalBOCost7)/(FSPrice7-FSMinPrice7),0)</f>
        <v>0</v>
      </c>
      <c r="K210" s="731">
        <f>IF(LogTestMat8=TRUE,(FSFinalBOCost8)/(FSPrice8-FSMinPrice8),0)</f>
        <v>0</v>
      </c>
      <c r="L210" s="731">
        <f>IF(LogTestMat9=TRUE,(FSFinalBOCost9)/(FSPrice9-FSMinPrice9),0)</f>
        <v>0</v>
      </c>
      <c r="M210" s="731">
        <f>IF(LogTestMat10=TRUE,(FSFinalBOCost10)/(FSPrice10-FSMinPrice10),0)</f>
        <v>0</v>
      </c>
    </row>
    <row r="211" spans="1:13">
      <c r="A211" s="743" t="s">
        <v>3632</v>
      </c>
      <c r="B211" s="731">
        <f>IF(LogTestMat1=TRUE,(FSFinalPressCost1)/(FSPrice1-FSMinPrice1),0)</f>
        <v>0.3786426137018461</v>
      </c>
      <c r="C211" s="731">
        <f>IF(LogTestMat2=TRUE,(FSFinalPressCost2)/(FSPrice2-FSMinPrice2),0)</f>
        <v>0</v>
      </c>
      <c r="D211" s="731">
        <f>IF(LogTestMat3=TRUE,(FSFinalPressCost3)/(FSPrice3-FSMinPrice3),0)</f>
        <v>0</v>
      </c>
      <c r="E211" s="731">
        <f>IF(LogTestMat4=TRUE,(FSFinalPressCost4)/(FSPrice4-FSMinPrice4),0)</f>
        <v>0</v>
      </c>
      <c r="F211" s="731">
        <f>IF(LogTestMat5=TRUE,(FSFinalPressCost5)/(FSPrice5-FSMinPrice5),0)</f>
        <v>0</v>
      </c>
      <c r="H211" s="743" t="s">
        <v>3632</v>
      </c>
      <c r="I211" s="731">
        <f>IF(LogTestMat6=TRUE,(FSFinalPressCost6)/(FSPrice6-FSMinPrice6),0)</f>
        <v>0</v>
      </c>
      <c r="J211" s="731">
        <f>IF(LogTestMat7=TRUE,(FSFinalPressCost7)/(FSPrice7-FSMinPrice7),0)</f>
        <v>0</v>
      </c>
      <c r="K211" s="731">
        <f>IF(LogTestMat8=TRUE,(FSFinalPressCost8)/(FSPrice8-FSMinPrice8),0)</f>
        <v>0</v>
      </c>
      <c r="L211" s="731">
        <f>IF(LogTestMat9=TRUE,(FSFinalPressCost9)/(FSPrice9-FSMinPrice9),0)</f>
        <v>0</v>
      </c>
      <c r="M211" s="731">
        <f>IF(LogTestMat10=TRUE,(FSFinalPressCost10)/(FSPrice10-FSMinPrice10),0)</f>
        <v>0</v>
      </c>
    </row>
    <row r="212" spans="1:13">
      <c r="A212" s="743" t="s">
        <v>3633</v>
      </c>
      <c r="B212" s="731">
        <f>IF(LogTestMat1=TRUE,(FSFinTMCost1)/(FSPrice1-FSMinPrice1),0)</f>
        <v>3.5059501268689452E-2</v>
      </c>
      <c r="C212" s="731">
        <f>IF(LogTestMat2=TRUE,(FSFinTMCost2)/(FSPrice2-FSMinPrice2),0)</f>
        <v>0</v>
      </c>
      <c r="D212" s="731">
        <f>IF(LogTestMat3=TRUE,(FSFinTMCost3)/(FSPrice3-FSMinPrice3),0)</f>
        <v>0</v>
      </c>
      <c r="E212" s="731">
        <f>IF(LogTestMat4=TRUE,(FSFinTMCost4)/(FSPrice4-FSMinPrice4),0)</f>
        <v>0</v>
      </c>
      <c r="F212" s="731">
        <f>IF(LogTestMat5=TRUE,(FSFinTMCost5)/(FSPrice5-FSMinPrice5),0)</f>
        <v>0</v>
      </c>
      <c r="H212" s="743" t="s">
        <v>3633</v>
      </c>
      <c r="I212" s="731">
        <f>IF(LogTestMat6=TRUE,(FSFinTMCost6)/(FSPrice6-FSMinPrice6),0)</f>
        <v>0</v>
      </c>
      <c r="J212" s="731">
        <f>IF(LogTestMat7=TRUE,(FSFinTMCost7)/(FSPrice7-FSMinPrice7),0)</f>
        <v>0</v>
      </c>
      <c r="K212" s="731">
        <f>IF(LogTestMat8=TRUE,(FSFinTMCost8)/(FSPrice8-FSMinPrice8),0)</f>
        <v>0</v>
      </c>
      <c r="L212" s="731">
        <f>IF(LogTestMat9=TRUE,(FSFinTMCost9)/(FSPrice9-FSMinPrice9),0)</f>
        <v>0</v>
      </c>
      <c r="M212" s="731">
        <f>IF(LogTestMat10=TRUE,(FSFinTMCost10)/(FSPrice10-FSMinPrice10),0)</f>
        <v>0</v>
      </c>
    </row>
    <row r="213" spans="1:13">
      <c r="A213" s="743" t="s">
        <v>3634</v>
      </c>
      <c r="B213" s="731">
        <f>IF(LogTestMat1=TRUE,(FSLaborCost1)/(FSPrice1-FSMinPrice1),0)</f>
        <v>5.2199179891918746E-2</v>
      </c>
      <c r="C213" s="731">
        <f>IF(LogTestMat2=TRUE,(FSLaborCost2)/(FSPrice2-FSMinPrice2),0)</f>
        <v>0</v>
      </c>
      <c r="D213" s="731">
        <f>IF(LogTestMat3=TRUE,(FSLaborCost3)/(FSPrice3-FSMinPrice3),0)</f>
        <v>0</v>
      </c>
      <c r="E213" s="731">
        <f>IF(LogTestMat4=TRUE,(FSLaborCost4)/(FSPrice4-FSMinPrice4),0)</f>
        <v>0</v>
      </c>
      <c r="F213" s="731">
        <f>IF(LogTestMat5=TRUE,(FSLaborCost5)/(FSPrice5-FSMinPrice5),0)</f>
        <v>0</v>
      </c>
      <c r="H213" s="743" t="s">
        <v>3634</v>
      </c>
      <c r="I213" s="731">
        <f>IF(LogTestMat6=TRUE,(FSLaborCost6)/(FSPrice6-FSMinPrice6),0)</f>
        <v>0</v>
      </c>
      <c r="J213" s="731">
        <f>IF(LogTestMat7=TRUE,(FSLaborCost7)/(FSPrice7-FSMinPrice7),0)</f>
        <v>0</v>
      </c>
      <c r="K213" s="731">
        <f>IF(LogTestMat8=TRUE,(FSLaborCost8)/(FSPrice8-FSMinPrice8),0)</f>
        <v>0</v>
      </c>
      <c r="L213" s="731">
        <f>IF(LogTestMat9=TRUE,(FSLaborCost9)/(FSPrice9-FSMinPrice9),0)</f>
        <v>0</v>
      </c>
      <c r="M213" s="731">
        <f>IF(LogTestMat10=TRUE,(FSLaborCost10)/(FSPrice10-FSMinPrice10),0)</f>
        <v>0</v>
      </c>
    </row>
    <row r="214" spans="1:13">
      <c r="A214" s="743" t="s">
        <v>1147</v>
      </c>
      <c r="B214" s="731">
        <f>IF(LogTestMat1=TRUE,(FSMinCost1)/(FSPrice1-FSMinPrice1),0)</f>
        <v>7.5588284735294456E-2</v>
      </c>
      <c r="C214" s="731">
        <f>IF(LogTestMat2=TRUE,(FSMinCost2)/(FSPrice2-FSMinPrice2),0)</f>
        <v>0</v>
      </c>
      <c r="D214" s="731">
        <f>IF(LogTestMat3=TRUE,(FSMinCost3)/(FSPrice3-FSMinPrice3),0)</f>
        <v>0</v>
      </c>
      <c r="E214" s="731">
        <f>IF(LogTestMat4=TRUE,(FSMinCost4)/(FSPrice4-FSMinPrice4),0)</f>
        <v>0</v>
      </c>
      <c r="F214" s="731">
        <f>IF(LogTestMat5=TRUE,(FSMinCost5)/(FSPrice5-FSMinPrice5),0)</f>
        <v>0</v>
      </c>
      <c r="H214" s="743" t="s">
        <v>1147</v>
      </c>
      <c r="I214" s="731">
        <f>IF(LogTestMat6=TRUE,(FSMinCost6)/(FSPrice6-FSMinPrice6),0)</f>
        <v>0</v>
      </c>
      <c r="J214" s="731">
        <f>IF(LogTestMat7=TRUE,(FSMinCost7)/(FSPrice7-FSMinPrice7),0)</f>
        <v>0</v>
      </c>
      <c r="K214" s="731">
        <f>IF(LogTestMat8=TRUE,(FSMinCost8)/(FSPrice8-FSMinPrice8),0)</f>
        <v>0</v>
      </c>
      <c r="L214" s="731">
        <f>IF(LogTestMat9=TRUE,(FSMinCost9)/(FSPrice9-FSMinPrice9),0)</f>
        <v>0</v>
      </c>
      <c r="M214" s="731">
        <f>IF(LogTestMat10=TRUE,(FSMinCost10)/(FSPrice10-FSMinPrice10),0)</f>
        <v>0</v>
      </c>
    </row>
    <row r="215" spans="1:13">
      <c r="A215" s="743" t="s">
        <v>5431</v>
      </c>
      <c r="B215" s="731">
        <f>IF(LogTestMat1=TRUE,(FSMaintCost1)/(FSPrice1-FSMinPrice1),0)</f>
        <v>0</v>
      </c>
      <c r="C215" s="731">
        <f>IF(LogTestMat2=TRUE,(FSMaintCost2)/(FSPrice2-FSMinPrice2),0)</f>
        <v>0</v>
      </c>
      <c r="D215" s="731">
        <f>IF(LogTestMat3=TRUE,(FSMaintCost3)/(FSPrice3-FSMinPrice3),0)</f>
        <v>0</v>
      </c>
      <c r="E215" s="731">
        <f>IF(LogTestMat4=TRUE,(FSMaintCost4)/(FSPrice4-FSMinPrice4),0)</f>
        <v>0</v>
      </c>
      <c r="F215" s="731">
        <f>IF(LogTestMat5=TRUE,(FSMaintCost5)/(FSPrice5-FSMinPrice5),0)</f>
        <v>0</v>
      </c>
      <c r="H215" s="743" t="s">
        <v>5431</v>
      </c>
      <c r="I215" s="731">
        <f>IF(LogTestMat6=TRUE,(FSMaintCost6)/(FSPrice6-FSMinPrice6),0)</f>
        <v>0</v>
      </c>
      <c r="J215" s="731">
        <f>IF(LogTestMat7=TRUE,(FSMaintCost7)/(FSPrice7-FSMinPrice7),0)</f>
        <v>0</v>
      </c>
      <c r="K215" s="731">
        <f>IF(LogTestMat8=TRUE,(FSMaintCost8)/(FSPrice8-FSMinPrice8),0)</f>
        <v>0</v>
      </c>
      <c r="L215" s="731">
        <f>IF(LogTestMat9=TRUE,(FSMaintCost9)/(FSPrice9-FSMinPrice9),0)</f>
        <v>0</v>
      </c>
      <c r="M215" s="731">
        <f>IF(LogTestMat10=TRUE,(FSMaintCost10)/(FSPrice10-FSMinPrice10),0)</f>
        <v>0</v>
      </c>
    </row>
    <row r="216" spans="1:13">
      <c r="A216" s="743" t="s">
        <v>5430</v>
      </c>
      <c r="B216" s="731">
        <f>IF(LogTestMat1=TRUE,(FSRobotCost1)/(FSPrice1-FSMinPrice1),0)</f>
        <v>0</v>
      </c>
      <c r="C216" s="731">
        <f>IF(LogTestMat2=TRUE,(FSRobotCost2)/(FSPrice2-FSMinPrice2),0)</f>
        <v>0</v>
      </c>
      <c r="D216" s="731">
        <f>IF(LogTestMat3=TRUE,(FSRobotCost3)/(FSPrice3-FSMinPrice3),0)</f>
        <v>0</v>
      </c>
      <c r="E216" s="731">
        <f>IF(LogTestMat4=TRUE,(FSRobotCost4)/(FSPrice4-FSMinPrice4),0)</f>
        <v>0</v>
      </c>
      <c r="F216" s="731">
        <f>IF(LogTestMat5=TRUE,(FSRobotCost5)/(FSPrice5-FSMinPrice5),0)</f>
        <v>0</v>
      </c>
      <c r="H216" s="743" t="s">
        <v>5430</v>
      </c>
      <c r="I216" s="731">
        <f>IF(LogTestMat6=TRUE,(FSRobotCost6)/(FSPrice6-FSMinPrice6),0)</f>
        <v>0</v>
      </c>
      <c r="J216" s="731">
        <f>IF(LogTestMat7=TRUE,(FSRobotCost7)/(FSPrice7-FSMinPrice7),0)</f>
        <v>0</v>
      </c>
      <c r="K216" s="731">
        <f>IF(LogTestMat8=TRUE,(FSRobotCost8)/(FSPrice8-FSMinPrice8),0)</f>
        <v>0</v>
      </c>
      <c r="L216" s="731">
        <f>IF(LogTestMat9=TRUE,(FSRobotCost9)/(FSPrice9-FSMinPrice9),0)</f>
        <v>0</v>
      </c>
      <c r="M216" s="731">
        <f>IF(LogTestMat10=TRUE,(FSRobotCost10)/(FSPrice10-FSMinPrice10),0)</f>
        <v>0</v>
      </c>
    </row>
    <row r="217" spans="1:13">
      <c r="A217" s="743" t="s">
        <v>1148</v>
      </c>
      <c r="B217" s="731">
        <f>IF(LogTestMat1=TRUE,(FSPackCost1)/(FSPrice1-FSMinPrice1),0)</f>
        <v>0</v>
      </c>
      <c r="C217" s="731">
        <f>IF(LogTestMat2=TRUE,(FSPackCost2)/(FSPrice2-FSMinPrice2),0)</f>
        <v>0</v>
      </c>
      <c r="D217" s="731">
        <f>IF(LogTestMat3=TRUE,(FSPackCost3)/(FSPrice3-FSMinPrice3),0)</f>
        <v>0</v>
      </c>
      <c r="E217" s="731">
        <f>IF(LogTestMat4=TRUE,(FSPackCost4)/(FSPrice4-FSMinPrice4),0)</f>
        <v>0</v>
      </c>
      <c r="F217" s="731">
        <f>IF(LogTestMat5=TRUE,(FSPackCost5)/(FSPrice5-FSMinPrice5),0)</f>
        <v>0</v>
      </c>
      <c r="H217" s="743" t="s">
        <v>1148</v>
      </c>
      <c r="I217" s="731">
        <f>IF(LogTestMat6=TRUE,(FSPackCost6)/(FSPrice6-FSMinPrice6),0)</f>
        <v>0</v>
      </c>
      <c r="J217" s="731">
        <f>IF(LogTestMat7=TRUE,(FSPackCost7)/(FSPrice7-FSMinPrice7),0)</f>
        <v>0</v>
      </c>
      <c r="K217" s="731">
        <f>IF(LogTestMat8=TRUE,(FSPackCost8)/(FSPrice8-FSMinPrice8),0)</f>
        <v>0</v>
      </c>
      <c r="L217" s="731">
        <f>IF(LogTestMat9=TRUE,(FSPackCost9)/(FSPrice9-FSMinPrice9),0)</f>
        <v>0</v>
      </c>
      <c r="M217" s="731">
        <f>IF(LogTestMat10=TRUE,(FSPackCost10)/(FSPrice10-FSMinPrice10),0)</f>
        <v>0</v>
      </c>
    </row>
    <row r="218" spans="1:13">
      <c r="A218" s="743" t="s">
        <v>2247</v>
      </c>
      <c r="B218" s="1152">
        <f>IF(LogTestMat1=TRUE,((Quantity1/BaseQuantity)*FSFinalMatPrice1),0)</f>
        <v>8272.0940051020407</v>
      </c>
      <c r="C218" s="1152">
        <f>IF(LogTestMat2=TRUE,((Quantity2/BaseQuantity)*FSFinalMatPrice2),0)</f>
        <v>0</v>
      </c>
      <c r="D218" s="1152">
        <f>IF(LogTestMat3=TRUE,((Quantity3/BaseQuantity)*FSFinalMatPrice3),0)</f>
        <v>0</v>
      </c>
      <c r="E218" s="1152">
        <f>IF(LogTestMat4=TRUE,((Quantity4/BaseQuantity)*FSFinalMatPrice4),0)</f>
        <v>0</v>
      </c>
      <c r="F218" s="1152">
        <f>IF(LogTestMat5=TRUE,((Quantity5/BaseQuantity)*FSFinalMatPrice5),0)</f>
        <v>0</v>
      </c>
      <c r="H218" s="743" t="s">
        <v>2247</v>
      </c>
      <c r="I218" s="1152">
        <f>IF(LogTestMat6=TRUE,((Quantity6/BaseQuantity)*FSFinalMatPrice6),0)</f>
        <v>0</v>
      </c>
      <c r="J218" s="1152">
        <f>IF(LogTestMat7=TRUE,((Quantity7/BaseQuantity)*FSFinalMatPrice7),0)</f>
        <v>0</v>
      </c>
      <c r="K218" s="1152">
        <f>IF(LogTestMat8=TRUE,((Quantity8/BaseQuantity)*FSFinalMatPrice8),0)</f>
        <v>0</v>
      </c>
      <c r="L218" s="1152">
        <f>IF(LogTestMat9=TRUE,((Quantity9/BaseQuantity)*FSFinalMatPrice9),0)</f>
        <v>0</v>
      </c>
      <c r="M218" s="1152">
        <f>IF(LogTestMat10=TRUE,((Quantity10/BaseQuantity)*FSFinalMatPrice10),0)</f>
        <v>0</v>
      </c>
    </row>
    <row r="219" spans="1:13">
      <c r="A219" s="743" t="s">
        <v>2248</v>
      </c>
      <c r="B219" s="1152">
        <f>IF(FSFinalBOPrice1&gt;0,((Quantity1/BaseQuantity)*FSFinalBOPrice1),0)</f>
        <v>0</v>
      </c>
      <c r="C219" s="1152">
        <f>IF(FSFinalBOPrice2&gt;0,((Quantity2/BaseQuantity)*FSFinalBOPrice2),0)</f>
        <v>0</v>
      </c>
      <c r="D219" s="1152">
        <f>IF(FSFinalBOPrice3&gt;0,((Quantity3/BaseQuantity)*FSFinalBOPrice3),0)</f>
        <v>0</v>
      </c>
      <c r="E219" s="1152">
        <f>IF(FSFinalBOPrice4&gt;0,((Quantity4/BaseQuantity)*FSFinalBOPrice4),0)</f>
        <v>0</v>
      </c>
      <c r="F219" s="1152">
        <f>IF(FSFinalBOPrice5&gt;0,((Quantity5/BaseQuantity)*FSFinalBOPrice5),0)</f>
        <v>0</v>
      </c>
      <c r="H219" s="743" t="s">
        <v>2248</v>
      </c>
      <c r="I219" s="1152">
        <f>IF(FSFinalBOPrice6&gt;0,((Quantity6/BaseQuantity)*FSFinalBOPrice6),0)</f>
        <v>0</v>
      </c>
      <c r="J219" s="1152">
        <f>IF(FSFinalBOPrice7&gt;0,((Quantity7/BaseQuantity)*FSFinalBOPrice7),0)</f>
        <v>0</v>
      </c>
      <c r="K219" s="1152">
        <f>IF(FSFinalBOPrice8&gt;0,((Quantity8/BaseQuantity)*FSFinalBOPrice8),0)</f>
        <v>0</v>
      </c>
      <c r="L219" s="1152">
        <f>IF(FSFinalBOPrice9&gt;0,((Quantity9/BaseQuantity)*FSFinalBOPrice9),0)</f>
        <v>0</v>
      </c>
      <c r="M219" s="1152">
        <f>IF(FSFinalBOPrice10&gt;0,((Quantity10/BaseQuantity)*FSFinalBOPrice10),0)</f>
        <v>0</v>
      </c>
    </row>
    <row r="220" spans="1:13">
      <c r="A220" s="743" t="s">
        <v>2249</v>
      </c>
      <c r="B220" s="1152">
        <f>IF(FSFinalPressPrice1&gt;0,(Quantity1/BaseQuantity)*(FSFinalPressPrice1+FSFinTMPrice1+FSLaborPrice1+FSMinPrice1),0)</f>
        <v>15756.135491326531</v>
      </c>
      <c r="C220" s="1152">
        <f>IF(FSFinalPressPrice2&gt;0,(Quantity2/BaseQuantity)*(FSFinalPressPrice2+FSFinTMPrice2+FSLaborPrice2+FSMinPrice2),0)</f>
        <v>0</v>
      </c>
      <c r="D220" s="1152">
        <f>IF(FSFinalPressPrice3&gt;0,(Quantity3/BaseQuantity)*(FSFinalPressPrice3+FSFinTMPrice3+FSLaborPrice3+FSMinPrice3),0)</f>
        <v>0</v>
      </c>
      <c r="E220" s="1152">
        <f>IF(FSFinalPressPrice4&gt;0,(Quantity4/BaseQuantity)*(FSFinalPressPrice4+FSFinTMPrice4+FSLaborPrice4+FSMinPrice4),0)</f>
        <v>0</v>
      </c>
      <c r="F220" s="1152">
        <f>IF(FSFinalPressPrice5&gt;0,(Quantity5/BaseQuantity)*(FSFinalPressPrice5+FSFinTMPrice5+FSLaborPrice5+FSMinPrice5),0)</f>
        <v>0</v>
      </c>
      <c r="H220" s="743" t="s">
        <v>2249</v>
      </c>
      <c r="I220" s="1152">
        <f>IF(FSFinalPressPrice6&gt;0,(Quantity6/BaseQuantity)*(FSFinalPressPrice6+FSFinTMPrice6+FSLaborPrice6+FSMinPrice6),0)</f>
        <v>0</v>
      </c>
      <c r="J220" s="1152">
        <f>IF(FSFinalPressPrice7&gt;0,(Quantity7/BaseQuantity)*(FSFinalPressPrice7+FSFinTMPrice7+FSLaborPrice7+FSMinPrice7),0)</f>
        <v>0</v>
      </c>
      <c r="K220" s="1152">
        <f>IF(FSFinalPressPrice8&gt;0,(Quantity8/BaseQuantity)*(FSFinalPressPrice8+FSFinTMPrice8+FSLaborPrice8+FSMinPrice8),0)</f>
        <v>0</v>
      </c>
      <c r="L220" s="1152">
        <f>IF(FSFinalPressPrice9&gt;0,(Quantity9/BaseQuantity)*(FSFinalPressPrice9+FSFinTMPrice9+FSLaborPrice9+FSMinPrice9),0)</f>
        <v>0</v>
      </c>
      <c r="M220" s="1152">
        <f>IF(FSFinalPressPrice10&gt;0,(Quantity10/BaseQuantity)*(FSFinalPressPrice10+FSFinTMPrice10+FSLaborPrice10+FSMinPrice10),0)</f>
        <v>0</v>
      </c>
    </row>
    <row r="221" spans="1:13">
      <c r="A221" s="743" t="s">
        <v>2953</v>
      </c>
      <c r="B221" s="1157">
        <f>IF(LogTestMat1=TRUE,(Quantity1/BaseQuantity)*QEFinalPrice1,0)</f>
        <v>25292.873154135334</v>
      </c>
      <c r="C221" s="1157">
        <f>IF(LogTestMat2=TRUE,(Quantity2/BaseQuantity)*QEFinalPrice2,0)</f>
        <v>0</v>
      </c>
      <c r="D221" s="1157">
        <f>IF(LogTestMat3=TRUE,(Quantity3/BaseQuantity)*QEFinalPrice3,0)</f>
        <v>0</v>
      </c>
      <c r="E221" s="1157">
        <f>IF(LogTestMat4=TRUE,(Quantity4/BaseQuantity)*QEFinalPrice4,0)</f>
        <v>0</v>
      </c>
      <c r="F221" s="1157">
        <f>IF(LogTestMat5=TRUE,(Quantity5/BaseQuantity)*QEFinalPrice5,0)</f>
        <v>0</v>
      </c>
      <c r="H221" s="743" t="s">
        <v>2953</v>
      </c>
      <c r="I221" s="1157">
        <f>IF(LogTestMat6=TRUE,(Quantity6/BaseQuantity)*QEFinalPrice6,0)</f>
        <v>0</v>
      </c>
      <c r="J221" s="1157">
        <f>IF(LogTestMat7=TRUE,(Quantity7/BaseQuantity)*QEFinalPrice7,0)</f>
        <v>0</v>
      </c>
      <c r="K221" s="1157">
        <f>IF(LogTestMat8=TRUE,(Quantity8/BaseQuantity)*QEFinalPrice8,0)</f>
        <v>0</v>
      </c>
      <c r="L221" s="1157">
        <f>IF(LogTestMat9=TRUE,(Quantity9/BaseQuantity)*QEFinalPrice9,0)</f>
        <v>0</v>
      </c>
      <c r="M221" s="1157">
        <f>IF(LogTestMat10=TRUE,(Quantity10/BaseQuantity)*QEFinalPrice10,0)</f>
        <v>0</v>
      </c>
    </row>
    <row r="222" spans="1:13">
      <c r="A222" s="743" t="s">
        <v>2952</v>
      </c>
      <c r="B222" s="1157">
        <f>IF(FSAnnSale1&gt;0,  FSAnnSale1+QEEstMoldPrice1+ QEAutoPrice1, "")</f>
        <v>25292.873154135334</v>
      </c>
      <c r="C222" s="1157" t="str">
        <f>IF(FSAnnSale2&gt;0,  FSAnnSale2+QEEstMoldPrice1+ QEAutoPrice1, "")</f>
        <v/>
      </c>
      <c r="D222" s="1157" t="str">
        <f>IF(FSAnnSale3&gt;0,  FSAnnSale3+QEEstMoldPrice1+ QEAutoPrice1, "")</f>
        <v/>
      </c>
      <c r="E222" s="1157" t="str">
        <f>IF(FSAnnSale4&gt;0,  FSAnnSale4+QEEstMoldPrice1+ QEAutoPrice1, "")</f>
        <v/>
      </c>
      <c r="F222" s="1157" t="str">
        <f>IF(FSAnnSale5&gt;0,  FSAnnSale5+QEEstMoldPrice1+ QEAutoPrice1, "")</f>
        <v/>
      </c>
      <c r="H222" s="743" t="s">
        <v>2952</v>
      </c>
      <c r="I222" s="1157" t="str">
        <f>IF(FSAnnSale6&gt;0,  FSAnnSale6+QEEstMoldPrice2+QEAutoPrice2, "")</f>
        <v/>
      </c>
      <c r="J222" s="1157" t="str">
        <f>IF(FSAnnSale7&gt;0,  FSAnnSale7+QEEstMoldPrice2+QEAutoPrice2,"")</f>
        <v/>
      </c>
      <c r="K222" s="1157" t="str">
        <f>IF(FSAnnSale8&gt;0,  FSAnnSale8+QEEstMoldPrice2+QEAutoPrice2, "")</f>
        <v/>
      </c>
      <c r="L222" s="1157" t="str">
        <f>IF(FSAnnSale9&gt;0,  FSAnnSale9+QEEstMoldPrice2+QEAutoPrice2, "")</f>
        <v/>
      </c>
      <c r="M222" s="1157" t="str">
        <f>IF(FSAnnSale10&gt;0,  FSAnnSale10+QEEstMoldPrice2+QEAutoPrice2, "")</f>
        <v/>
      </c>
    </row>
    <row r="223" spans="1:13">
      <c r="B223" s="768"/>
      <c r="C223" s="768"/>
      <c r="D223" s="768"/>
      <c r="E223" s="768"/>
      <c r="F223" s="768"/>
      <c r="H223" s="743"/>
      <c r="I223" s="768"/>
      <c r="J223" s="768"/>
      <c r="K223" s="768"/>
      <c r="L223" s="768"/>
      <c r="M223" s="768"/>
    </row>
    <row r="224" spans="1:13" s="734" customFormat="1" ht="12.75">
      <c r="A224" s="218" t="s">
        <v>822</v>
      </c>
      <c r="B224" s="768"/>
      <c r="C224" s="768"/>
      <c r="D224" s="768"/>
      <c r="E224" s="768"/>
      <c r="F224" s="768"/>
      <c r="H224" s="218" t="s">
        <v>822</v>
      </c>
      <c r="I224" s="768"/>
      <c r="J224" s="768"/>
      <c r="K224" s="768"/>
      <c r="L224" s="768"/>
      <c r="M224" s="768"/>
    </row>
    <row r="225" spans="1:13">
      <c r="A225" s="743" t="s">
        <v>2074</v>
      </c>
      <c r="B225" s="769" t="b">
        <f>AND(Quantity1&gt;0,ScnOneToolPrice&gt;0, FSFinalPrice1&gt;0)</f>
        <v>0</v>
      </c>
      <c r="C225" s="769" t="b">
        <f>AND(Quantity2&gt;0,ScnOneToolPrice&gt;0, FSFinalPrice2&gt;0)</f>
        <v>0</v>
      </c>
      <c r="D225" s="769" t="b">
        <f>AND(Quantity3&gt;0,ScnOneToolPrice&gt;0, FSFinalPrice3&gt;0)</f>
        <v>0</v>
      </c>
      <c r="E225" s="769" t="b">
        <f>AND(Quantity4&gt;0,ScnOneToolPrice&gt;0, FSFinalPrice4&gt;0)</f>
        <v>0</v>
      </c>
      <c r="F225" s="769" t="b">
        <f>AND(Quantity5&gt;0,ScnOneToolPrice&gt;0, FSFinalPrice5&gt;0)</f>
        <v>0</v>
      </c>
      <c r="H225" s="743" t="s">
        <v>2074</v>
      </c>
      <c r="I225" s="769" t="b">
        <f>AND(Quantity6&gt;0,ScnTwoToolPrice&gt;0, FSFinalPrice6&gt;0)</f>
        <v>0</v>
      </c>
      <c r="J225" s="769" t="b">
        <f>AND(Quantity7&gt;0,ScnTwoToolPrice&gt;0, FSFinalPrice7&gt;0)</f>
        <v>0</v>
      </c>
      <c r="K225" s="769" t="b">
        <f>AND(Quantity8&gt;0,ScnTwoToolPrice&gt;0, FSFinalPrice8&gt;0)</f>
        <v>0</v>
      </c>
      <c r="L225" s="769" t="b">
        <f>AND(Quantity9&gt;0,ScnTwoToolPrice&gt;0, FSFinalPrice9&gt;0)</f>
        <v>0</v>
      </c>
      <c r="M225" s="769" t="b">
        <f>AND(Quantity10&gt;0,ScnTwoToolPrice&gt;0, FSFinalPrice10&gt;0)</f>
        <v>0</v>
      </c>
    </row>
    <row r="226" spans="1:13">
      <c r="A226" s="743" t="s">
        <v>317</v>
      </c>
      <c r="B226" s="733">
        <f>IF(FSLogTestTool1=TRUE,FSAnnSale1/(QEEstMoldPrice1+ QEAutoPrice1),0)</f>
        <v>0</v>
      </c>
      <c r="C226" s="733">
        <f>IF(FSLogTestTool2=TRUE,FSAnnSale2/(QEEstMoldPrice1+ QEAutoPrice1),0)</f>
        <v>0</v>
      </c>
      <c r="D226" s="733">
        <f>IF(FSLogTestTool3=TRUE,FSAnnSale3/(QEEstMoldPrice1+ QEAutoPrice1),0)</f>
        <v>0</v>
      </c>
      <c r="E226" s="733">
        <f>IF(FSLogTestTool4=TRUE,FSAnnSale4/(QEEstMoldPrice1+ QEAutoPrice1),0)</f>
        <v>0</v>
      </c>
      <c r="F226" s="733">
        <f>IF(FSLogTestTool5=TRUE,FSAnnSale5/(QEEstMoldPrice1+ QEAutoPrice1),0)</f>
        <v>0</v>
      </c>
      <c r="H226" s="743" t="s">
        <v>317</v>
      </c>
      <c r="I226" s="733">
        <f>IF(FSLogTestTool6=TRUE,FSAnnSale6/(QEEstMoldPrice2+QEAutoPrice2),0)</f>
        <v>0</v>
      </c>
      <c r="J226" s="733">
        <f>IF(FSLogTestTool7=TRUE,FSAnnSale7/(QEEstMoldPrice2+QEAutoPrice2),0)</f>
        <v>0</v>
      </c>
      <c r="K226" s="733">
        <f>IF(FSLogTestTool8=TRUE,FSAnnSale8/(QEEstMoldPrice2+QEAutoPrice2),0)</f>
        <v>0</v>
      </c>
      <c r="L226" s="733">
        <f>IF(FSLogTestTool9=TRUE,FSAnnSale9/(QEEstMoldPrice2+QEAutoPrice2),0)</f>
        <v>0</v>
      </c>
      <c r="M226" s="733">
        <f>IF(FSLogTestTool10=TRUE,FSAnnSale10/(QEEstMoldPrice2+QEAutoPrice2),0)</f>
        <v>0</v>
      </c>
    </row>
    <row r="227" spans="1:13">
      <c r="B227" s="770"/>
      <c r="C227" s="770"/>
      <c r="D227" s="770"/>
      <c r="E227" s="770"/>
      <c r="F227" s="770"/>
      <c r="H227" s="743"/>
      <c r="I227" s="770"/>
      <c r="J227" s="770"/>
      <c r="K227" s="770"/>
      <c r="L227" s="770"/>
      <c r="M227" s="770"/>
    </row>
    <row r="228" spans="1:13" s="734" customFormat="1">
      <c r="A228" s="536" t="s">
        <v>3924</v>
      </c>
      <c r="B228" s="770"/>
      <c r="C228" s="770"/>
      <c r="D228" s="770"/>
      <c r="E228" s="770"/>
      <c r="F228" s="770"/>
      <c r="H228" s="576"/>
      <c r="I228" s="770"/>
      <c r="J228" s="770"/>
      <c r="K228" s="770"/>
      <c r="L228" s="770"/>
      <c r="M228" s="770"/>
    </row>
    <row r="229" spans="1:13">
      <c r="A229" s="743" t="s">
        <v>6348</v>
      </c>
      <c r="B229" s="769" t="b">
        <f>AND(Quantity1&gt;0,CavityScr1&gt;0,QECommVal&gt;0)</f>
        <v>1</v>
      </c>
      <c r="C229" s="769" t="b">
        <f>AND(Quantity2&gt;0,CavityScr1&gt;0,QECommVal&gt;0)</f>
        <v>0</v>
      </c>
      <c r="D229" s="769" t="b">
        <f>AND(Quantity3&gt;0,CavityScr1&gt;0,QECommVal&gt;0)</f>
        <v>0</v>
      </c>
      <c r="E229" s="769" t="b">
        <f>AND(Quantity4&gt;0,CavityScr1&gt;0,QECommVal&gt;0)</f>
        <v>0</v>
      </c>
      <c r="F229" s="769" t="b">
        <f>AND(Quantity5&gt;0,CavityScr1&gt;0,QECommVal&gt;0)</f>
        <v>0</v>
      </c>
      <c r="H229" s="743" t="s">
        <v>6348</v>
      </c>
      <c r="I229" s="769" t="b">
        <f>AND(Quantity6&gt;0,CavityScr2&gt;0,QECommVal&gt;0)</f>
        <v>0</v>
      </c>
      <c r="J229" s="769" t="b">
        <f>AND(Quantity7&gt;0,CavityScr2&gt;0,QECommVal&gt;0)</f>
        <v>0</v>
      </c>
      <c r="K229" s="769" t="b">
        <f>AND(Quantity8&gt;0,CavityScr2&gt;0,QECommVal&gt;0)</f>
        <v>0</v>
      </c>
      <c r="L229" s="769" t="b">
        <f>AND(Quantity9&gt;0,CavityScr2&gt;0,QECommVal&gt;0)</f>
        <v>0</v>
      </c>
      <c r="M229" s="769" t="b">
        <f>AND(Quantity10&gt;0,CavityScr2&gt;0,QECommVal&gt;0)</f>
        <v>0</v>
      </c>
    </row>
    <row r="230" spans="1:13">
      <c r="A230" s="743" t="s">
        <v>5468</v>
      </c>
      <c r="B230" s="769">
        <f xml:space="preserve"> IF(FSCommTest1=TRUE,1-QECommVal,0)</f>
        <v>0.95</v>
      </c>
      <c r="C230" s="769">
        <f xml:space="preserve"> IF(FSCommTest2=TRUE,1-QECommVal,0)</f>
        <v>0</v>
      </c>
      <c r="D230" s="769">
        <f xml:space="preserve"> IF(FSCommTest3=TRUE,1-QECommVal,0)</f>
        <v>0</v>
      </c>
      <c r="E230" s="769">
        <f xml:space="preserve"> IF(FSCommTest4=TRUE,1-QECommVal,0)</f>
        <v>0</v>
      </c>
      <c r="F230" s="769">
        <f xml:space="preserve"> IF(FSCommTest5=TRUE,1-QECommVal,0)</f>
        <v>0</v>
      </c>
      <c r="H230" s="743" t="s">
        <v>5468</v>
      </c>
      <c r="I230" s="769">
        <f xml:space="preserve"> IF(FSCommTest6=TRUE,1-QECommVal,0)</f>
        <v>0</v>
      </c>
      <c r="J230" s="769">
        <f xml:space="preserve"> IF(FSCommTest7=TRUE,1-QECommVal,0)</f>
        <v>0</v>
      </c>
      <c r="K230" s="769">
        <f xml:space="preserve"> IF(FSCommTest8=TRUE,1-QECommVal,0)</f>
        <v>0</v>
      </c>
      <c r="L230" s="769">
        <f xml:space="preserve"> IF(FSCommTest9=TRUE,1-QECommVal,0)</f>
        <v>0</v>
      </c>
      <c r="M230" s="769">
        <f xml:space="preserve"> IF(FSCommTest10=TRUE,1-QECommVal,0)</f>
        <v>0</v>
      </c>
    </row>
    <row r="231" spans="1:13">
      <c r="A231" s="743" t="s">
        <v>4208</v>
      </c>
      <c r="B231" s="744">
        <f>IF(FSCommTest1=TRUE,(FSPrice1-FSFinalBOCost1)/FSCommFac1-(FSPrice1-FSFinalBOCost1),0)</f>
        <v>2.6346742868891013</v>
      </c>
      <c r="C231" s="744">
        <f>IF(FSCommTest2=TRUE,(FSPrice2-FSFinalBOCost2)/FSCommFac2-(FSPrice2-FSFinalBOCost2),0)</f>
        <v>0</v>
      </c>
      <c r="D231" s="744">
        <f>IF(FSCommTest3=TRUE,(FSPrice3-FSFinalBOCost3)/FSCommFac3-(FSPrice3-FSFinalBOCost3),0)</f>
        <v>0</v>
      </c>
      <c r="E231" s="744">
        <f>IF(FSCommTest4=TRUE,(FSPrice4-FSFinalBOCost4)/FSCommFac4-(FSPrice4-FSFinalBOCost4),0)</f>
        <v>0</v>
      </c>
      <c r="F231" s="744">
        <f>IF(FSCommTest5=TRUE,(FSPrice5-FSFinalBOCost5)/FSCommFac5-(FSPrice5-FSFinalBOCost5),0)</f>
        <v>0</v>
      </c>
      <c r="H231" s="743" t="s">
        <v>4208</v>
      </c>
      <c r="I231" s="744">
        <f>IF(FSCommTest6=TRUE,(FSPrice6-FSFinalBOCost6)/FSCommFac6-(FSPrice6-FSFinalBOCost6),0)</f>
        <v>0</v>
      </c>
      <c r="J231" s="744">
        <f>IF(FSCommTest7=TRUE,(FSPrice7-FSFinalBOCost7)/FSCommFac7-(FSPrice7-FSFinalBOCost7),0)</f>
        <v>0</v>
      </c>
      <c r="K231" s="744">
        <f>IF(FSCommTest8=TRUE,(FSPrice8-FSFinalBOCost8)/FSCommFac8-(FSPrice8-FSFinalBOCost8),0)</f>
        <v>0</v>
      </c>
      <c r="L231" s="744">
        <f>IF(FSCommTest9=TRUE,(FSPrice9-FSFinalBOCost9)/FSCommFac9-(FSPrice9-FSFinalBOCost9),0)</f>
        <v>0</v>
      </c>
      <c r="M231" s="744">
        <f>IF(FSCommTest10=TRUE,(FSPrice10-FSFinalBOCost10)/FSCommFac10-(FSPrice10-FSFinalBOCost10),0)</f>
        <v>0</v>
      </c>
    </row>
    <row r="232" spans="1:13">
      <c r="A232" s="743" t="s">
        <v>4473</v>
      </c>
      <c r="B232" s="736">
        <f>IF(FSCommTest1=TRUE,(FSPrice1+FSRepCost1-FSFinalBOCost1)*QECommVal,0)</f>
        <v>2.6346742868890978</v>
      </c>
      <c r="C232" s="736">
        <f>IF(FSCommTest2=TRUE,(FSPrice2+FSRepCost2-FSFinalBOCost2)*QECommVal,0)</f>
        <v>0</v>
      </c>
      <c r="D232" s="736">
        <f>IF(FSCommTest3=TRUE,(FSPrice3+FSRepCost3-FSFinalBOCost3)*QECommVal,0)</f>
        <v>0</v>
      </c>
      <c r="E232" s="736">
        <f>IF(FSCommTest4=TRUE,(FSPrice4+FSRepCost4-FSFinalBOCost4)*QECommVal,0)</f>
        <v>0</v>
      </c>
      <c r="F232" s="736">
        <f>IF(FSCommTest5=TRUE,(FSPrice5+FSRepCost5-FSFinalBOCost5)*QECommVal,0)</f>
        <v>0</v>
      </c>
      <c r="H232" s="743" t="s">
        <v>4473</v>
      </c>
      <c r="I232" s="736">
        <f>IF(FSCommTest6=TRUE,(FSPrice6+FSRepCost6-FSFinalBOCost6)*QECommVal,0)</f>
        <v>0</v>
      </c>
      <c r="J232" s="736">
        <f>IF(FSCommTest7=TRUE,(FSPrice7+FSRepCost7-FSFinalBOCost7)*QECommVal,0)</f>
        <v>0</v>
      </c>
      <c r="K232" s="736">
        <f>IF(FSCommTest8=TRUE,(FSPrice8+FSRepCost8-FSFinalBOCost8)*QECommVal,0)</f>
        <v>0</v>
      </c>
      <c r="L232" s="736">
        <f>IF(FSCommTest9=TRUE,(FSPrice9+FSRepCost9-FSFinalBOCost9)*QECommVal,0)</f>
        <v>0</v>
      </c>
      <c r="M232" s="736">
        <f>IF(FSCommTest10=TRUE,(FSPrice10+FSRepCost10-FSFinalBOCost10)*QECommVal,0)</f>
        <v>0</v>
      </c>
    </row>
    <row r="233" spans="1:13">
      <c r="B233" s="771"/>
      <c r="C233" s="771"/>
      <c r="D233" s="771"/>
      <c r="E233" s="771"/>
      <c r="F233" s="771"/>
      <c r="H233" s="743"/>
      <c r="I233" s="771"/>
      <c r="J233" s="771"/>
      <c r="K233" s="771"/>
      <c r="L233" s="771"/>
      <c r="M233" s="771"/>
    </row>
    <row r="234" spans="1:13" s="734" customFormat="1">
      <c r="A234" s="536" t="s">
        <v>3925</v>
      </c>
      <c r="B234" s="771"/>
      <c r="C234" s="771"/>
      <c r="D234" s="771"/>
      <c r="E234" s="771"/>
      <c r="F234" s="771"/>
      <c r="H234" s="576"/>
      <c r="I234" s="771"/>
      <c r="J234" s="771"/>
      <c r="K234" s="771"/>
      <c r="L234" s="771"/>
      <c r="M234" s="771"/>
    </row>
    <row r="235" spans="1:13">
      <c r="A235" s="743" t="s">
        <v>6352</v>
      </c>
      <c r="B235" s="772">
        <f xml:space="preserve"> IF(LogTestMat1=TRUE, FSResinTotQty*(Quantity1/BaseQuantity),0)</f>
        <v>1145.25</v>
      </c>
      <c r="C235" s="772">
        <f xml:space="preserve"> IF(LogTestMat2=TRUE,FSResinTotQty*(Quantity2/BaseQuantity),0)</f>
        <v>0</v>
      </c>
      <c r="D235" s="772">
        <f xml:space="preserve"> IF(LogTestMat3=TRUE,FSResinTotQty*(Quantity3/BaseQuantity),0)</f>
        <v>0</v>
      </c>
      <c r="E235" s="772">
        <f xml:space="preserve"> IF(LogTestMat4=TRUE,FSResinTotQty*(Quantity4/BaseQuantity),0)</f>
        <v>0</v>
      </c>
      <c r="F235" s="772">
        <f xml:space="preserve"> IF(LogTestMat5=TRUE,FSResinTotQty*(Quantity5/BaseQuantity),0)</f>
        <v>0</v>
      </c>
      <c r="H235" s="743" t="s">
        <v>6352</v>
      </c>
      <c r="I235" s="772">
        <f xml:space="preserve"> IF(LogTestMat6=TRUE,FSResinTotQty1*(Quantity6/BaseQuantity),0)</f>
        <v>0</v>
      </c>
      <c r="J235" s="772">
        <f xml:space="preserve"> IF(LogTestMat7=TRUE,FSResinTotQty1*(Quantity7/BaseQuantity),0)</f>
        <v>0</v>
      </c>
      <c r="K235" s="772">
        <f xml:space="preserve"> IF(LogTestMat8=TRUE,FSResinTotQty1*(Quantity8/BaseQuantity),0)</f>
        <v>0</v>
      </c>
      <c r="L235" s="772">
        <f xml:space="preserve"> IF(LogTestMat9=TRUE,FSResinTotQty1*(Quantity9/BaseQuantity),0)</f>
        <v>0</v>
      </c>
      <c r="M235" s="772">
        <f xml:space="preserve"> IF(LogTestMat10=TRUE,FSResinTotQty1*(Quantity10/BaseQuantity),0)</f>
        <v>0</v>
      </c>
    </row>
    <row r="236" spans="1:13">
      <c r="A236" s="743" t="s">
        <v>5488</v>
      </c>
      <c r="B236" s="772">
        <f xml:space="preserve"> IF(AND(LogTestMat1=TRUE, QESetUp1&gt;0), FSTotRes1/(FSSetUp1*1),0)</f>
        <v>190.875</v>
      </c>
      <c r="C236" s="772">
        <f xml:space="preserve"> IF(AND(LogTestMat2=TRUE, QESetUp2&gt;0), FSTotRes2/(FSSetUp2*1),0)</f>
        <v>0</v>
      </c>
      <c r="D236" s="772">
        <f xml:space="preserve"> IF(AND(LogTestMat3=TRUE, QESetUp3&gt;0), FSTotRes3/(FSSetUp3*1),0)</f>
        <v>0</v>
      </c>
      <c r="E236" s="772">
        <f xml:space="preserve"> IF(AND(LogTestMat4=TRUE, QESetUp4&gt;0), FSTotRes4/(FSSetUp4*1),0)</f>
        <v>0</v>
      </c>
      <c r="F236" s="772">
        <f xml:space="preserve"> IF(AND(LogTestMat5=TRUE, QESetUp5&gt;0), FSTotRes5/(FSSetUp5*1),0)</f>
        <v>0</v>
      </c>
      <c r="H236" s="743" t="s">
        <v>5488</v>
      </c>
      <c r="I236" s="772">
        <f xml:space="preserve"> IF(AND(LogTestMat6=TRUE, QESetUp6&gt;0), FSTotRes6/(FSSetUp6*1),0)</f>
        <v>0</v>
      </c>
      <c r="J236" s="772">
        <f xml:space="preserve"> IF(AND(LogTestMat7=TRUE, QESetUp7&gt;0), FSTotRes7/(FSSetUp7*1),0)</f>
        <v>0</v>
      </c>
      <c r="K236" s="772">
        <f xml:space="preserve"> IF(AND(LogTestMat8=TRUE, QESetUp8&gt;0), FSTotRes8/(FSSetUp8*1),0)</f>
        <v>0</v>
      </c>
      <c r="L236" s="772">
        <f xml:space="preserve"> IF(AND(LogTestMat9=TRUE, QESetUp9&gt;0), FSTotRes9/(FSSetUp9*1),0)</f>
        <v>0</v>
      </c>
      <c r="M236" s="772">
        <f xml:space="preserve"> IF(AND(LogTestMat10=TRUE, QESetUp10&gt;0), FSTotRes10/(FSSetUp10*1),0)</f>
        <v>0</v>
      </c>
    </row>
    <row r="237" spans="1:13" s="734" customFormat="1">
      <c r="A237" s="576"/>
      <c r="B237" s="773"/>
      <c r="C237" s="773"/>
      <c r="D237" s="773"/>
      <c r="E237" s="773"/>
      <c r="F237" s="773"/>
      <c r="H237" s="576"/>
      <c r="I237" s="773"/>
      <c r="J237" s="773"/>
      <c r="K237" s="773"/>
      <c r="L237" s="773"/>
      <c r="M237" s="773"/>
    </row>
    <row r="238" spans="1:13" s="734" customFormat="1">
      <c r="A238" s="536" t="s">
        <v>3926</v>
      </c>
      <c r="B238" s="773"/>
      <c r="C238" s="773"/>
      <c r="D238" s="773"/>
      <c r="E238" s="773"/>
      <c r="F238" s="773"/>
      <c r="H238" s="576"/>
      <c r="I238" s="773"/>
      <c r="J238" s="773"/>
      <c r="K238" s="773"/>
      <c r="L238" s="773"/>
      <c r="M238" s="773"/>
    </row>
    <row r="239" spans="1:13">
      <c r="A239" s="743" t="s">
        <v>6348</v>
      </c>
      <c r="B239" s="769" t="b">
        <f>AND(Quantity1&gt;0,Scr1Robot="Yes")</f>
        <v>0</v>
      </c>
      <c r="C239" s="769" t="b">
        <f>AND(Quantity2&gt;0,Scr1Robot="Yes")</f>
        <v>0</v>
      </c>
      <c r="D239" s="769" t="b">
        <f>AND(Quantity3&gt;0,Scr1Robot="Yes")</f>
        <v>0</v>
      </c>
      <c r="E239" s="769" t="b">
        <f>AND(Quantity4&gt;0,Scr1Robot="Yes")</f>
        <v>0</v>
      </c>
      <c r="F239" s="769" t="b">
        <f>AND(Quantity5&gt;0,Scr1Robot="Yes")</f>
        <v>0</v>
      </c>
      <c r="H239" s="743" t="s">
        <v>6348</v>
      </c>
      <c r="I239" s="769" t="b">
        <f>AND(Quantity6&gt;0,Scr2Robot="Yes")</f>
        <v>0</v>
      </c>
      <c r="J239" s="769" t="b">
        <f>AND(Quantity7&gt;0,Scr2Robot="Yes")</f>
        <v>0</v>
      </c>
      <c r="K239" s="769" t="b">
        <f>AND(Quantity8&gt;0,Scr2Robot="Yes")</f>
        <v>0</v>
      </c>
      <c r="L239" s="769" t="b">
        <f>AND(Quantity9&gt;0,Scr2Robot="Yes")</f>
        <v>0</v>
      </c>
      <c r="M239" s="769" t="b">
        <f>AND(Quantity10&gt;0,Scr2Robot="Yes")</f>
        <v>0</v>
      </c>
    </row>
    <row r="240" spans="1:13">
      <c r="A240" s="743" t="s">
        <v>1967</v>
      </c>
      <c r="B240" s="774">
        <f xml:space="preserve"> IF(FSRobotTest1=TRUE,(VSRobotAmort/Quantity1)* BaseQuantity,0)</f>
        <v>0</v>
      </c>
      <c r="C240" s="774">
        <f xml:space="preserve"> IF(FSRobotTest2=TRUE,(VSRobotAmort/Quantity2)* BaseQuantity,0)</f>
        <v>0</v>
      </c>
      <c r="D240" s="774">
        <f xml:space="preserve"> IF(FSRobotTest3=TRUE,(VSRobotAmort/Quantity3)* BaseQuantity,0)</f>
        <v>0</v>
      </c>
      <c r="E240" s="774">
        <f xml:space="preserve"> IF(FSRobotTest4=TRUE,(VSRobotAmort/Quantity4)* BaseQuantity,0)</f>
        <v>0</v>
      </c>
      <c r="F240" s="774">
        <f xml:space="preserve"> IF(FSRobotTest5=TRUE,(VSRobotAmort/Quantity5)* BaseQuantity,0)</f>
        <v>0</v>
      </c>
      <c r="H240" s="743" t="s">
        <v>1967</v>
      </c>
      <c r="I240" s="774">
        <f xml:space="preserve"> IF(FSRobotTest6=TRUE,(VSRobotAmort/Quantity6)* BaseQuantity,0)</f>
        <v>0</v>
      </c>
      <c r="J240" s="774">
        <f xml:space="preserve"> IF(FSRobotTest7=TRUE,(VSRobotAmort/Quantity7)* BaseQuantity,0)</f>
        <v>0</v>
      </c>
      <c r="K240" s="774">
        <f xml:space="preserve"> IF(FSRobotTest8=TRUE,(VSRobotAmort/Quantity8)* BaseQuantity,0)</f>
        <v>0</v>
      </c>
      <c r="L240" s="774">
        <f xml:space="preserve"> IF(FSRobotTest9=TRUE,(VSRobotAmort/Quantity9)* BaseQuantity,0)</f>
        <v>0</v>
      </c>
      <c r="M240" s="774">
        <f xml:space="preserve"> IF(FSRobotTest10=TRUE,(VSRobotAmort/Quantity10)* BaseQuantity,0)</f>
        <v>0</v>
      </c>
    </row>
    <row r="241" spans="1:13">
      <c r="A241" s="743" t="s">
        <v>1968</v>
      </c>
      <c r="B241" s="774">
        <f>FSRobotCost1</f>
        <v>0</v>
      </c>
      <c r="C241" s="774">
        <f>FSRobotCost2</f>
        <v>0</v>
      </c>
      <c r="D241" s="774">
        <f>FSRobotCost3</f>
        <v>0</v>
      </c>
      <c r="E241" s="774">
        <f>FSRobotCost4</f>
        <v>0</v>
      </c>
      <c r="F241" s="774">
        <f>FSRobotCost5</f>
        <v>0</v>
      </c>
      <c r="H241" s="743" t="s">
        <v>1968</v>
      </c>
      <c r="I241" s="774">
        <f>FSRobotCost6</f>
        <v>0</v>
      </c>
      <c r="J241" s="774">
        <f>FSRobotCost7</f>
        <v>0</v>
      </c>
      <c r="K241" s="774">
        <f>FSRobotCost8</f>
        <v>0</v>
      </c>
      <c r="L241" s="774">
        <f>FSRobotCost9</f>
        <v>0</v>
      </c>
      <c r="M241" s="774">
        <f>FSRobotCost10</f>
        <v>0</v>
      </c>
    </row>
    <row r="242" spans="1:13" s="734" customFormat="1">
      <c r="A242" s="576"/>
      <c r="B242" s="775"/>
      <c r="C242" s="775"/>
      <c r="D242" s="775"/>
      <c r="E242" s="775"/>
      <c r="F242" s="775"/>
      <c r="H242" s="576"/>
      <c r="I242" s="775"/>
      <c r="J242" s="775"/>
      <c r="K242" s="775"/>
      <c r="L242" s="775"/>
      <c r="M242" s="775"/>
    </row>
    <row r="243" spans="1:13" s="734" customFormat="1">
      <c r="A243" s="536" t="s">
        <v>3927</v>
      </c>
      <c r="B243" s="775"/>
      <c r="C243" s="775"/>
      <c r="D243" s="775"/>
      <c r="E243" s="775"/>
      <c r="F243" s="775"/>
      <c r="H243" s="576"/>
      <c r="I243" s="775"/>
      <c r="J243" s="775"/>
      <c r="K243" s="775"/>
      <c r="L243" s="775"/>
      <c r="M243" s="775"/>
    </row>
    <row r="244" spans="1:13">
      <c r="A244" s="743" t="s">
        <v>3400</v>
      </c>
      <c r="B244" s="776">
        <f>IF(QEPrice1&gt;0,(QEPrice1 - QETotMfgCost1) * (Quantity1/BaseQuantity),"")</f>
        <v>6423.4917413265248</v>
      </c>
      <c r="C244" s="776" t="str">
        <f>IF(QEPrice2&gt;0,(QEPrice2 - QETotMfgCost2) * (Quantity2/BaseQuantity),"")</f>
        <v/>
      </c>
      <c r="D244" s="776" t="str">
        <f>IF(QEPrice3&gt;0,(QEPrice3 - QETotMfgCost3) * (Quantity3/BaseQuantity),"")</f>
        <v/>
      </c>
      <c r="E244" s="776" t="str">
        <f>IF(QEPrice4&gt;0,(QEPrice4 - QETotMfgCost4) * (Quantity4/BaseQuantity),"")</f>
        <v/>
      </c>
      <c r="F244" s="776" t="str">
        <f>IF(QEPrice5&gt;0,(QEPrice5 - QETotMfgCost5) * (Quantity5/BaseQuantity),"")</f>
        <v/>
      </c>
      <c r="H244" s="743" t="s">
        <v>3400</v>
      </c>
      <c r="I244" s="776" t="str">
        <f>IF(QEPrice6&gt;0,(QEPrice6 - QETotMfgCost6) * (Quantity6/BaseQuantity),"")</f>
        <v/>
      </c>
      <c r="J244" s="776" t="str">
        <f>IF(QEPrice7&gt;0,(QEPrice7 - QETotMfgCost7) * (Quantity7/BaseQuantity),"")</f>
        <v/>
      </c>
      <c r="K244" s="776" t="str">
        <f>IF(QEPrice8&gt;0,(QEPrice8 - QETotMfgCost8) * (Quantity8/BaseQuantity),"")</f>
        <v/>
      </c>
      <c r="L244" s="776" t="str">
        <f>IF(QEPrice9&gt;0,(QEPrice9 - QETotMfgCost9) * (Quantity9/BaseQuantity),"")</f>
        <v/>
      </c>
      <c r="M244" s="776" t="str">
        <f>IF(QEPrice10&gt;0,(QEPrice10 - QETotMfgCost10) * (Quantity10/BaseQuantity),"")</f>
        <v/>
      </c>
    </row>
    <row r="245" spans="1:13">
      <c r="A245" s="743" t="s">
        <v>2497</v>
      </c>
      <c r="B245" s="1195">
        <f>IF(QETotMfgCost1&gt;0,((QEPrice1-QETotMfgCost1)/BaseQuantity)*FSAvePcs1,  0)</f>
        <v>31.475109532499971</v>
      </c>
      <c r="C245" s="1195">
        <f>IF(QETotMfgCost2&gt;0,((QEPrice2-QETotMfgCost2)/BaseQuantity)*FSAvePcs1,  0)</f>
        <v>0</v>
      </c>
      <c r="D245" s="1195">
        <f>IF(QETotMfgCost3&gt;0,((QEPrice3-QETotMfgCost3)/BaseQuantity)*FSAvePcs1,  0)</f>
        <v>0</v>
      </c>
      <c r="E245" s="1195">
        <f>IF(QETotMfgCost4&gt;0,((QEPrice4-QETotMfgCost4)/BaseQuantity)*FSAvePcs1,  0)</f>
        <v>0</v>
      </c>
      <c r="F245" s="1195">
        <f>IF(QETotMfgCost5&gt;0,((QEPrice5-QETotMfgCost5)/BaseQuantity)*FSAvePcs1,  0)</f>
        <v>0</v>
      </c>
      <c r="H245" s="743" t="s">
        <v>2497</v>
      </c>
      <c r="I245" s="1195">
        <f>IF(QETotMfgCost6&gt;0,((QEPrice6-QETotMfgCost6)/BaseQuantity)*FSAvePcs2,  0)</f>
        <v>0</v>
      </c>
      <c r="J245" s="1195">
        <f>IF(QETotMfgCost7&gt;0,((QEPrice7-QETotMfgCost7)/BaseQuantity)*FSAvePcs2,  0)</f>
        <v>0</v>
      </c>
      <c r="K245" s="1195">
        <f>IF(QETotMfgCost8&gt;0,((QEPrice8-QETotMfgCost8)/BaseQuantity)*FSAvePcs2,  0)</f>
        <v>0</v>
      </c>
      <c r="L245" s="1195">
        <f>IF(QETotMfgCost9&gt;0,((QEPrice9-QETotMfgCost9)/BaseQuantity)*FSAvePcs2,  0)</f>
        <v>0</v>
      </c>
      <c r="M245" s="1195">
        <f>IF(QETotMfgCost10&gt;0,((QEPrice10-QETotMfgCost10)/BaseQuantity)*FSAvePcs2,  0)</f>
        <v>0</v>
      </c>
    </row>
    <row r="246" spans="1:13">
      <c r="B246" s="1193"/>
      <c r="C246" s="777"/>
      <c r="D246" s="777"/>
      <c r="E246" s="777"/>
      <c r="F246" s="777"/>
      <c r="H246" s="743"/>
      <c r="I246" s="777"/>
      <c r="J246" s="777"/>
      <c r="K246" s="777"/>
      <c r="L246" s="777"/>
      <c r="M246" s="777"/>
    </row>
    <row r="247" spans="1:13" ht="12.75">
      <c r="A247" s="778" t="s">
        <v>821</v>
      </c>
      <c r="B247" s="777"/>
      <c r="C247" s="777"/>
      <c r="D247" s="777"/>
      <c r="E247" s="777"/>
      <c r="F247" s="777"/>
      <c r="H247" s="778" t="s">
        <v>821</v>
      </c>
      <c r="I247" s="777"/>
      <c r="J247" s="777"/>
      <c r="K247" s="777"/>
      <c r="L247" s="777"/>
      <c r="M247" s="777"/>
    </row>
    <row r="248" spans="1:13">
      <c r="A248" s="743" t="s">
        <v>3953</v>
      </c>
      <c r="B248" s="779" t="b">
        <f>AND(Quantity1&gt;0,QEPressScrOne&lt;&gt;2, Press1&gt; "")</f>
        <v>1</v>
      </c>
      <c r="C248" s="779" t="b">
        <f>AND(Quantity2&gt;0,QEPressScrOne&lt;&gt;2, Press1&gt; "")</f>
        <v>0</v>
      </c>
      <c r="D248" s="779" t="b">
        <f>AND(Quantity3&gt;0,QEPressScrOne&lt;&gt;2, Press1&gt; "")</f>
        <v>0</v>
      </c>
      <c r="E248" s="779" t="b">
        <f>AND(Quantity4&gt;0,QEPressScrOne&lt;&gt;2, Press1&gt; "")</f>
        <v>0</v>
      </c>
      <c r="F248" s="779" t="b">
        <f>AND(Quantity5&gt;0,QEPressScrOne&lt;&gt;2, Press1&gt; "")</f>
        <v>0</v>
      </c>
      <c r="H248" s="743" t="s">
        <v>3953</v>
      </c>
      <c r="I248" s="779" t="b">
        <f>AND(Quantity6&gt;0,QEPressScrOne&lt;&gt;1, Press1&gt; "")</f>
        <v>0</v>
      </c>
      <c r="J248" s="779" t="b">
        <f>AND(Quantity7&gt;0,QEPressScrOne&lt;&gt;1, Press1&gt; "")</f>
        <v>0</v>
      </c>
      <c r="K248" s="779" t="b">
        <f>AND(Quantity8&gt;0,QEPressScrOne&lt;&gt;1, Press1&gt; "")</f>
        <v>0</v>
      </c>
      <c r="L248" s="779" t="b">
        <f>AND(Quantity9&gt;0,QEPressScrOne&lt;&gt;1, Press1&gt; "")</f>
        <v>0</v>
      </c>
      <c r="M248" s="779" t="b">
        <f>AND(Quantity10&gt;0,QEPressScrOne&lt;&gt;1, Press1&gt; "")</f>
        <v>0</v>
      </c>
    </row>
    <row r="249" spans="1:13">
      <c r="A249" s="743" t="s">
        <v>116</v>
      </c>
      <c r="B249" s="730" t="str">
        <f>IF(FSPrsIndLogTest1=TRUE,MID(Press1,6,3),"")</f>
        <v>199</v>
      </c>
      <c r="C249" s="730" t="str">
        <f>IF(FSPrsIndLogTest2=TRUE,MID(Press1,6,3),"")</f>
        <v/>
      </c>
      <c r="D249" s="730" t="str">
        <f>IF(FSPrsIndLogTest3=TRUE,MID(Press1,6,3),"")</f>
        <v/>
      </c>
      <c r="E249" s="730" t="str">
        <f>IF(FSPrsIndLogTest4=TRUE,MID(Press1,6,3),"")</f>
        <v/>
      </c>
      <c r="F249" s="730" t="str">
        <f>IF(FSPrsIndLogTest5=TRUE,MID(Press1,6,3),"")</f>
        <v/>
      </c>
      <c r="H249" s="743" t="s">
        <v>116</v>
      </c>
      <c r="I249" s="730" t="str">
        <f>IF(FSPrsIndLogTest6=TRUE,MID(Press1,6,3),"")</f>
        <v/>
      </c>
      <c r="J249" s="730" t="str">
        <f>IF(FSPrsIndLogTest7=TRUE,MID(Press1,6,3),"")</f>
        <v/>
      </c>
      <c r="K249" s="730" t="str">
        <f>IF(FSPrsIndLogTest8=TRUE,MID(Press1,6,3),"")</f>
        <v/>
      </c>
      <c r="L249" s="730" t="str">
        <f>IF(FSPrsIndLogTest9=TRUE,MID(Press1,6,3),"")</f>
        <v/>
      </c>
      <c r="M249" s="730" t="str">
        <f>IF(FSPrsIndLogTest10=TRUE,MID(Press1,6,3),"")</f>
        <v/>
      </c>
    </row>
    <row r="250" spans="1:13">
      <c r="A250" s="743" t="s">
        <v>5111</v>
      </c>
      <c r="B250" s="725">
        <f>IF(FSPrsIndLogTest1=TRUE,QEMinCost1)</f>
        <v>275</v>
      </c>
      <c r="C250" s="725" t="b">
        <f>IF(FSPrsIndLogTest2=TRUE,QEMinCost1)</f>
        <v>0</v>
      </c>
      <c r="D250" s="725" t="b">
        <f>IF(FSPrsIndLogTest3=TRUE,QEMinCost1)</f>
        <v>0</v>
      </c>
      <c r="E250" s="725" t="b">
        <f>IF(FSPrsIndLogTest4=TRUE,QEMinCost1)</f>
        <v>0</v>
      </c>
      <c r="F250" s="725" t="b">
        <f>IF(FSPrsIndLogTest5=TRUE,QEMinCost1)</f>
        <v>0</v>
      </c>
      <c r="H250" s="743" t="s">
        <v>5111</v>
      </c>
      <c r="I250" s="725" t="b">
        <f>IF(FSPrsIndLogTest6=TRUE,QEMinCost1)</f>
        <v>0</v>
      </c>
      <c r="J250" s="725" t="b">
        <f>IF(FSPrsIndLogTest7=TRUE,QEMinCost1)</f>
        <v>0</v>
      </c>
      <c r="K250" s="725" t="b">
        <f>IF(FSPrsIndLogTest8=TRUE,QEMinCost1)</f>
        <v>0</v>
      </c>
      <c r="L250" s="725" t="b">
        <f>IF(FSPrsIndLogTest9=TRUE,QEMinCost1)</f>
        <v>0</v>
      </c>
      <c r="M250" s="725" t="b">
        <f>IF(FSPrsIndLogTest10=TRUE,QEMinCost1)</f>
        <v>0</v>
      </c>
    </row>
    <row r="251" spans="1:13">
      <c r="A251" s="743" t="s">
        <v>5112</v>
      </c>
      <c r="B251" s="780">
        <f>IF(AND(FSMinAmt1&lt;&gt;FALSE, FSMinCost1&gt;0), FSMinAmt1/FSMinCost1*BaseQuantity, 0)</f>
        <v>80000</v>
      </c>
      <c r="C251" s="780">
        <f>IF(AND(FSMinAmt2&lt;&gt;FALSE, FSMinCost2&gt;0), FSMinAmt2/FSMinCost2*BaseQuantity, 0)</f>
        <v>0</v>
      </c>
      <c r="D251" s="780">
        <f>IF(AND(FSMinAmt3&lt;&gt;FALSE, FSMinCost3&gt;0), FSMinAmt3/FSMinCost3*BaseQuantity, 0)</f>
        <v>0</v>
      </c>
      <c r="E251" s="780">
        <f>IF(AND(FSMinAmt4&lt;&gt;FALSE, FSMinCost4&gt;0), FSMinAmt4/FSMinCost4*BaseQuantity, 0)</f>
        <v>0</v>
      </c>
      <c r="F251" s="780">
        <f>IF(AND(FSMinAmt5&lt;&gt;FALSE, FSMinCost5&gt;0), FSMinAmt5/FSMinCost5*BaseQuantity, 0)</f>
        <v>0</v>
      </c>
      <c r="H251" s="743" t="s">
        <v>5112</v>
      </c>
      <c r="I251" s="780">
        <f>IF(AND(FSMinAmt6&lt;&gt;FALSE, FSMinCost6&gt;0), FSMinAmt6/FSMinCost6*BaseQuantity, 0)</f>
        <v>0</v>
      </c>
      <c r="J251" s="780">
        <f>IF(AND(FSMinAmt7&lt;&gt;FALSE, FSMinCost7&gt;0), FSMinAmt7/FSMinCost7*BaseQuantity, 0)</f>
        <v>0</v>
      </c>
      <c r="K251" s="780">
        <f>IF(AND(FSMinAmt8&lt;&gt;FALSE, FSMinCost8&gt;0), FSMinAmt8/FSMinCost8*BaseQuantity, 0)</f>
        <v>0</v>
      </c>
      <c r="L251" s="780">
        <f>IF(AND(FSMinAmt9&lt;&gt;FALSE, FSMinCost9&gt;0), FSMinAmt9/FSMinCost9*BaseQuantity, 0)</f>
        <v>0</v>
      </c>
      <c r="M251" s="780">
        <f>IF(AND(FSMinAmt10&lt;&gt;FALSE, FSMinCost10&gt;0), FSMinAmt10/FSMinCost10*BaseQuantity, 0)</f>
        <v>0</v>
      </c>
    </row>
    <row r="252" spans="1:13" s="734" customFormat="1">
      <c r="A252" s="576"/>
      <c r="B252" s="579"/>
      <c r="C252" s="579"/>
      <c r="D252" s="579"/>
      <c r="E252" s="579"/>
      <c r="F252" s="579"/>
      <c r="H252" s="576"/>
      <c r="I252" s="579"/>
      <c r="J252" s="579"/>
      <c r="K252" s="579"/>
      <c r="L252" s="579"/>
      <c r="M252" s="579"/>
    </row>
    <row r="253" spans="1:13">
      <c r="A253" s="743" t="s">
        <v>3845</v>
      </c>
      <c r="B253" s="779" t="b">
        <f>AND(Quantity1&gt;0,QEPressScrTwo&lt;&gt;2, Press2&gt;"")</f>
        <v>0</v>
      </c>
      <c r="C253" s="779" t="b">
        <f>AND(Quantity2&gt;0,QEPressScrTwo&lt;&gt;2, Press2&gt;"")</f>
        <v>0</v>
      </c>
      <c r="D253" s="779" t="b">
        <f>AND(Quantity3&gt;0,QEPressScrTwo&lt;&gt;2, Press2&gt;"")</f>
        <v>0</v>
      </c>
      <c r="E253" s="779" t="b">
        <f>AND(Quantity4&gt;0,QEPressScrTwo&lt;&gt;2, Press2&gt;"")</f>
        <v>0</v>
      </c>
      <c r="F253" s="779" t="b">
        <f>AND(Quantity5&gt;0,QEPressScrTwo&lt;&gt;2, Press2&gt;"")</f>
        <v>0</v>
      </c>
      <c r="H253" s="743" t="s">
        <v>3845</v>
      </c>
      <c r="I253" s="779" t="b">
        <f>AND(Quantity6&gt;0,QEPressScrTwo&lt;&gt;1, Press2&gt;"")</f>
        <v>0</v>
      </c>
      <c r="J253" s="779" t="b">
        <f>AND(Quantity7&gt;0,QEPressScrTwo&lt;&gt;1, Press2&gt;"")</f>
        <v>0</v>
      </c>
      <c r="K253" s="779" t="b">
        <f>AND(Quantity8&gt;0,QEPressScrTwo&lt;&gt;1, Press2&gt;"")</f>
        <v>0</v>
      </c>
      <c r="L253" s="779" t="b">
        <f>AND(Quantity9&gt;0,QEPressScrTwo&lt;&gt;1, Press2&gt;"")</f>
        <v>0</v>
      </c>
      <c r="M253" s="779" t="b">
        <f>AND(Quantity10&gt;0,QEPressScrTwo&lt;&gt;1, Press2&gt;"")</f>
        <v>0</v>
      </c>
    </row>
    <row r="254" spans="1:13">
      <c r="A254" s="743" t="s">
        <v>115</v>
      </c>
      <c r="B254" s="730" t="str">
        <f>IF(FSPrsIndLogTest21=TRUE,MID(Press2,6,3),"")</f>
        <v/>
      </c>
      <c r="C254" s="730" t="str">
        <f>IF(FSPrsIndLogTest22=TRUE,MID(Press2,6,3),"")</f>
        <v/>
      </c>
      <c r="D254" s="730" t="str">
        <f>IF(FSPrsIndLogTest22=TRUE,MID(Press2,6,3),"")</f>
        <v/>
      </c>
      <c r="E254" s="730" t="str">
        <f>IF(FSPrsIndLogTest24=TRUE,MID(Press2,6,3),"")</f>
        <v/>
      </c>
      <c r="F254" s="730" t="str">
        <f>IF(FSPrsIndLogTest25=TRUE,MID(Press2,6,3),"")</f>
        <v/>
      </c>
      <c r="H254" s="743" t="s">
        <v>115</v>
      </c>
      <c r="I254" s="730" t="str">
        <f>IF(FSPrsIndLogTest26=TRUE,MID(Press2,6,3),"")</f>
        <v/>
      </c>
      <c r="J254" s="730" t="str">
        <f>IF(FSPrsIndLogTest27=TRUE,MID(Press2,6,3),"")</f>
        <v/>
      </c>
      <c r="K254" s="730" t="str">
        <f>IF(FSPrsIndLogTest28=TRUE,MID(Press2,6,3),"")</f>
        <v/>
      </c>
      <c r="L254" s="730" t="str">
        <f>IF(FSPrsIndLogTest29=TRUE,MID(Press2,6,3),"")</f>
        <v/>
      </c>
      <c r="M254" s="730" t="str">
        <f>IF(FSPrsIndLogTest210=TRUE,MID(Press2,6,3),"")</f>
        <v/>
      </c>
    </row>
    <row r="255" spans="1:13">
      <c r="A255" s="743" t="s">
        <v>5111</v>
      </c>
      <c r="B255" s="725" t="b">
        <f>IF(FSPrsIndLogTest21=TRUE,QEMinCost2)</f>
        <v>0</v>
      </c>
      <c r="C255" s="725" t="b">
        <f>IF(FSPrsIndLogTest22=TRUE,QEMinCost2)</f>
        <v>0</v>
      </c>
      <c r="D255" s="725" t="b">
        <f>IF(FSPrsIndLogTest23=TRUE,QEMinCost2)</f>
        <v>0</v>
      </c>
      <c r="E255" s="725" t="b">
        <f>IF(FSPrsIndLogTest24=TRUE,QEMinCost2)</f>
        <v>0</v>
      </c>
      <c r="F255" s="725" t="b">
        <f>IF(FSPrsIndLogTest25=TRUE,QEMinCost2)</f>
        <v>0</v>
      </c>
      <c r="H255" s="743" t="s">
        <v>5111</v>
      </c>
      <c r="I255" s="725" t="b">
        <f>IF(FSPrsIndLogTest26=TRUE,QEMinCost2)</f>
        <v>0</v>
      </c>
      <c r="J255" s="725" t="b">
        <f>IF(FSPrsIndLogTest27=TRUE,QEMinCost2)</f>
        <v>0</v>
      </c>
      <c r="K255" s="725" t="b">
        <f>IF(FSPrsIndLogTest28=TRUE,QEMinCost2)</f>
        <v>0</v>
      </c>
      <c r="L255" s="725" t="b">
        <f>IF(FSPrsIndLogTest29=TRUE,QEMinCost2)</f>
        <v>0</v>
      </c>
      <c r="M255" s="725" t="b">
        <f>IF(FSPrsIndLogTest210=TRUE,QEMinCost2)</f>
        <v>0</v>
      </c>
    </row>
    <row r="256" spans="1:13">
      <c r="A256" s="743" t="s">
        <v>5112</v>
      </c>
      <c r="B256" s="780">
        <f>IF(AND(FSMinAmt21&lt;&gt;FALSE, FSMinCost1&gt;0),FSMinAmt21/FSMinCost1*BaseQuantity, 0)</f>
        <v>0</v>
      </c>
      <c r="C256" s="780">
        <f>IF(AND(FSMinAmt22&lt;&gt;FALSE, FSMinCost2&gt;0),FSMinAmt22/FSMinCost2*BaseQuantity, 0)</f>
        <v>0</v>
      </c>
      <c r="D256" s="780">
        <f>IF(AND(FSMinAmt23&lt;&gt;FALSE, FSMinCost3&gt;0),FSMinAmt23/FSMinCost3*BaseQuantity, 0)</f>
        <v>0</v>
      </c>
      <c r="E256" s="780">
        <f>IF(AND(FSMinAmt24&lt;&gt;FALSE, FSMinCost4&gt;0), FSMinAmt24/FSMinCost4*BaseQuantity, 0)</f>
        <v>0</v>
      </c>
      <c r="F256" s="780">
        <f>IF(AND(FSMinAmt25&lt;&gt;FALSE, FSMinCost5&gt;0), FSMinAmt25/FSMinCost5*BaseQuantity, 0)</f>
        <v>0</v>
      </c>
      <c r="H256" s="743" t="s">
        <v>5112</v>
      </c>
      <c r="I256" s="780">
        <f>IF(AND(FSMinAmt26&lt;&gt;FALSE, FSMinCost6&gt;0),FSMinAmt26/FSMinCost6*BaseQuantity, 0)</f>
        <v>0</v>
      </c>
      <c r="J256" s="780">
        <f>IF(AND(FSMinAmt27&lt;&gt;FALSE, FSMinCost7&gt;0),FSMinAmt27/FSMinCost7*BaseQuantity, 0)</f>
        <v>0</v>
      </c>
      <c r="K256" s="780">
        <f xml:space="preserve"> IF(AND(FSMinAmt28&lt;&gt;FALSE, FSMinCost8&gt;0),  FSMinAmt28/FSMinCost8*BaseQuantity, 0)</f>
        <v>0</v>
      </c>
      <c r="L256" s="780">
        <f xml:space="preserve"> IF(AND(FSMinAmt29&lt;&gt;FALSE, FSMinCost9&gt;0),  FSMinAmt29/FSMinCost9*BaseQuantity, 0)</f>
        <v>0</v>
      </c>
      <c r="M256" s="780">
        <f xml:space="preserve"> IF(AND(FSMinAmt210&lt;&gt;FALSE, FSMinCost10&gt;0),   FSMinAmt210/FSMinCost10*BaseQuantity, 0)</f>
        <v>0</v>
      </c>
    </row>
    <row r="257" spans="1:13" s="734" customFormat="1">
      <c r="A257" s="576"/>
      <c r="B257" s="579"/>
      <c r="C257" s="579"/>
      <c r="D257" s="579"/>
      <c r="E257" s="579"/>
      <c r="F257" s="579"/>
      <c r="H257" s="576"/>
      <c r="I257" s="579"/>
      <c r="J257" s="579"/>
      <c r="K257" s="579"/>
      <c r="L257" s="579"/>
      <c r="M257" s="579"/>
    </row>
    <row r="258" spans="1:13">
      <c r="A258" s="743" t="s">
        <v>3504</v>
      </c>
      <c r="B258" s="779" t="b">
        <f>AND(Quantity1&gt;0,QEPressScrThree&lt;&gt;2, Press3&gt;"")</f>
        <v>0</v>
      </c>
      <c r="C258" s="779" t="b">
        <f>AND(Quantity2&gt;0,QEPressScrThree&lt;&gt;2, Press3&gt;"")</f>
        <v>0</v>
      </c>
      <c r="D258" s="779" t="b">
        <f>AND(Quantity3&gt;0,QEPressScrThree&lt;&gt;2, Press3&gt;"")</f>
        <v>0</v>
      </c>
      <c r="E258" s="779" t="b">
        <f>AND(Quantity4&gt;0,QEPressScrThree&lt;&gt;2, Press3&gt;"")</f>
        <v>0</v>
      </c>
      <c r="F258" s="779" t="b">
        <f>AND(Quantity5&gt;0,QEPressScrThree&lt;&gt;2, Press3&gt;"")</f>
        <v>0</v>
      </c>
      <c r="H258" s="743" t="s">
        <v>3504</v>
      </c>
      <c r="I258" s="779" t="b">
        <f>AND(Quantity6&gt;0,QEPressScrThree&lt;&gt;1, Press3&gt;"")</f>
        <v>0</v>
      </c>
      <c r="J258" s="779" t="b">
        <f>AND(Quantity7&gt;0,QEPressScrThree&lt;&gt;1, Press3&gt;"")</f>
        <v>0</v>
      </c>
      <c r="K258" s="779" t="b">
        <f>AND(Quantity8&gt;0,QEPressScrThree&lt;&gt;1, Press3&gt;"")</f>
        <v>0</v>
      </c>
      <c r="L258" s="779" t="b">
        <f>AND(Quantity9&gt;0,QEPressScrThree&lt;&gt;1, Press3&gt;"")</f>
        <v>0</v>
      </c>
      <c r="M258" s="779" t="b">
        <f>AND(Quantity10&gt;0,QEPressScrThree&lt;&gt;1, Press3&gt;"")</f>
        <v>0</v>
      </c>
    </row>
    <row r="259" spans="1:13">
      <c r="A259" s="743" t="s">
        <v>114</v>
      </c>
      <c r="B259" s="730" t="str">
        <f>IF(FSPrsIndLogTest31=TRUE,MID(Press3,6,3),"")</f>
        <v/>
      </c>
      <c r="C259" s="730" t="str">
        <f>IF(FSPrsIndLogTest32=TRUE,MID(Press3,6,3),"")</f>
        <v/>
      </c>
      <c r="D259" s="730" t="str">
        <f>IF(FSPrsIndLogTest33=TRUE,MID(Press3,6,3),"")</f>
        <v/>
      </c>
      <c r="E259" s="730" t="str">
        <f>IF(FSPrsIndLogTest34=TRUE,MID(Press3,6,3),"")</f>
        <v/>
      </c>
      <c r="F259" s="730" t="str">
        <f>IF(FSPrsIndLogTest35=TRUE,MID(Press3,6,3),"")</f>
        <v/>
      </c>
      <c r="H259" s="743" t="s">
        <v>114</v>
      </c>
      <c r="I259" s="730" t="str">
        <f>IF(FSPrsIndLogTest36=TRUE,MID(Press3,6,3),"")</f>
        <v/>
      </c>
      <c r="J259" s="730" t="str">
        <f>IF(FSPrsIndLogTest37=TRUE,MID(Press3,6,3),"")</f>
        <v/>
      </c>
      <c r="K259" s="730" t="str">
        <f>IF(FSPrsIndLogTest38=TRUE,MID(Press3,6,3),"")</f>
        <v/>
      </c>
      <c r="L259" s="730" t="str">
        <f>IF(FSPrsIndLogTest39=TRUE,MID(Press3,6,3),"")</f>
        <v/>
      </c>
      <c r="M259" s="730" t="str">
        <f>IF(FSPrsIndLogTest310=TRUE,MID(Press3,6,3),"")</f>
        <v/>
      </c>
    </row>
    <row r="260" spans="1:13">
      <c r="A260" s="743" t="s">
        <v>5111</v>
      </c>
      <c r="B260" s="725" t="b">
        <f>IF(FSPrsIndLogTest31=TRUE,QEMinCost3)</f>
        <v>0</v>
      </c>
      <c r="C260" s="725" t="b">
        <f>IF(FSPrsIndLogTest32=TRUE,QEMinCost3)</f>
        <v>0</v>
      </c>
      <c r="D260" s="725" t="b">
        <f>IF(FSPrsIndLogTest33=TRUE,QEMinCost3)</f>
        <v>0</v>
      </c>
      <c r="E260" s="725" t="b">
        <f>IF(FSPrsIndLogTest34=TRUE,QEMinCost3)</f>
        <v>0</v>
      </c>
      <c r="F260" s="725" t="b">
        <f>IF(FSPrsIndLogTest35=TRUE,QEMinCost3)</f>
        <v>0</v>
      </c>
      <c r="H260" s="743" t="s">
        <v>5111</v>
      </c>
      <c r="I260" s="725" t="b">
        <f>IF(FSPrsIndLogTest36=TRUE,QEMinCost3)</f>
        <v>0</v>
      </c>
      <c r="J260" s="725" t="b">
        <f>IF(FSPrsIndLogTest37=TRUE,QEMinCost3)</f>
        <v>0</v>
      </c>
      <c r="K260" s="725" t="b">
        <f>IF(FSPrsIndLogTest38=TRUE,QEMinCost3)</f>
        <v>0</v>
      </c>
      <c r="L260" s="725" t="b">
        <f>IF(FSPrsIndLogTest39=TRUE,QEMinCost3)</f>
        <v>0</v>
      </c>
      <c r="M260" s="725" t="b">
        <f>IF(FSPrsIndLogTest310=TRUE,QEMinCost3)</f>
        <v>0</v>
      </c>
    </row>
    <row r="261" spans="1:13">
      <c r="A261" s="743" t="s">
        <v>5112</v>
      </c>
      <c r="B261" s="780">
        <f xml:space="preserve">  IF(AND(FSMinAmt31&lt;&gt;FALSE, FSMinCost1&gt;0),  FSMinAmt31/FSMinCost1*BaseQuantity, 0)</f>
        <v>0</v>
      </c>
      <c r="C261" s="780">
        <f xml:space="preserve"> IF(AND(FSMinAmt32&lt;&gt;FALSE, FSMinCost2&gt;0),  FSMinAmt32/FSMinCost2*BaseQuantity, 0)</f>
        <v>0</v>
      </c>
      <c r="D261" s="780">
        <f xml:space="preserve"> IF(AND(FSMinAmt33&lt;&gt;FALSE, FSMinCost3&gt;0),   FSMinAmt33/FSMinCost3*BaseQuantity, 0)</f>
        <v>0</v>
      </c>
      <c r="E261" s="780">
        <f xml:space="preserve"> IF(AND(FSMinAmt34&lt;&gt;FALSE, FSMinCost4&gt;0),  FSMinAmt34/FSMinCost4*BaseQuantity, 0)</f>
        <v>0</v>
      </c>
      <c r="F261" s="780">
        <f xml:space="preserve"> IF(AND(FSMinAmt35&lt;&gt;FALSE, FSMinCost5&gt;0),  FSMinAmt35/FSMinCost5*BaseQuantity, 0)</f>
        <v>0</v>
      </c>
      <c r="H261" s="743" t="s">
        <v>5112</v>
      </c>
      <c r="I261" s="780">
        <f xml:space="preserve"> IF(AND(FSMinAmt36&lt;&gt;FALSE, FSMinCost6&gt;0),  FSMinAmt36/FSMinCost6*BaseQuantity, 0)</f>
        <v>0</v>
      </c>
      <c r="J261" s="780">
        <f xml:space="preserve"> IF(AND(FSMinAmt37&lt;&gt;FALSE, FSMinCost7&gt;0),  FSMinAmt37/FSMinCost7*BaseQuantity, 0)</f>
        <v>0</v>
      </c>
      <c r="K261" s="780">
        <f xml:space="preserve"> IF(AND(FSMinAmt38&lt;&gt;FALSE, FSMinCost8&gt;0),  FSMinAmt38/FSMinCost8*BaseQuantity, 0)</f>
        <v>0</v>
      </c>
      <c r="L261" s="780">
        <f xml:space="preserve"> IF(AND(FSMinAmt39&lt;&gt;FALSE, FSMinCost9&gt;0),  FSMinAmt39/FSMinCost9*BaseQuantity, 0)</f>
        <v>0</v>
      </c>
      <c r="M261" s="780">
        <f xml:space="preserve"> IF(AND(FSMinAmt310&lt;&gt;FALSE, FSMinCost10&gt;0),  FSMinAmt310/FSMinCost10*BaseQuantity, 0)</f>
        <v>0</v>
      </c>
    </row>
    <row r="262" spans="1:13" s="734" customFormat="1">
      <c r="A262" s="576"/>
      <c r="B262" s="579"/>
      <c r="C262" s="579"/>
      <c r="D262" s="579"/>
      <c r="E262" s="579"/>
      <c r="F262" s="579"/>
      <c r="H262" s="576"/>
      <c r="I262" s="579"/>
      <c r="J262" s="579"/>
      <c r="K262" s="579"/>
      <c r="L262" s="579"/>
      <c r="M262" s="579"/>
    </row>
    <row r="263" spans="1:13">
      <c r="A263" s="743" t="s">
        <v>112</v>
      </c>
      <c r="B263" s="779" t="b">
        <f>AND(Quantity1&gt;0,QEPressScr6&lt;&gt;2, Press4&gt;"")</f>
        <v>0</v>
      </c>
      <c r="C263" s="779" t="b">
        <f>AND(Quantity2&gt;0,QEPressScr6&lt;&gt;2, Press4&gt;"")</f>
        <v>0</v>
      </c>
      <c r="D263" s="779" t="b">
        <f>AND(Quantity3&gt;0,QEPressScr6&lt;&gt;2, Press4&gt;"")</f>
        <v>0</v>
      </c>
      <c r="E263" s="779" t="b">
        <f>AND(Quantity4&gt;0,QEPressScr6&lt;&gt;2, Press4&gt;"")</f>
        <v>0</v>
      </c>
      <c r="F263" s="779" t="b">
        <f>AND(Quantity5&gt;0,QEPressScr6&lt;&gt;2, Press4&gt;"")</f>
        <v>0</v>
      </c>
      <c r="H263" s="743" t="s">
        <v>112</v>
      </c>
      <c r="I263" s="779" t="b">
        <f>AND(Quantity6&gt;0,QEPressScr6&lt;&gt;1, Press4&gt;"")</f>
        <v>0</v>
      </c>
      <c r="J263" s="779" t="b">
        <f>AND(Quantity7&gt;0,QEPressScr6&lt;&gt;1, Press4&gt;"")</f>
        <v>0</v>
      </c>
      <c r="K263" s="779" t="b">
        <f>AND(Quantity8&gt;0,QEPressScr6&lt;&gt;1, Press4&gt;"")</f>
        <v>0</v>
      </c>
      <c r="L263" s="779" t="b">
        <f>AND(Quantity9&gt;0,QEPressScr6&lt;&gt;1, Press4&gt;"")</f>
        <v>0</v>
      </c>
      <c r="M263" s="779" t="b">
        <f>AND(Quantity10&gt;0,QEPressScr6&lt;&gt;1, Press4&gt;"")</f>
        <v>0</v>
      </c>
    </row>
    <row r="264" spans="1:13">
      <c r="A264" s="743" t="s">
        <v>113</v>
      </c>
      <c r="B264" s="730" t="str">
        <f>IF(FSPrsIndLogTest41=TRUE,MID(Press4,6,3),"")</f>
        <v/>
      </c>
      <c r="C264" s="730" t="str">
        <f>IF(FSPrsIndLogTest42=TRUE,MID(Press4,6,3),"")</f>
        <v/>
      </c>
      <c r="D264" s="730" t="str">
        <f>IF(FSPrsIndLogTest43=TRUE,MID(Press4,6,3),"")</f>
        <v/>
      </c>
      <c r="E264" s="730" t="str">
        <f>IF(FSPrsIndLogTest44=TRUE,MID(Press4,6,3),"")</f>
        <v/>
      </c>
      <c r="F264" s="730" t="str">
        <f>IF(FSPrsIndLogTest45=TRUE,MID(Press4,6,3),"")</f>
        <v/>
      </c>
      <c r="H264" s="743" t="s">
        <v>113</v>
      </c>
      <c r="I264" s="730" t="str">
        <f>IF(FSPrsIndLogTest46=TRUE,MID(Press4,6,3),"")</f>
        <v/>
      </c>
      <c r="J264" s="730" t="str">
        <f>IF(FSPrsIndLogTest47=TRUE,MID(Press4,6,3),"")</f>
        <v/>
      </c>
      <c r="K264" s="730" t="str">
        <f>IF(FSPrsIndLogTest48=TRUE,MID(Press4,6,3),"")</f>
        <v/>
      </c>
      <c r="L264" s="730" t="str">
        <f>IF(FSPrsIndLogTest49=TRUE,MID(Press4,6,3),"")</f>
        <v/>
      </c>
      <c r="M264" s="730" t="str">
        <f>IF(FSPrsIndLogTest410=TRUE,MID(Press4,6,3),"")</f>
        <v/>
      </c>
    </row>
    <row r="265" spans="1:13">
      <c r="A265" s="743" t="s">
        <v>5111</v>
      </c>
      <c r="B265" s="725" t="b">
        <f>IF(FSPrsIndLogTest41=TRUE,QEMinCost6)</f>
        <v>0</v>
      </c>
      <c r="C265" s="725" t="b">
        <f>IF(FSPrsIndLogTest42=TRUE,QEMinCost6)</f>
        <v>0</v>
      </c>
      <c r="D265" s="725" t="b">
        <f>IF(FSPrsIndLogTest43=TRUE,QEMinCost6)</f>
        <v>0</v>
      </c>
      <c r="E265" s="725" t="b">
        <f>IF(FSPrsIndLogTest44=TRUE,QEMinCost6)</f>
        <v>0</v>
      </c>
      <c r="F265" s="725" t="b">
        <f>IF(FSPrsIndLogTest45=TRUE,QEMinCost6)</f>
        <v>0</v>
      </c>
      <c r="H265" s="743" t="s">
        <v>5111</v>
      </c>
      <c r="I265" s="725" t="b">
        <f>IF(FSPrsIndLogTest46=TRUE,QEMinCost6)</f>
        <v>0</v>
      </c>
      <c r="J265" s="725" t="b">
        <f>IF(FSPrsIndLogTest47=TRUE,QEMinCost6)</f>
        <v>0</v>
      </c>
      <c r="K265" s="725" t="b">
        <f>IF(FSPrsIndLogTest48=TRUE,QEMinCost6)</f>
        <v>0</v>
      </c>
      <c r="L265" s="725" t="b">
        <f>IF(FSPrsIndLogTest49=TRUE,QEMinCost6)</f>
        <v>0</v>
      </c>
      <c r="M265" s="725" t="b">
        <f>IF(FSPrsIndLogTest410=TRUE,QEMinCost6)</f>
        <v>0</v>
      </c>
    </row>
    <row r="266" spans="1:13" ht="14.25" customHeight="1">
      <c r="A266" s="743" t="s">
        <v>5112</v>
      </c>
      <c r="B266" s="780">
        <f xml:space="preserve">  IF(AND(FSMinAmt41&lt;&gt;FALSE, FSMinCost1&gt;0), FSMinAmt41/FSMinCost1*BaseQuantity, 0)</f>
        <v>0</v>
      </c>
      <c r="C266" s="780">
        <f xml:space="preserve">  IF(AND(FSMinAmt42&lt;&gt;FALSE, FSMinCost2&gt;0), FSMinAmt42/FSMinCost2*BaseQuantity, 0)</f>
        <v>0</v>
      </c>
      <c r="D266" s="780">
        <f xml:space="preserve">  IF(AND(FSMinAmt43&lt;&gt;FALSE, FSMinCost3&gt;0), FSMinAmt43/FSMinCost3*BaseQuantity, 0)</f>
        <v>0</v>
      </c>
      <c r="E266" s="780">
        <f xml:space="preserve">  IF(AND(FSMinAmt44&lt;&gt;FALSE, FSMinCost4&gt;0), FSMinAmt44/FSMinCost4*BaseQuantity, 0)</f>
        <v>0</v>
      </c>
      <c r="F266" s="780">
        <f xml:space="preserve">  IF(AND(FSMinAmt45&lt;&gt;FALSE, FSMinCost5&gt;0), FSMinAmt45/FSMinCost5*BaseQuantity, 0)</f>
        <v>0</v>
      </c>
      <c r="H266" s="743" t="s">
        <v>5112</v>
      </c>
      <c r="I266" s="780">
        <f xml:space="preserve">  IF(AND(FSMinAmt46&lt;&gt;FALSE, FSMinCost6&gt;0), FSMinAmt46/FSMinCost6*BaseQuantity, 0)</f>
        <v>0</v>
      </c>
      <c r="J266" s="780">
        <f xml:space="preserve">  IF(AND(FSMinAmt47&lt;&gt;FALSE, FSMinCost7&gt;0), FSMinAmt47/FSMinCost7*BaseQuantity, 0)</f>
        <v>0</v>
      </c>
      <c r="K266" s="780">
        <f xml:space="preserve">  IF(AND(FSMinAmt48&lt;&gt;FALSE, FSMinCost8&gt;0), FSMinAmt48/FSMinCost8*BaseQuantity, 0)</f>
        <v>0</v>
      </c>
      <c r="L266" s="780">
        <f xml:space="preserve">  IF(AND(FSMinAmt49&lt;&gt;FALSE, FSMinCost9&gt;0), FSMinAmt49/FSMinCost9*BaseQuantity, 0)</f>
        <v>0</v>
      </c>
      <c r="M266" s="780">
        <f xml:space="preserve">  IF(AND(FSMinAmt410&lt;&gt;FALSE, FSMinCost10&gt;0), FSMinAmt410/FSMinCost10*BaseQuantity, 0)</f>
        <v>0</v>
      </c>
    </row>
    <row r="267" spans="1:13" s="734" customFormat="1">
      <c r="A267" s="576"/>
      <c r="B267" s="579"/>
      <c r="C267" s="579"/>
      <c r="D267" s="579"/>
      <c r="E267" s="579"/>
      <c r="F267" s="579"/>
      <c r="H267" s="576"/>
      <c r="I267" s="579"/>
      <c r="J267" s="579"/>
      <c r="K267" s="579"/>
      <c r="L267" s="579"/>
      <c r="M267" s="579"/>
    </row>
    <row r="268" spans="1:13">
      <c r="A268" s="743" t="s">
        <v>117</v>
      </c>
      <c r="B268" s="779" t="b">
        <f>AND(Quantity1&gt;0,QEPressScr7&lt;&gt;2, Press5&gt;"")</f>
        <v>0</v>
      </c>
      <c r="C268" s="779" t="b">
        <f>AND(Quantity2&gt;0,QEPressScr7&lt;&gt;2, Press5&gt;"")</f>
        <v>0</v>
      </c>
      <c r="D268" s="779" t="b">
        <f>AND(Quantity3&gt;0,QEPressScr7&lt;&gt;2, Press5&gt;"")</f>
        <v>0</v>
      </c>
      <c r="E268" s="779" t="b">
        <f>AND(Quantity4&gt;0,QEPressScr7&lt;&gt;2, Press5&gt;"")</f>
        <v>0</v>
      </c>
      <c r="F268" s="779" t="b">
        <f>AND(Quantity5&gt;0,QEPressScr7&lt;&gt;2, Press5&gt;"")</f>
        <v>0</v>
      </c>
      <c r="H268" s="743" t="s">
        <v>117</v>
      </c>
      <c r="I268" s="779" t="b">
        <f>AND(Quantity6&gt;0,QEPressScr7&lt;&gt;1, Press5&gt;"")</f>
        <v>0</v>
      </c>
      <c r="J268" s="779" t="b">
        <f>AND(Quantity7&gt;0,QEPressScr7&lt;&gt;1, Press5&gt;"")</f>
        <v>0</v>
      </c>
      <c r="K268" s="779" t="b">
        <f>AND(Quantity8&gt;0,QEPressScr7&lt;&gt;1, Press5&gt;"")</f>
        <v>0</v>
      </c>
      <c r="L268" s="779" t="b">
        <f>AND(Quantity9&gt;0,QEPressScr7&lt;&gt;1, Press5&gt;"")</f>
        <v>0</v>
      </c>
      <c r="M268" s="779" t="b">
        <f>AND(Quantity10&gt;0,QEPressScr7&lt;&gt;1, Press5&gt;"")</f>
        <v>0</v>
      </c>
    </row>
    <row r="269" spans="1:13">
      <c r="A269" s="743" t="s">
        <v>118</v>
      </c>
      <c r="B269" s="730" t="str">
        <f>IF(FSPrsIndLogTest51=TRUE,MID(Press5,6,3),"")</f>
        <v/>
      </c>
      <c r="C269" s="730" t="str">
        <f>IF(FSPrsIndLogTest52=TRUE,MID(Press5,6,3),"")</f>
        <v/>
      </c>
      <c r="D269" s="730" t="str">
        <f>IF(FSPrsIndLogTest53=TRUE,MID(Press5,6,3),"")</f>
        <v/>
      </c>
      <c r="E269" s="730" t="str">
        <f>IF(FSPrsIndLogTest54=TRUE,MID(Press5,6,3),"")</f>
        <v/>
      </c>
      <c r="F269" s="730" t="str">
        <f>IF(FSPrsIndLogTest55=TRUE,MID(Press5,6,3),"")</f>
        <v/>
      </c>
      <c r="H269" s="743" t="s">
        <v>118</v>
      </c>
      <c r="I269" s="730" t="str">
        <f>IF(FSPrsIndLogTest56=TRUE,MID(Press5,6,3),"")</f>
        <v/>
      </c>
      <c r="J269" s="730" t="str">
        <f>IF(FSPrsIndLogTest57=TRUE,MID(Press5,6,3),"")</f>
        <v/>
      </c>
      <c r="K269" s="730" t="str">
        <f>IF(FSPrsIndLogTest58=TRUE,MID(Press5,6,3),"")</f>
        <v/>
      </c>
      <c r="L269" s="730" t="str">
        <f>IF(FSPrsIndLogTest59=TRUE,MID(Press5,6,3),"")</f>
        <v/>
      </c>
      <c r="M269" s="730" t="str">
        <f>IF(FSPrsIndLogTest510=TRUE,MID(Press5,6,3),"")</f>
        <v/>
      </c>
    </row>
    <row r="270" spans="1:13">
      <c r="A270" s="743" t="s">
        <v>5111</v>
      </c>
      <c r="B270" s="725" t="b">
        <f>IF(FSPrsIndLogTest51=TRUE,QEMinCost7)</f>
        <v>0</v>
      </c>
      <c r="C270" s="725" t="b">
        <f>IF(FSPrsIndLogTest52=TRUE,QEMinCost7)</f>
        <v>0</v>
      </c>
      <c r="D270" s="725" t="b">
        <f>IF(FSPrsIndLogTest53=TRUE,QEMinCost7)</f>
        <v>0</v>
      </c>
      <c r="E270" s="725" t="b">
        <f>IF(FSPrsIndLogTest54=TRUE,QEMinCost7)</f>
        <v>0</v>
      </c>
      <c r="F270" s="725" t="b">
        <f>IF(FSPrsIndLogTest55=TRUE,QEMinCost7)</f>
        <v>0</v>
      </c>
      <c r="H270" s="743" t="s">
        <v>5111</v>
      </c>
      <c r="I270" s="725" t="b">
        <f>IF(FSPrsIndLogTest56=TRUE,QEMinCost7)</f>
        <v>0</v>
      </c>
      <c r="J270" s="725" t="b">
        <f>IF(FSPrsIndLogTest57=TRUE,QEMinCost7)</f>
        <v>0</v>
      </c>
      <c r="K270" s="725" t="b">
        <f>IF(FSPrsIndLogTest58=TRUE,QEMinCost7)</f>
        <v>0</v>
      </c>
      <c r="L270" s="725" t="b">
        <f>IF(FSPrsIndLogTest59=TRUE,QEMinCost7)</f>
        <v>0</v>
      </c>
      <c r="M270" s="725" t="b">
        <f>IF(FSPrsIndLogTest510=TRUE,QEMinCost7)</f>
        <v>0</v>
      </c>
    </row>
    <row r="271" spans="1:13">
      <c r="A271" s="743" t="s">
        <v>5112</v>
      </c>
      <c r="B271" s="780">
        <f xml:space="preserve">  IF(AND(FSMinAmt51&lt;&gt;FALSE, FSMinCost1&gt;0), FSMinAmt51/FSMinCost1*BaseQuantity, 0)</f>
        <v>0</v>
      </c>
      <c r="C271" s="780">
        <f xml:space="preserve">  IF(AND(FSMinAmt52&lt;&gt;FALSE, FSMinCost2&gt;0), FSMinAmt52/FSMinCost2*BaseQuantity, 0)</f>
        <v>0</v>
      </c>
      <c r="D271" s="780">
        <f xml:space="preserve">  IF(AND(FSMinAmt53&lt;&gt;FALSE, FSMinCost3&gt;0), FSMinAmt53/FSMinCost3*BaseQuantity, 0)</f>
        <v>0</v>
      </c>
      <c r="E271" s="780">
        <f xml:space="preserve">  IF(AND(FSMinAmt54&lt;&gt;FALSE, FSMinCost4&gt;0), FSMinAmt54/FSMinCost4*BaseQuantity, 0)</f>
        <v>0</v>
      </c>
      <c r="F271" s="780">
        <f xml:space="preserve">  IF(AND(FSMinAmt55&lt;&gt;FALSE, FSMinCost5&gt;0), FSMinAmt55/FSMinCost5*BaseQuantity, 0)</f>
        <v>0</v>
      </c>
      <c r="H271" s="743" t="s">
        <v>5112</v>
      </c>
      <c r="I271" s="780">
        <f xml:space="preserve">  IF(AND(FSMinAmt56&lt;&gt;FALSE, FSMinCost6&gt;0), FSMinAmt56/FSMinCost6*BaseQuantity, 0)</f>
        <v>0</v>
      </c>
      <c r="J271" s="780">
        <f xml:space="preserve">  IF(AND(FSMinAmt57&lt;&gt;FALSE, FSMinCost7&gt;0), FSMinAmt57/FSMinCost7*BaseQuantity, 0)</f>
        <v>0</v>
      </c>
      <c r="K271" s="780">
        <f xml:space="preserve">  IF(AND(FSMinAmt58&lt;&gt;FALSE, FSMinCost8&gt;0), FSMinAmt58/FSMinCost8*BaseQuantity, 0)</f>
        <v>0</v>
      </c>
      <c r="L271" s="780">
        <f xml:space="preserve">  IF(AND(FSMinAmt59&lt;&gt;FALSE, FSMinCost9&gt;0), FSMinAmt59/FSMinCost9*BaseQuantity, 0)</f>
        <v>0</v>
      </c>
      <c r="M271" s="780">
        <f xml:space="preserve">  IF(AND(FSMinAmt510&lt;&gt;FALSE, FSMinCost10&gt;0), FSMinAmt510/FSMinCost10*BaseQuantity, 0)</f>
        <v>0</v>
      </c>
    </row>
    <row r="272" spans="1:13">
      <c r="B272" s="579"/>
      <c r="C272" s="579"/>
      <c r="D272" s="579"/>
      <c r="E272" s="579"/>
      <c r="F272" s="579"/>
      <c r="H272" s="743"/>
      <c r="I272" s="579"/>
      <c r="J272" s="579"/>
      <c r="K272" s="579"/>
      <c r="L272" s="579"/>
      <c r="M272" s="579"/>
    </row>
    <row r="273" spans="1:13">
      <c r="A273" s="743" t="s">
        <v>5110</v>
      </c>
      <c r="B273" s="779" t="b">
        <f>AND(Quantity1&gt;0,QEPressScr9&lt;&gt;2, Press9&gt;"")</f>
        <v>0</v>
      </c>
      <c r="C273" s="779" t="b">
        <f>AND(Quantity2&gt;0,QEPressScr9&lt;&gt;2, Press9&gt;"")</f>
        <v>0</v>
      </c>
      <c r="D273" s="779" t="b">
        <f>AND(Quantity3&gt;0,QEPressScr9&lt;&gt;2, Press9&gt;"")</f>
        <v>0</v>
      </c>
      <c r="E273" s="779" t="b">
        <f>AND(Quantity4&gt;0,QEPressScr9&lt;&gt;2, Press9&gt;"")</f>
        <v>0</v>
      </c>
      <c r="F273" s="779" t="b">
        <f>AND(Quantity5&gt;0,QEPressScr9&lt;&gt;2, Press9&gt;"")</f>
        <v>0</v>
      </c>
      <c r="H273" s="743" t="s">
        <v>5110</v>
      </c>
      <c r="I273" s="779" t="b">
        <f>AND(Quantity6&gt;0,QEPressScr9&lt;&gt;1, Press9&gt;"")</f>
        <v>0</v>
      </c>
      <c r="J273" s="779" t="b">
        <f>AND(Quantity7&gt;0,QEPressScr9&lt;&gt;1, Press9&gt;"")</f>
        <v>0</v>
      </c>
      <c r="K273" s="779" t="b">
        <f>AND(Quantity8&gt;0,QEPressScr9&lt;&gt;1, Press9&gt;"")</f>
        <v>0</v>
      </c>
      <c r="L273" s="779" t="b">
        <f>AND(Quantity9&gt;0,QEPressScr9&lt;&gt;1, Press9&gt;"")</f>
        <v>0</v>
      </c>
      <c r="M273" s="779" t="b">
        <f>AND(Quantity10&gt;0,QEPressScr9&lt;&gt;1, Press9&gt;"")</f>
        <v>0</v>
      </c>
    </row>
    <row r="274" spans="1:13">
      <c r="A274" s="743" t="s">
        <v>2562</v>
      </c>
      <c r="B274" s="730" t="str">
        <f>IF(FSPrsIndLogTest61=TRUE,MID(Press9,6,3),"")</f>
        <v/>
      </c>
      <c r="C274" s="730" t="str">
        <f>IF(FSPrsIndLogTest62=TRUE,MID(Press9,6,3),"")</f>
        <v/>
      </c>
      <c r="D274" s="730" t="str">
        <f>IF(FSPrsIndLogTest63=TRUE,MID(Press9,6,3),"")</f>
        <v/>
      </c>
      <c r="E274" s="730" t="str">
        <f>IF(FSPrsIndLogTest64=TRUE,MID(Press9,6,3),"")</f>
        <v/>
      </c>
      <c r="F274" s="730" t="str">
        <f>IF(FSPrsIndLogTest65=TRUE,MID(Press9,6,3),"")</f>
        <v/>
      </c>
      <c r="H274" s="743" t="s">
        <v>2562</v>
      </c>
      <c r="I274" s="730" t="str">
        <f>IF(FSPrsIndLogTest66=TRUE,MID(Press9,6,3),"")</f>
        <v/>
      </c>
      <c r="J274" s="730" t="str">
        <f>IF(FSPrsIndLogTest67=TRUE,MID(Press9,6,3),"")</f>
        <v/>
      </c>
      <c r="K274" s="730" t="str">
        <f>IF(FSPrsIndLogTest68=TRUE,MID(Press9,6,3),"")</f>
        <v/>
      </c>
      <c r="L274" s="730" t="str">
        <f>IF(FSPrsIndLogTest69=TRUE,MID(Press9,6,3),"")</f>
        <v/>
      </c>
      <c r="M274" s="730" t="str">
        <f>IF(FSPrsIndLogTest610=TRUE,MID(Press9,6,3),"")</f>
        <v/>
      </c>
    </row>
    <row r="275" spans="1:13">
      <c r="A275" s="743" t="s">
        <v>5111</v>
      </c>
      <c r="B275" s="725" t="b">
        <f>IF(FSPrsIndLogTest61=TRUE,QEMinCost9)</f>
        <v>0</v>
      </c>
      <c r="C275" s="725" t="b">
        <f>IF(FSPrsIndLogTest62=TRUE,QEMinCost9)</f>
        <v>0</v>
      </c>
      <c r="D275" s="725" t="b">
        <f>IF(FSPrsIndLogTest63=TRUE,QEMinCost9)</f>
        <v>0</v>
      </c>
      <c r="E275" s="725" t="b">
        <f>IF(FSPrsIndLogTest64=TRUE,QEMinCost9)</f>
        <v>0</v>
      </c>
      <c r="F275" s="725" t="b">
        <f>IF(FSPrsIndLogTest65=TRUE,QEMinCost9)</f>
        <v>0</v>
      </c>
      <c r="H275" s="743" t="s">
        <v>5111</v>
      </c>
      <c r="I275" s="725" t="b">
        <f>IF(FSPrsIndLogTest66=TRUE,QEMinCost9)</f>
        <v>0</v>
      </c>
      <c r="J275" s="725" t="b">
        <f>IF(FSPrsIndLogTest67=TRUE,QEMinCost9)</f>
        <v>0</v>
      </c>
      <c r="K275" s="725" t="b">
        <f>IF(FSPrsIndLogTest68=TRUE,QEMinCost9)</f>
        <v>0</v>
      </c>
      <c r="L275" s="725" t="b">
        <f>IF(FSPrsIndLogTest69=TRUE,QEMinCost9)</f>
        <v>0</v>
      </c>
      <c r="M275" s="725" t="b">
        <f>IF(FSPrsIndLogTest610=TRUE,QEMinCost9)</f>
        <v>0</v>
      </c>
    </row>
    <row r="276" spans="1:13">
      <c r="A276" s="743" t="s">
        <v>5112</v>
      </c>
      <c r="B276" s="780">
        <f xml:space="preserve">  IF(AND(FSMinAmt61&lt;&gt;FALSE, FSMinCost1&gt;0),     FSMinAmt61/FSMinCost1*BaseQuantity, 0)</f>
        <v>0</v>
      </c>
      <c r="C276" s="780">
        <f xml:space="preserve">  IF(AND(FSMinAmt62&lt;&gt;FALSE, FSMinCost2&gt;0), FSMinAmt62/FSMinCost2*BaseQuantity, 0)</f>
        <v>0</v>
      </c>
      <c r="D276" s="780">
        <f xml:space="preserve">  IF(AND(FSMinAmt63&lt;&gt;FALSE, FSMinCost3&gt;0), FSMinAmt63/FSMinCost3*BaseQuantity, 0)</f>
        <v>0</v>
      </c>
      <c r="E276" s="780">
        <f xml:space="preserve">  IF(AND(FSMinAmt64&lt;&gt;FALSE, FSMinCost4&gt;0), FSMinAmt64/FSMinCost4*BaseQuantity, 0)</f>
        <v>0</v>
      </c>
      <c r="F276" s="780">
        <f xml:space="preserve">  IF(AND(FSMinAmt65&lt;&gt;FALSE, FSMinCost5&gt;0), FSMinAmt65/FSMinCost5*BaseQuantity, 0)</f>
        <v>0</v>
      </c>
      <c r="H276" s="743" t="s">
        <v>5112</v>
      </c>
      <c r="I276" s="780">
        <f xml:space="preserve">  IF(AND(FSMinAmt66&lt;&gt;FALSE, FSMinCost6&gt;0), FSMinAmt66/FSMinCost6*BaseQuantity, 0)</f>
        <v>0</v>
      </c>
      <c r="J276" s="780">
        <f xml:space="preserve">  IF(AND(FSMinAmt67&lt;&gt;FALSE, FSMinCost7&gt;0), FSMinAmt67/FSMinCost7*BaseQuantity, 0)</f>
        <v>0</v>
      </c>
      <c r="K276" s="780">
        <f xml:space="preserve">  IF(AND(FSMinAmt68&lt;&gt;FALSE, FSMinCost8&gt;0), FSMinAmt68/FSMinCost8*BaseQuantity, 0)</f>
        <v>0</v>
      </c>
      <c r="L276" s="780">
        <f xml:space="preserve">  IF(AND(FSMinAmt69&lt;&gt;FALSE, FSMinCost9&gt;0), FSMinAmt69/FSMinCost9*BaseQuantity, 0)</f>
        <v>0</v>
      </c>
      <c r="M276" s="780">
        <f xml:space="preserve">  IF(AND(FSMinAmt610&lt;&gt;FALSE, FSMinCost10&gt;0), FSMinAmt610/FSMinCost10*BaseQuantity, 0)</f>
        <v>0</v>
      </c>
    </row>
    <row r="278" spans="1:13">
      <c r="A278" s="743" t="s">
        <v>1286</v>
      </c>
      <c r="B278" s="779" t="b">
        <f>AND(Quantity1&gt;0,QEPressScr10&lt;&gt;2, Press10&gt;"")</f>
        <v>0</v>
      </c>
      <c r="C278" s="779" t="b">
        <f>AND(Quantity2&gt;0,QEPressScr10&lt;&gt;2, Press10&gt;"")</f>
        <v>0</v>
      </c>
      <c r="D278" s="779" t="b">
        <f>AND(Quantity3&gt;0,QEPressScr10&lt;&gt;2, Press10&gt;"")</f>
        <v>0</v>
      </c>
      <c r="E278" s="779" t="b">
        <f>AND(Quantity4&gt;0,QEPressScr10&lt;&gt;2, Press10&gt;"")</f>
        <v>0</v>
      </c>
      <c r="F278" s="779" t="b">
        <f>AND(Quantity5&gt;0,QEPressScr10&lt;&gt;2, Press10&gt;"")</f>
        <v>0</v>
      </c>
      <c r="H278" s="743" t="s">
        <v>1286</v>
      </c>
      <c r="I278" s="779" t="b">
        <f>AND(Quantity6&gt;0,QEPressScr10&lt;&gt;1, Press10&gt;"")</f>
        <v>0</v>
      </c>
      <c r="J278" s="779" t="b">
        <f>AND(Quantity7&gt;0,QEPressScr10&lt;&gt;1, Press10&gt;"")</f>
        <v>0</v>
      </c>
      <c r="K278" s="779" t="b">
        <f>AND(Quantity8&gt;0,QEPressScr10&lt;&gt;1, Press10&gt;"")</f>
        <v>0</v>
      </c>
      <c r="L278" s="779" t="b">
        <f>AND(Quantity9&gt;0,QEPressScr10&lt;&gt;1, Press10&gt;"")</f>
        <v>0</v>
      </c>
      <c r="M278" s="779" t="b">
        <f>AND(Quantity10&gt;0,QEPressScr10&lt;&gt;1, Press10&gt;"")</f>
        <v>0</v>
      </c>
    </row>
    <row r="279" spans="1:13">
      <c r="A279" s="743" t="s">
        <v>1287</v>
      </c>
      <c r="B279" s="730" t="str">
        <f>IF(FSPrsIndLogTest71=TRUE,MID(Press10,6,3),"")</f>
        <v/>
      </c>
      <c r="C279" s="730" t="str">
        <f>IF(FSPrsIndLogTest72=TRUE,MID(Press10,6,3),"")</f>
        <v/>
      </c>
      <c r="D279" s="730" t="str">
        <f>IF(FSPrsIndLogTest73=TRUE,MID(Press10,6,3),"")</f>
        <v/>
      </c>
      <c r="E279" s="730" t="str">
        <f>IF(FSPrsIndLogTest74=TRUE,MID(Press10,6,3),"")</f>
        <v/>
      </c>
      <c r="F279" s="730" t="str">
        <f>IF(FSPrsIndLogTest75=TRUE,MID(Press10,6,3),"")</f>
        <v/>
      </c>
      <c r="H279" s="743" t="s">
        <v>1287</v>
      </c>
      <c r="I279" s="730" t="str">
        <f>IF(FSPrsIndLogTest76=TRUE,MID(Press10,6,3),"")</f>
        <v/>
      </c>
      <c r="J279" s="730" t="str">
        <f>IF(FSPrsIndLogTest77=TRUE,MID(Press10,6,3),"")</f>
        <v/>
      </c>
      <c r="K279" s="730" t="str">
        <f>IF(FSPrsIndLogTest78=TRUE,MID(Press10,6,3),"")</f>
        <v/>
      </c>
      <c r="L279" s="730" t="str">
        <f>IF(FSPrsIndLogTest79=TRUE,MID(Press10,6,3),"")</f>
        <v/>
      </c>
      <c r="M279" s="730" t="str">
        <f>IF(FSPrsIndLogTest710=TRUE,MID(Press10,6,3),"")</f>
        <v/>
      </c>
    </row>
    <row r="280" spans="1:13">
      <c r="A280" s="743" t="s">
        <v>5111</v>
      </c>
      <c r="B280" s="725" t="b">
        <f>IF(FSPrsIndLogTest71=TRUE,QEMinCost10)</f>
        <v>0</v>
      </c>
      <c r="C280" s="725" t="b">
        <f>IF(FSPrsIndLogTest72=TRUE,QEMinCost10)</f>
        <v>0</v>
      </c>
      <c r="D280" s="725" t="b">
        <f>IF(FSPrsIndLogTest73=TRUE,QEMinCost10)</f>
        <v>0</v>
      </c>
      <c r="E280" s="725" t="b">
        <f>IF(FSPrsIndLogTest74=TRUE,QEMinCost10)</f>
        <v>0</v>
      </c>
      <c r="F280" s="725" t="b">
        <f>IF(FSPrsIndLogTest75=TRUE,QEMinCost10)</f>
        <v>0</v>
      </c>
      <c r="H280" s="743" t="s">
        <v>5111</v>
      </c>
      <c r="I280" s="725" t="b">
        <f>IF(FSPrsIndLogTest76=TRUE,QEMinCost10)</f>
        <v>0</v>
      </c>
      <c r="J280" s="725" t="b">
        <f>IF(FSPrsIndLogTest77=TRUE,QEMinCost10)</f>
        <v>0</v>
      </c>
      <c r="K280" s="725" t="b">
        <f>IF(FSPrsIndLogTest78=TRUE,QEMinCost10)</f>
        <v>0</v>
      </c>
      <c r="L280" s="725" t="b">
        <f>IF(FSPrsIndLogTest79=TRUE,QEMinCost10)</f>
        <v>0</v>
      </c>
      <c r="M280" s="725" t="b">
        <f>IF(FSPrsIndLogTest710=TRUE,QEMinCost10)</f>
        <v>0</v>
      </c>
    </row>
    <row r="281" spans="1:13">
      <c r="A281" s="743" t="s">
        <v>5112</v>
      </c>
      <c r="B281" s="780">
        <f xml:space="preserve">  IF(AND(FSMinAmt71&lt;&gt;FALSE, FSMinCost1&gt;0),   FSMinAmt71/FSMinCost1*BaseQuantity, 0)</f>
        <v>0</v>
      </c>
      <c r="C281" s="780">
        <f xml:space="preserve">  IF(AND(FSMinAmt72&lt;&gt;FALSE, FSMinCost2&gt;0),   FSMinAmt72/FSMinCost2*BaseQuantity, 0)</f>
        <v>0</v>
      </c>
      <c r="D281" s="780">
        <f xml:space="preserve">  IF(AND(FSMinAmt73&lt;&gt;FALSE, FSMinCost3&gt;0),   FSMinAmt73/FSMinCost3*BaseQuantity, 0)</f>
        <v>0</v>
      </c>
      <c r="E281" s="780">
        <f xml:space="preserve">  IF(AND(FSMinAmt74&lt;&gt;FALSE, FSMinCost4&gt;0),   FSMinAmt74/FSMinCost4*BaseQuantity, 0)</f>
        <v>0</v>
      </c>
      <c r="F281" s="780">
        <f xml:space="preserve">  IF(AND(FSMinAmt75&lt;&gt;FALSE, FSMinCost5&gt;0),   FSMinAmt75/FSMinCost5*BaseQuantity, 0)</f>
        <v>0</v>
      </c>
      <c r="H281" s="743" t="s">
        <v>5112</v>
      </c>
      <c r="I281" s="780">
        <f xml:space="preserve">  IF(AND(FSMinAmt76&lt;&gt;FALSE, FSMinCost6&gt;0),   FSMinAmt76/FSMinCost6*BaseQuantity, 0)</f>
        <v>0</v>
      </c>
      <c r="J281" s="780">
        <f xml:space="preserve">  IF(AND(FSMinAmt77&lt;&gt;FALSE, FSMinCost7&gt;0),   FSMinAmt77/FSMinCost7*BaseQuantity, 0)</f>
        <v>0</v>
      </c>
      <c r="K281" s="780">
        <f xml:space="preserve">  IF(AND(FSMinAmt78&lt;&gt;FALSE, FSMinCost8&gt;0),   FSMinAmt78/FSMinCost8*BaseQuantity, 0)</f>
        <v>0</v>
      </c>
      <c r="L281" s="780">
        <f xml:space="preserve">  IF(AND(FSMinAmt79&lt;&gt;FALSE, FSMinCost9&gt;0),   FSMinAmt79/FSMinCost9*BaseQuantity, 0)</f>
        <v>0</v>
      </c>
      <c r="M281" s="780">
        <f xml:space="preserve">  IF(AND(FSMinAmt710&lt;&gt;FALSE, FSMinCost10&gt;0),   FSMinAmt710/FSMinCost10*BaseQuantity, 0)</f>
        <v>0</v>
      </c>
    </row>
    <row r="283" spans="1:13">
      <c r="A283" s="743" t="s">
        <v>1932</v>
      </c>
      <c r="B283" s="779" t="b">
        <f>AND(Quantity1&gt;0,QEPressScrFour&lt;&gt;2, Press6&gt;"")</f>
        <v>0</v>
      </c>
      <c r="C283" s="779" t="b">
        <f>AND(Quantity2&gt;0,QEPressScrFour&lt;&gt;2, Press6&gt;"")</f>
        <v>0</v>
      </c>
      <c r="D283" s="779" t="b">
        <f>AND(Quantity3&gt;0,QEPressScrFour&lt;&gt;2, Press6&gt;"")</f>
        <v>0</v>
      </c>
      <c r="E283" s="779" t="b">
        <f>AND(Quantity4&gt;0,QEPressScrFour&lt;&gt;2, Press6&gt;"")</f>
        <v>0</v>
      </c>
      <c r="F283" s="779" t="b">
        <f>AND(Quantity5&gt;0,QEPressScrFour&lt;&gt;2, Press6&gt;"")</f>
        <v>0</v>
      </c>
      <c r="H283" s="743" t="s">
        <v>1932</v>
      </c>
      <c r="I283" s="779" t="b">
        <f>AND(Quantity6&gt;0,QEPressScrFour&lt;&gt;1, Press6&gt;"")</f>
        <v>0</v>
      </c>
      <c r="J283" s="779" t="b">
        <f>AND(Quantity7&gt;0,QEPressScrFour&lt;&gt;1, Press6&gt;"")</f>
        <v>0</v>
      </c>
      <c r="K283" s="779" t="b">
        <f>AND(Quantity8&gt;0,QEPressScrFour&lt;&gt;1, Press6&gt;"")</f>
        <v>0</v>
      </c>
      <c r="L283" s="779" t="b">
        <f>AND(Quantity9&gt;0,QEPressScrFour&lt;&gt;1, Press6&gt;"")</f>
        <v>0</v>
      </c>
      <c r="M283" s="779" t="b">
        <f>AND(Quantity10&gt;0,QEPressScrFour&lt;&gt;1, Press6&gt;"")</f>
        <v>0</v>
      </c>
    </row>
    <row r="284" spans="1:13">
      <c r="A284" s="743" t="s">
        <v>1931</v>
      </c>
      <c r="B284" s="730" t="str">
        <f>IF(FSPrsIndLogTest81=TRUE,MID(Press6,6,3),"")</f>
        <v/>
      </c>
      <c r="C284" s="730" t="str">
        <f>IF(FSPrsIndLogTest82=TRUE,MID(Press6,6,3),"")</f>
        <v/>
      </c>
      <c r="D284" s="730" t="str">
        <f>IF(FSPrsIndLogTest83=TRUE,MID(Press6,6,3),"")</f>
        <v/>
      </c>
      <c r="E284" s="730" t="str">
        <f>IF(FSPrsIndLogTest84=TRUE,MID(Press6,6,3),"")</f>
        <v/>
      </c>
      <c r="F284" s="730" t="str">
        <f>IF(FSPrsIndLogTest85=TRUE,MID(Press6,6,3),"")</f>
        <v/>
      </c>
      <c r="H284" s="743" t="s">
        <v>1931</v>
      </c>
      <c r="I284" s="730" t="str">
        <f>IF(FSPrsIndLogTest86=TRUE,MID(Press6,6,3),"")</f>
        <v/>
      </c>
      <c r="J284" s="730" t="str">
        <f>IF(FSPrsIndLogTest87=TRUE,MID(Press6,6,3),"")</f>
        <v/>
      </c>
      <c r="K284" s="730" t="str">
        <f>IF(FSPrsIndLogTest88=TRUE,MID(Press6,6,3),"")</f>
        <v/>
      </c>
      <c r="L284" s="730" t="str">
        <f>IF(FSPrsIndLogTest89=TRUE,MID(Press6,6,3),"")</f>
        <v/>
      </c>
      <c r="M284" s="730" t="str">
        <f>IF(FSPrsIndLogTest810=TRUE,MID(Press6,6,3),"")</f>
        <v/>
      </c>
    </row>
    <row r="285" spans="1:13">
      <c r="A285" s="743" t="s">
        <v>5111</v>
      </c>
      <c r="B285" s="725" t="b">
        <f>IF(FSPrsIndLogTest81=TRUE,QEMinCost4)</f>
        <v>0</v>
      </c>
      <c r="C285" s="725" t="b">
        <f>IF(FSPrsIndLogTest82=TRUE,QEMinCost4)</f>
        <v>0</v>
      </c>
      <c r="D285" s="725" t="b">
        <f>IF(FSPrsIndLogTest83=TRUE,QEMinCost4)</f>
        <v>0</v>
      </c>
      <c r="E285" s="725" t="b">
        <f>IF(FSPrsIndLogTest84=TRUE,QEMinCost4)</f>
        <v>0</v>
      </c>
      <c r="F285" s="725" t="b">
        <f>IF(FSPrsIndLogTest85=TRUE,QEMinCost4)</f>
        <v>0</v>
      </c>
      <c r="H285" s="743" t="s">
        <v>5111</v>
      </c>
      <c r="I285" s="725" t="b">
        <f>IF(FSPrsIndLogTest86=TRUE,QEMinCost4)</f>
        <v>0</v>
      </c>
      <c r="J285" s="725" t="b">
        <f>IF(FSPrsIndLogTest87=TRUE,QEMinCost4)</f>
        <v>0</v>
      </c>
      <c r="K285" s="725" t="b">
        <f>IF(FSPrsIndLogTest88=TRUE,QEMinCost4)</f>
        <v>0</v>
      </c>
      <c r="L285" s="725" t="b">
        <f>IF(FSPrsIndLogTest89=TRUE,QEMinCost4)</f>
        <v>0</v>
      </c>
      <c r="M285" s="725" t="b">
        <f>IF(FSPrsIndLogTest810=TRUE,QEMinCost4)</f>
        <v>0</v>
      </c>
    </row>
    <row r="286" spans="1:13">
      <c r="A286" s="743" t="s">
        <v>5112</v>
      </c>
      <c r="B286" s="780">
        <f xml:space="preserve">  IF(AND(FSMinAmt81&lt;&gt;FALSE, FSMinCost1&gt;0),   FSMinAmt81/FSMinCost1*BaseQuantity, 0)</f>
        <v>0</v>
      </c>
      <c r="C286" s="780">
        <f xml:space="preserve">  IF(AND(FSMinAmt82&lt;&gt;FALSE, FSMinCost1&gt;0),   FSMinAmt82/FSMinCost2*BaseQuantity, 0)</f>
        <v>0</v>
      </c>
      <c r="D286" s="780">
        <f xml:space="preserve">  IF(AND(FSMinAmt83&lt;&gt;FALSE, FSMinCost3&gt;0),   FSMinAmt83/FSMinCost3*BaseQuantity, 0)</f>
        <v>0</v>
      </c>
      <c r="E286" s="780">
        <f xml:space="preserve">  IF(AND(FSMinAmt84&lt;&gt;FALSE, FSMinCost4&gt;0),   FSMinAmt84/FSMinCost4*BaseQuantity, 0)</f>
        <v>0</v>
      </c>
      <c r="F286" s="780">
        <f xml:space="preserve">  IF(AND(FSMinAmt85&lt;&gt;FALSE, FSMinCost5&gt;0),   FSMinAmt85/FSMinCost5*BaseQuantity, 0)</f>
        <v>0</v>
      </c>
      <c r="H286" s="743" t="s">
        <v>5112</v>
      </c>
      <c r="I286" s="780">
        <f xml:space="preserve">  IF(AND(FSMinAmt86&lt;&gt;FALSE, FSMinCost6&gt;0),   FSMinAmt86/FSMinCost6*BaseQuantity, 0)</f>
        <v>0</v>
      </c>
      <c r="J286" s="780">
        <f xml:space="preserve">  IF(AND(FSMinAmt87&lt;&gt;FALSE, FSMinCost7&gt;0),   FSMinAmt87/FSMinCost7*BaseQuantity, 0)</f>
        <v>0</v>
      </c>
      <c r="K286" s="780">
        <f xml:space="preserve">  IF(AND(FSMinAmt88&lt;&gt;FALSE, FSMinCost8&gt;0),   FSMinAmt88/FSMinCost8*BaseQuantity, 0)</f>
        <v>0</v>
      </c>
      <c r="L286" s="780">
        <f xml:space="preserve">  IF(AND(FSMinAmt89&lt;&gt;FALSE, FSMinCost9&gt;0),   FSMinAmt89/FSMinCost9*BaseQuantity, 0)</f>
        <v>0</v>
      </c>
      <c r="M286" s="780">
        <f xml:space="preserve">  IF(AND(FSMinAmt810&lt;&gt;FALSE, FSMinCost10&gt;0),   FSMinAmt810/FSMinCost10*BaseQuantity, 0)</f>
        <v>0</v>
      </c>
    </row>
    <row r="288" spans="1:13">
      <c r="A288" s="743" t="s">
        <v>1933</v>
      </c>
      <c r="B288" s="779" t="b">
        <f>AND(Quantity1&gt;0,QEPressScrFive&lt;&gt;2, Press7&gt;"")</f>
        <v>0</v>
      </c>
      <c r="C288" s="779" t="b">
        <f>AND(Quantity2&gt;0,QEPressScrFive&lt;&gt;2, Press7&gt;"")</f>
        <v>0</v>
      </c>
      <c r="D288" s="779" t="b">
        <f>AND(Quantity3&gt;0,QEPressScrFive&lt;&gt;2, Press7&gt;"")</f>
        <v>0</v>
      </c>
      <c r="E288" s="779" t="b">
        <f>AND(Quantity4&gt;0,QEPressScrFive&lt;&gt;2, Press7&gt;"")</f>
        <v>0</v>
      </c>
      <c r="F288" s="779" t="b">
        <f>AND(Quantity5&gt;0,QEPressScrFive&lt;&gt;2, Press7&gt;"")</f>
        <v>0</v>
      </c>
      <c r="H288" s="743" t="s">
        <v>1933</v>
      </c>
      <c r="I288" s="779" t="b">
        <f>AND(Quantity6&gt;0,QEPressScrFive&lt;&gt;1, Press7&gt;"")</f>
        <v>0</v>
      </c>
      <c r="J288" s="779" t="b">
        <f>AND(Quantity7&gt;0,QEPressScrFive&lt;&gt;1, Press7&gt;"")</f>
        <v>0</v>
      </c>
      <c r="K288" s="779" t="b">
        <f>AND(Quantity8&gt;0,QEPressScrFive&lt;&gt;1, Press7&gt;"")</f>
        <v>0</v>
      </c>
      <c r="L288" s="779" t="b">
        <f>AND(Quantity9&gt;0,QEPressScrFive&lt;&gt;1, Press7&gt;"")</f>
        <v>0</v>
      </c>
      <c r="M288" s="779" t="b">
        <f>AND(Quantity10&gt;0,QEPressScrFive&lt;&gt;1, Press7&gt;"")</f>
        <v>0</v>
      </c>
    </row>
    <row r="289" spans="1:13">
      <c r="A289" s="743" t="s">
        <v>1934</v>
      </c>
      <c r="B289" s="730" t="str">
        <f>IF(FSPrsIndLogTest91=TRUE,MID(Press7,6,3),"")</f>
        <v/>
      </c>
      <c r="C289" s="730" t="str">
        <f>IF(FSPrsIndLogTest92=TRUE,MID(Press7,6,3),"")</f>
        <v/>
      </c>
      <c r="D289" s="730" t="str">
        <f>IF(FSPrsIndLogTest93=TRUE,MID(Press7,6,3),"")</f>
        <v/>
      </c>
      <c r="E289" s="730" t="str">
        <f>IF(FSPrsIndLogTest94=TRUE,MID(Press7,6,3),"")</f>
        <v/>
      </c>
      <c r="F289" s="730" t="str">
        <f>IF(FSPrsIndLogTest95=TRUE,MID(Press7,6,3),"")</f>
        <v/>
      </c>
      <c r="H289" s="743" t="s">
        <v>1934</v>
      </c>
      <c r="I289" s="730" t="str">
        <f>IF(FSPrsIndLogTest96=TRUE,MID(Press7,6,3),"")</f>
        <v/>
      </c>
      <c r="J289" s="730" t="str">
        <f>IF(FSPrsIndLogTest97=TRUE,MID(Press7,6,3),"")</f>
        <v/>
      </c>
      <c r="K289" s="730" t="str">
        <f>IF(FSPrsIndLogTest98=TRUE,MID(Press7,6,3),"")</f>
        <v/>
      </c>
      <c r="L289" s="730" t="str">
        <f>IF(FSPrsIndLogTest99=TRUE,MID(Press7,6,3),"")</f>
        <v/>
      </c>
      <c r="M289" s="730" t="str">
        <f>IF(FSPrsIndLogTest910=TRUE,MID(Press7,6,3),"")</f>
        <v/>
      </c>
    </row>
    <row r="290" spans="1:13">
      <c r="A290" s="743" t="s">
        <v>5111</v>
      </c>
      <c r="B290" s="725" t="b">
        <f>IF(FSPrsIndLogTest91=TRUE,QEMinCost5)</f>
        <v>0</v>
      </c>
      <c r="C290" s="725" t="b">
        <f>IF(FSPrsIndLogTest92=TRUE,QEMinCost5)</f>
        <v>0</v>
      </c>
      <c r="D290" s="725" t="b">
        <f>IF(FSPrsIndLogTest93=TRUE,QEMinCost5)</f>
        <v>0</v>
      </c>
      <c r="E290" s="725" t="b">
        <f>IF(FSPrsIndLogTest94=TRUE,QEMinCost5)</f>
        <v>0</v>
      </c>
      <c r="F290" s="725" t="b">
        <f>IF(FSPrsIndLogTest95=TRUE,QEMinCost5)</f>
        <v>0</v>
      </c>
      <c r="H290" s="743" t="s">
        <v>5111</v>
      </c>
      <c r="I290" s="725" t="b">
        <f>IF(FSPrsIndLogTest96=TRUE,QEMinCost5)</f>
        <v>0</v>
      </c>
      <c r="J290" s="725" t="b">
        <f>IF(FSPrsIndLogTest97=TRUE,QEMinCost5)</f>
        <v>0</v>
      </c>
      <c r="K290" s="725" t="b">
        <f>IF(FSPrsIndLogTest98=TRUE,QEMinCost5)</f>
        <v>0</v>
      </c>
      <c r="L290" s="725" t="b">
        <f>IF(FSPrsIndLogTest99=TRUE,QEMinCost5)</f>
        <v>0</v>
      </c>
      <c r="M290" s="725" t="b">
        <f>IF(FSPrsIndLogTest910=TRUE,QEMinCost5)</f>
        <v>0</v>
      </c>
    </row>
    <row r="291" spans="1:13">
      <c r="A291" s="743" t="s">
        <v>5112</v>
      </c>
      <c r="B291" s="780">
        <f xml:space="preserve">  IF(AND(FSMinAmt91&lt;&gt;FALSE, FSMinCost1&gt;0),   FSMinAmt91/FSMinCost1*BaseQuantity, 0)</f>
        <v>0</v>
      </c>
      <c r="C291" s="780">
        <f xml:space="preserve">  IF(AND(FSMinAmt92&lt;&gt;FALSE, FSMinCost2&gt;0),   FSMinAmt92/FSMinCost2*BaseQuantity, 0)</f>
        <v>0</v>
      </c>
      <c r="D291" s="780">
        <f xml:space="preserve">  IF(AND(FSMinAmt93&lt;&gt;FALSE, FSMinCost3&gt;0),   FSMinAmt93/FSMinCost3*BaseQuantity, 0)</f>
        <v>0</v>
      </c>
      <c r="E291" s="780">
        <f xml:space="preserve">  IF(AND(FSMinAmt94&lt;&gt;FALSE, FSMinCost4&gt;0),   FSMinAmt94/FSMinCost4*BaseQuantity, 0)</f>
        <v>0</v>
      </c>
      <c r="F291" s="780">
        <f xml:space="preserve">  IF(AND(FSMinAmt95&lt;&gt;FALSE, FSMinCost5&gt;0),   FSMinAmt95/FSMinCost5*BaseQuantity, 0)</f>
        <v>0</v>
      </c>
      <c r="H291" s="743" t="s">
        <v>5112</v>
      </c>
      <c r="I291" s="780">
        <f xml:space="preserve">  IF(AND(FSMinAmt96&lt;&gt;FALSE, FSMinCost6&gt;0),   FSMinAmt96/FSMinCost6*BaseQuantity, 0)</f>
        <v>0</v>
      </c>
      <c r="J291" s="780">
        <f xml:space="preserve">  IF(AND(FSMinAmt97&lt;&gt;FALSE, FSMinCost7&gt;0),   FSMinAmt97/FSMinCost7*BaseQuantity, 0)</f>
        <v>0</v>
      </c>
      <c r="K291" s="780">
        <f xml:space="preserve">  IF(AND(FSMinAmt98&lt;&gt;FALSE, FSMinCost8&gt;0),   FSMinAmt98/FSMinCost8*BaseQuantity, 0)</f>
        <v>0</v>
      </c>
      <c r="L291" s="780">
        <f xml:space="preserve">  IF(AND(FSMinAmt99&lt;&gt;FALSE, FSMinCost9&gt;0),   FSMinAmt99/FSMinCost9*BaseQuantity, 0)</f>
        <v>0</v>
      </c>
      <c r="M291" s="780">
        <f xml:space="preserve">  IF(AND(FSMinAmt910&lt;&gt;FALSE, FSMinCost10&gt;0),   FSMinAmt910/FSMinCost10*BaseQuantity, 0)</f>
        <v>0</v>
      </c>
    </row>
    <row r="293" spans="1:13">
      <c r="A293" s="743" t="s">
        <v>1935</v>
      </c>
      <c r="B293" s="779" t="b">
        <f>AND(Quantity1&gt;0,QEPressScr8&lt;&gt;2, Press8&gt;"")</f>
        <v>0</v>
      </c>
      <c r="C293" s="779" t="b">
        <f>AND(Quantity2&gt;0,QEPressScr8&lt;&gt;2, Press8&gt;"")</f>
        <v>0</v>
      </c>
      <c r="D293" s="779" t="b">
        <f>AND(Quantity3&gt;0,QEPressScr8&lt;&gt;2, Press8&gt;"")</f>
        <v>0</v>
      </c>
      <c r="E293" s="779" t="b">
        <f>AND(Quantity4&gt;0,QEPressScr8&lt;&gt;2, Press8&gt;"")</f>
        <v>0</v>
      </c>
      <c r="F293" s="779" t="b">
        <f>AND(Quantity5&gt;0,QEPressScr8&lt;&gt;2, Press8&gt;"")</f>
        <v>0</v>
      </c>
      <c r="H293" s="743" t="s">
        <v>1935</v>
      </c>
      <c r="I293" s="779" t="b">
        <f>AND(Quantity6&gt;0,QEPressScr8&lt;&gt;1, Press8&gt;"")</f>
        <v>0</v>
      </c>
      <c r="J293" s="779" t="b">
        <f>AND(Quantity7&gt;0,QEPressScr8&lt;&gt;1, Press8&gt;"")</f>
        <v>0</v>
      </c>
      <c r="K293" s="779" t="b">
        <f>AND(Quantity8&gt;0,QEPressScr8&lt;&gt;1, Press8&gt;"")</f>
        <v>0</v>
      </c>
      <c r="L293" s="779" t="b">
        <f>AND(Quantity9&gt;0,QEPressScr8&lt;&gt;1, Press8&gt;"")</f>
        <v>0</v>
      </c>
      <c r="M293" s="779" t="b">
        <f>AND(Quantity10&gt;0,QEPressScr8&lt;&gt;1, Press8&gt;"")</f>
        <v>0</v>
      </c>
    </row>
    <row r="294" spans="1:13">
      <c r="A294" s="743" t="s">
        <v>4592</v>
      </c>
      <c r="B294" s="730" t="str">
        <f>IF(FSPrsIndLogTest101=TRUE,MID(Press8,6,3),"")</f>
        <v/>
      </c>
      <c r="C294" s="730" t="str">
        <f>IF(FSPrsIndLogTest102=TRUE,MID(Press8,6,3),"")</f>
        <v/>
      </c>
      <c r="D294" s="730" t="str">
        <f>IF(FSPrsIndLogTest103=TRUE,MID(Press8,6,3),"")</f>
        <v/>
      </c>
      <c r="E294" s="730" t="str">
        <f>IF(FSPrsIndLogTest104=TRUE,MID(Press8,6,3),"")</f>
        <v/>
      </c>
      <c r="F294" s="730" t="str">
        <f>IF(FSPrsIndLogTest105=TRUE,MID(Press8,6,3),"")</f>
        <v/>
      </c>
      <c r="H294" s="743" t="s">
        <v>4592</v>
      </c>
      <c r="I294" s="730" t="str">
        <f>IF(FSPrsIndLogTest106=TRUE,MID(Press8,6,3),"")</f>
        <v/>
      </c>
      <c r="J294" s="730" t="str">
        <f>IF(FSPrsIndLogTest107=TRUE,MID(Press8,6,3),"")</f>
        <v/>
      </c>
      <c r="K294" s="730" t="str">
        <f>IF(FSPrsIndLogTest108=TRUE,MID(Press8,6,3),"")</f>
        <v/>
      </c>
      <c r="L294" s="730" t="str">
        <f>IF(FSPrsIndLogTest109=TRUE,MID(Press8,6,3),"")</f>
        <v/>
      </c>
      <c r="M294" s="730" t="str">
        <f>IF(FSPrsIndLogTest1010=TRUE,MID(Press8,6,3),"")</f>
        <v/>
      </c>
    </row>
    <row r="295" spans="1:13">
      <c r="A295" s="743" t="s">
        <v>5111</v>
      </c>
      <c r="B295" s="725" t="b">
        <f>IF(FSPrsIndLogTest101=TRUE,QEMinCost8)</f>
        <v>0</v>
      </c>
      <c r="C295" s="725" t="b">
        <f>IF(FSPrsIndLogTest102=TRUE,QEMinCost8)</f>
        <v>0</v>
      </c>
      <c r="D295" s="725" t="b">
        <f>IF(FSPrsIndLogTest103=TRUE,QEMinCost8)</f>
        <v>0</v>
      </c>
      <c r="E295" s="725" t="b">
        <f>IF(FSPrsIndLogTest104=TRUE,QEMinCost8)</f>
        <v>0</v>
      </c>
      <c r="F295" s="725" t="b">
        <f>IF(FSPrsIndLogTest105=TRUE,QEMinCost8)</f>
        <v>0</v>
      </c>
      <c r="H295" s="743" t="s">
        <v>5111</v>
      </c>
      <c r="I295" s="725" t="b">
        <f>IF(FSPrsIndLogTest106=TRUE,QEMinCost8)</f>
        <v>0</v>
      </c>
      <c r="J295" s="725" t="b">
        <f>IF(FSPrsIndLogTest107=TRUE,QEMinCost8)</f>
        <v>0</v>
      </c>
      <c r="K295" s="725" t="b">
        <f>IF(FSPrsIndLogTest108=TRUE,QEMinCost8)</f>
        <v>0</v>
      </c>
      <c r="L295" s="725" t="b">
        <f>IF(FSPrsIndLogTest109=TRUE,QEMinCost8)</f>
        <v>0</v>
      </c>
      <c r="M295" s="725" t="b">
        <f>IF(FSPrsIndLogTest1010=TRUE,QEMinCost8)</f>
        <v>0</v>
      </c>
    </row>
    <row r="296" spans="1:13">
      <c r="A296" s="743" t="s">
        <v>5112</v>
      </c>
      <c r="B296" s="780">
        <f xml:space="preserve">  IF(AND(FSMinAmt101&lt;&gt;FALSE, FSMinCost1&gt;0),   FSMinAmt101/FSMinCost1*BaseQuantity, 0)</f>
        <v>0</v>
      </c>
      <c r="C296" s="780">
        <f xml:space="preserve">  IF(AND(FSMinAmt102&lt;&gt;FALSE, FSMinCost2&gt;0),   FSMinAmt102/FSMinCost2*BaseQuantity, 0)</f>
        <v>0</v>
      </c>
      <c r="D296" s="780">
        <f xml:space="preserve">  IF(AND(FSMinAmt103&lt;&gt;FALSE, FSMinCost3&gt;0),   FSMinAmt103/FSMinCost3*BaseQuantity, 0)</f>
        <v>0</v>
      </c>
      <c r="E296" s="780">
        <f xml:space="preserve">  IF(AND(FSMinAmt104&lt;&gt;FALSE, FSMinCost4&gt;0),   FSMinAmt104/FSMinCost4*BaseQuantity, 0)</f>
        <v>0</v>
      </c>
      <c r="F296" s="780">
        <f xml:space="preserve">  IF(AND(FSMinAmt105&lt;&gt;FALSE, FSMinCost5&gt;0),   FSMinAmt105/FSMinCost5*BaseQuantity, 0)</f>
        <v>0</v>
      </c>
      <c r="H296" s="743" t="s">
        <v>5112</v>
      </c>
      <c r="I296" s="780">
        <f xml:space="preserve">  IF(AND(FSMinAmt106&lt;&gt;FALSE, FSMinCost6&gt;0),   FSMinAmt106/FSMinCost6*BaseQuantity, 0)</f>
        <v>0</v>
      </c>
      <c r="J296" s="780">
        <f xml:space="preserve">  IF(AND(FSMinAmt107&lt;&gt;FALSE, FSMinCost7&gt;0),   FSMinAmt107/FSMinCost7*BaseQuantity, 0)</f>
        <v>0</v>
      </c>
      <c r="K296" s="780">
        <f xml:space="preserve">  IF(AND(FSMinAmt108&lt;&gt;FALSE, FSMinCost8&gt;0),   FSMinAmt108/FSMinCost8*BaseQuantity, 0)</f>
        <v>0</v>
      </c>
      <c r="L296" s="780">
        <f xml:space="preserve">  IF(AND(FSMinAmt109&lt;&gt;FALSE, FSMinCost9&gt;0),   FSMinAmt109/FSMinCost9*BaseQuantity, 0)</f>
        <v>0</v>
      </c>
      <c r="M296" s="780">
        <f xml:space="preserve">  IF(AND(FSMinAmt1010&lt;&gt;FALSE, FSMinCost10&gt;0),   FSMinAmt1010/FSMinCost10*BaseQuantity, 0)</f>
        <v>0</v>
      </c>
    </row>
    <row r="298" spans="1:13">
      <c r="A298" s="743" t="s">
        <v>5609</v>
      </c>
      <c r="B298" s="780">
        <f>IF(Quantity1&gt;0, ROUNDUP(FSMinRel1+FSMinRel21+FSMinRel31+FSMinRel41+FSMinRel51 + FSMinRel61 + FSMinRel71+ FSMinRel81+ FSMinRel91+ FSMinRel101, -3), 0)</f>
        <v>80000</v>
      </c>
      <c r="C298" s="780">
        <f>IF(Quantity2&gt;0, ROUNDUP(FSMinRel2+FSMinRel22+FSMinRel32+FSMinRel42+FSMinRel52 + FSMinRel62 + FSMinRel72 + FSMinRel82+ FSMinRel92+ FSMinRel102,-3), 0)</f>
        <v>0</v>
      </c>
      <c r="D298" s="780">
        <f>IF(Quantity3&gt;0, ROUNDUP(FSMinRel3+FSMinRel23+FSMinRel33+FSMinRel43+FSMinRel53+ FSMinRel63 + FSMinRel73+ FSMinRel83+ FSMinRel93+ FSMinRel103, -3),0)</f>
        <v>0</v>
      </c>
      <c r="E298" s="780">
        <f>IF(Quantity4&gt;0, ROUNDUP(FSMinRel4+FSMinRel24+FSMinRel34+FSMinRel44+FSMinRel54+ FSMinRel64 + FSMinRel74+ FSMinRel84+ FSMinRel94+ FSMinRel104,-3),  0)</f>
        <v>0</v>
      </c>
      <c r="F298" s="780">
        <f>IF(Quantity5&gt;0, ROUNDUP(FSMinRel5+FSMinRel25+FSMinRel35+FSMinRel45+FSMinRel55+ FSMinRel65 + FSMinRel75+ FSMinRel85+ FSMinRel95+ FSMinRel105,-3), 0)</f>
        <v>0</v>
      </c>
      <c r="H298" s="743" t="s">
        <v>5609</v>
      </c>
      <c r="I298" s="780">
        <f>IF(Quantity6&gt;0, ROUNDUP(FSMinRel6+FSMinRel26+FSMinRel36+FSMinRel46+FSMinRel56+ FSMinRel66 + FSMinRel76+ FSMinRel86+ FSMinRel96+ FSMinRel106,-3), 0)</f>
        <v>0</v>
      </c>
      <c r="J298" s="780">
        <f>IF(Quantity7&gt;0, ROUNDUP(FSMinRel7+FSMinRel27+FSMinRel37+ FSMinRel47+FSMinRel57+ FSMinRel67 + FSMinRel77+ FSMinRel87+ FSMinRel97+ FSMinRel107, -3),0)</f>
        <v>0</v>
      </c>
      <c r="K298" s="780">
        <f>IF(Quantity8&gt;0, ROUNDUP(FSMinRel8+FSMinRel28+FSMinRel38+ FSMinRel48+FSMinRel58+ FSMinRel68 + FSMinRel78+ FSMinRel88+ FSMinRel98+ FSMinRel108,-3), 0)</f>
        <v>0</v>
      </c>
      <c r="L298" s="780">
        <f>IF(Quantity9&gt;0, ROUNDUP(FSMinRel9+FSMinRel29+FSMinRel39+ FSMinRel49+FSMinRel59+ FSMinRel69 + FSMinRel79+ FSMinRel89+ FSMinRel99+ FSMinRel109, -3),0)</f>
        <v>0</v>
      </c>
      <c r="M298" s="780">
        <f>IF(Quantity10&gt;0, ROUNDUP(FSMinRel10+FSMinRel210+FSMinRel310+ FSMinRel410+FSMinRel510+ FSMinRel610 + FSMinRel710+ FSMinRel810+ FSMinRel910+ FSMinRel1010,-3),0)</f>
        <v>0</v>
      </c>
    </row>
    <row r="299" spans="1:13">
      <c r="A299" s="743" t="s">
        <v>4927</v>
      </c>
      <c r="B299" s="731">
        <f>IF(Quantity1&gt;0,ROUNDUP(FSTotMinRel1/Quantity1,2),0)</f>
        <v>0.17</v>
      </c>
      <c r="C299" s="731">
        <f>IF(Quantity2&gt;0,ROUNDUP(FSTotMinRel2/Quantity2,2),0)</f>
        <v>0</v>
      </c>
      <c r="D299" s="731">
        <f>IF(Quantity3&gt;0,ROUNDUP(FSTotMinRel3/Quantity3,2),0)</f>
        <v>0</v>
      </c>
      <c r="E299" s="731">
        <f>IF(Quantity4&gt;0,ROUNDUP(FSTotMinRel4/Quantity4,2),0)</f>
        <v>0</v>
      </c>
      <c r="F299" s="731">
        <f>IF(Quantity5&gt;0,ROUNDUP(FSTotMinRel5/Quantity5,2),0)</f>
        <v>0</v>
      </c>
      <c r="H299" s="743" t="s">
        <v>4927</v>
      </c>
      <c r="I299" s="731">
        <f>IF(Quantity6&gt;0,ROUNDUP(FSTotMinRel6/Quantity6,2),0)</f>
        <v>0</v>
      </c>
      <c r="J299" s="731">
        <f>IF(Quantity7&gt;0,ROUNDUP(FSTotMinRel7/Quantity7,2),0)</f>
        <v>0</v>
      </c>
      <c r="K299" s="731">
        <f>IF(Quantity8&gt;0,ROUNDUP(FSTotMinRel8/Quantity8,2),0)</f>
        <v>0</v>
      </c>
      <c r="L299" s="731">
        <f>IF(Quantity9&gt;0,ROUNDUP(FSTotMinRel9/Quantity9,2),0)</f>
        <v>0</v>
      </c>
      <c r="M299" s="731">
        <f>IF(Quantity10&gt;0,ROUNDUP(FSTotMinRel10/Quantity10,2),0)</f>
        <v>0</v>
      </c>
    </row>
    <row r="300" spans="1:13">
      <c r="A300" s="743" t="s">
        <v>5426</v>
      </c>
      <c r="B300" s="780">
        <f>IF(FSTotMinRel1&gt;0, BaseQuantity/(FSPrice1/BaseQuantity), 0)</f>
        <v>19976.503057428545</v>
      </c>
      <c r="C300" s="780">
        <f>IF(FSTotMinRel2&gt;0, BaseQuantity/(FSPrice2/BaseQuantity), 0)</f>
        <v>0</v>
      </c>
      <c r="D300" s="780">
        <f>IF(FSTotMinRel3&gt;0, BaseQuantity/(FSPrice3/BaseQuantity), 0)</f>
        <v>0</v>
      </c>
      <c r="E300" s="780">
        <f>IF(FSTotMinRel4&gt;0, BaseQuantity/(FSPrice4/BaseQuantity), 0)</f>
        <v>0</v>
      </c>
      <c r="F300" s="780">
        <f>IF(FSTotMinRel5&gt;0, BaseQuantity/(FSPrice5/BaseQuantity), 0)</f>
        <v>0</v>
      </c>
      <c r="H300" s="743" t="s">
        <v>5426</v>
      </c>
      <c r="I300" s="780">
        <f>IF(FSTotMinRel6&gt;0, BaseQuantity/(FSPrice6/BaseQuantity), 0)</f>
        <v>0</v>
      </c>
      <c r="J300" s="780">
        <f>IF(FSTotMinRel7&gt;0, BaseQuantity/(FSPrice7/BaseQuantity), 0)</f>
        <v>0</v>
      </c>
      <c r="K300" s="780">
        <f>IF(FSTotMinRel8&gt;0, BaseQuantity/(FSPrice8/BaseQuantity), 0)</f>
        <v>0</v>
      </c>
      <c r="L300" s="780">
        <f>IF(FSTotMinRel9&gt;0, BaseQuantity/(FSPrice9/BaseQuantity), 0)</f>
        <v>0</v>
      </c>
      <c r="M300" s="780">
        <f>IF(FSTotMinRel10&gt;0, BaseQuantity/(FSPrice10/BaseQuantity), 0)</f>
        <v>0</v>
      </c>
    </row>
    <row r="301" spans="1:13" s="734" customFormat="1">
      <c r="A301" s="576"/>
      <c r="B301" s="579"/>
      <c r="C301" s="579"/>
      <c r="D301" s="579"/>
      <c r="E301" s="579"/>
      <c r="F301" s="579"/>
      <c r="H301" s="576"/>
      <c r="I301" s="579"/>
      <c r="J301" s="579"/>
      <c r="K301" s="579"/>
      <c r="L301" s="579"/>
      <c r="M301" s="579"/>
    </row>
    <row r="302" spans="1:13">
      <c r="A302" s="743" t="s">
        <v>3771</v>
      </c>
      <c r="B302" s="780">
        <f>FSTotMinRel1</f>
        <v>80000</v>
      </c>
      <c r="C302" s="780">
        <f>FSTotMinRel2</f>
        <v>0</v>
      </c>
      <c r="D302" s="780">
        <f>FSTotMinRel3</f>
        <v>0</v>
      </c>
      <c r="E302" s="780">
        <f>FSTotMinRel4</f>
        <v>0</v>
      </c>
      <c r="F302" s="780">
        <f>FSTotMinRel5</f>
        <v>0</v>
      </c>
      <c r="G302" s="112"/>
      <c r="H302" s="743" t="s">
        <v>1654</v>
      </c>
      <c r="I302" s="780">
        <f>FSTotMinRel6</f>
        <v>0</v>
      </c>
      <c r="J302" s="780">
        <f>FSTotMinRel7</f>
        <v>0</v>
      </c>
      <c r="K302" s="780">
        <f>FSTotMinRel8</f>
        <v>0</v>
      </c>
      <c r="L302" s="780">
        <f>FSTotMinRel9</f>
        <v>0</v>
      </c>
      <c r="M302" s="780">
        <f>FSTotMinRel10</f>
        <v>0</v>
      </c>
    </row>
    <row r="303" spans="1:13">
      <c r="A303" s="743" t="s">
        <v>1655</v>
      </c>
      <c r="B303" s="780">
        <f>ROUNDUP(FSMinShip1,-3)</f>
        <v>20000</v>
      </c>
      <c r="C303" s="780">
        <f>ROUNDUP(FSMinShip2,-3)</f>
        <v>0</v>
      </c>
      <c r="D303" s="780">
        <f>ROUNDUP(FSMinShip3,-3)</f>
        <v>0</v>
      </c>
      <c r="E303" s="780">
        <f>ROUNDUP(FSMinShip4,-3)</f>
        <v>0</v>
      </c>
      <c r="F303" s="780">
        <f>ROUNDUP(FSMinShip5,-3)</f>
        <v>0</v>
      </c>
      <c r="G303" s="112"/>
      <c r="H303" s="743" t="s">
        <v>1655</v>
      </c>
      <c r="I303" s="780">
        <f>ROUNDUP(FSMinShip6,-3)</f>
        <v>0</v>
      </c>
      <c r="J303" s="780">
        <f>ROUNDUP(FSMinShip7,-3)</f>
        <v>0</v>
      </c>
      <c r="K303" s="780">
        <f>ROUNDUP(FSMinShip8,-3)</f>
        <v>0</v>
      </c>
      <c r="L303" s="780">
        <f>ROUNDUP(FSMinShip9,-3)</f>
        <v>0</v>
      </c>
      <c r="M303" s="780">
        <f>ROUNDUP(FSMinShip10,-3)</f>
        <v>0</v>
      </c>
    </row>
    <row r="304" spans="1:13">
      <c r="A304" s="743" t="s">
        <v>3772</v>
      </c>
      <c r="B304" s="780">
        <f>ROUNDUP(QEMinRel1/4, -3)</f>
        <v>20000</v>
      </c>
      <c r="C304" s="780">
        <f>ROUNDUP(QEMinRel2/4, -3)</f>
        <v>0</v>
      </c>
      <c r="D304" s="780">
        <f>ROUNDUP(QEMinRel3/4, -3)</f>
        <v>0</v>
      </c>
      <c r="E304" s="780">
        <f>ROUNDUP(QEMinRel4/4, -3)</f>
        <v>0</v>
      </c>
      <c r="F304" s="780">
        <f>ROUNDUP(QEMinRel5/4, -3)</f>
        <v>0</v>
      </c>
      <c r="G304" s="112"/>
      <c r="H304" s="743" t="s">
        <v>3772</v>
      </c>
      <c r="I304" s="780">
        <f>ROUNDUP(QEMinRel6/4, -3)</f>
        <v>0</v>
      </c>
      <c r="J304" s="780">
        <f>ROUNDUP(QEMinRel7/4, -3)</f>
        <v>0</v>
      </c>
      <c r="K304" s="780">
        <f>ROUNDUP(QEMinRel8/4, -3)</f>
        <v>0</v>
      </c>
      <c r="L304" s="780">
        <f>ROUNDUP(QEMinRel9/4, -3)</f>
        <v>0</v>
      </c>
      <c r="M304" s="780">
        <f>ROUNDUP(QEMinRel10/4, -3)</f>
        <v>0</v>
      </c>
    </row>
    <row r="305" spans="1:13">
      <c r="A305" s="743" t="s">
        <v>346</v>
      </c>
      <c r="B305" s="780">
        <f>IF(QEMinShip1&gt;QEMinShip8X1, QEMinShip1, QEMinShip8X1)</f>
        <v>20000</v>
      </c>
      <c r="C305" s="780">
        <f>IF(QEMinShip2&gt;QEMinShip8X2, QEMinShip2, QEMinShip8X2)</f>
        <v>0</v>
      </c>
      <c r="D305" s="780">
        <f>IF(QEMinShip3&gt;QEMinShip8X3, QEMinShip3, QEMinShip8X3)</f>
        <v>0</v>
      </c>
      <c r="E305" s="780">
        <f>IF(QEMinShip4&gt;QEMinShip8X4, QEMinShip4, QEMinShip8X4)</f>
        <v>0</v>
      </c>
      <c r="F305" s="780">
        <f>IF(QEMinShip5&gt;QEMinShip8X5, QEMinShip5, QEMinShip8X5)</f>
        <v>0</v>
      </c>
      <c r="G305" s="112"/>
      <c r="H305" s="743" t="s">
        <v>346</v>
      </c>
      <c r="I305" s="780">
        <f>IF(QEMinShip6&gt;QEMinShip8X6, QEMinShip6, QEMinShip8X6)</f>
        <v>0</v>
      </c>
      <c r="J305" s="780">
        <f>IF(QEMinShip7&gt;QEMinShip8X7, QEMinShip7, QEMinShip8X7)</f>
        <v>0</v>
      </c>
      <c r="K305" s="780">
        <f>IF(QEMinShip8&gt;QEMinShip8X8, QEMinShip8, QEMinShip8X8)</f>
        <v>0</v>
      </c>
      <c r="L305" s="780">
        <f>IF(QEMinShip9&gt;QEMinShip8X9, QEMinShip9, QEMinShip8X9)</f>
        <v>0</v>
      </c>
      <c r="M305" s="780">
        <f>IF(QEMinShip10&gt;QEMinShip8X10, QEMinShip10, QEMinShip8X10)</f>
        <v>0</v>
      </c>
    </row>
    <row r="306" spans="1:13">
      <c r="A306" s="743" t="s">
        <v>3773</v>
      </c>
      <c r="B306" s="780">
        <f>IF(Quantity1&gt;0, ROUNDUP(Quantity1/12,-3), 0)</f>
        <v>40000</v>
      </c>
      <c r="C306" s="780">
        <f>IF(Quantity2&gt;0, ROUNDUP(Quantity2/12,-3), 0)</f>
        <v>0</v>
      </c>
      <c r="D306" s="780">
        <f>IF(Quantity3&gt;0, ROUNDUP(Quantity3/12,-3), 0)</f>
        <v>0</v>
      </c>
      <c r="E306" s="780">
        <f>IF(Quantity4&gt;0, ROUNDUP(Quantity4/12,-3), 0)</f>
        <v>0</v>
      </c>
      <c r="F306" s="780">
        <f>IF(Quantity5&gt;0, ROUNDUP(Quantity5/12,-3), 0)</f>
        <v>0</v>
      </c>
      <c r="G306" s="112"/>
      <c r="H306" s="743" t="s">
        <v>3773</v>
      </c>
      <c r="I306" s="780">
        <f>IF(Quantity6&gt;0, ROUNDUP(Quantity6/12,-3), 0)</f>
        <v>0</v>
      </c>
      <c r="J306" s="780">
        <f>IF(Quantity7&gt;0, ROUNDUP(Quantity7/12,-3), 0)</f>
        <v>0</v>
      </c>
      <c r="K306" s="780">
        <f>IF(Quantity8&gt;0, ROUNDUP(Quantity8/12,-3), 0)</f>
        <v>0</v>
      </c>
      <c r="L306" s="780">
        <f>IF(Quantity9&gt;0, ROUNDUP(Quantity9/12,-3), 0)</f>
        <v>0</v>
      </c>
      <c r="M306" s="780">
        <f>IF(Quantity10&gt;0, ROUNDUP(Quantity10/12,-3), 0)</f>
        <v>0</v>
      </c>
    </row>
    <row r="307" spans="1:13">
      <c r="B307" s="579"/>
      <c r="C307" s="579"/>
      <c r="D307" s="579"/>
      <c r="E307" s="579"/>
      <c r="F307" s="579"/>
      <c r="G307" s="112"/>
      <c r="H307" s="743"/>
      <c r="I307" s="579"/>
      <c r="J307" s="579"/>
      <c r="K307" s="579"/>
      <c r="L307" s="579"/>
      <c r="M307" s="579"/>
    </row>
    <row r="308" spans="1:13">
      <c r="B308" s="579"/>
      <c r="C308" s="579"/>
      <c r="D308" s="579"/>
      <c r="E308" s="579"/>
      <c r="F308" s="579"/>
      <c r="G308" s="112"/>
      <c r="H308" s="743"/>
      <c r="I308" s="579"/>
      <c r="J308" s="579"/>
      <c r="K308" s="579"/>
      <c r="L308" s="579"/>
      <c r="M308" s="579"/>
    </row>
    <row r="309" spans="1:13" ht="12.75">
      <c r="A309" s="778" t="s">
        <v>820</v>
      </c>
      <c r="B309" s="722" t="s">
        <v>6237</v>
      </c>
      <c r="C309" s="722" t="s">
        <v>6238</v>
      </c>
      <c r="D309" s="735"/>
      <c r="E309" s="735"/>
      <c r="F309" s="735"/>
      <c r="G309" s="112"/>
      <c r="H309" s="743"/>
      <c r="I309" s="579"/>
      <c r="J309" s="579"/>
      <c r="K309" s="579"/>
      <c r="L309" s="579"/>
      <c r="M309" s="579"/>
    </row>
    <row r="310" spans="1:13">
      <c r="A310" s="743" t="s">
        <v>5977</v>
      </c>
      <c r="B310" s="733">
        <f>IF(FSPrsIndLogTest1=TRUE,VLOOKUP(FSPressInd1,PRPackAmt:PRPackAmt1,2))</f>
        <v>1.5</v>
      </c>
      <c r="C310" s="733" t="b">
        <f>IF(FSPrsIndLogTest6=TRUE,VLOOKUP(FSPressInd6,PRPackAmt:PRPackAmt1,2))</f>
        <v>0</v>
      </c>
      <c r="D310" s="781"/>
      <c r="E310" s="781"/>
      <c r="F310" s="781"/>
      <c r="G310" s="112"/>
      <c r="H310" s="743"/>
      <c r="I310" s="579"/>
      <c r="J310" s="579"/>
      <c r="K310" s="579"/>
      <c r="L310" s="579"/>
      <c r="M310" s="579"/>
    </row>
    <row r="311" spans="1:13">
      <c r="A311" s="743" t="s">
        <v>5978</v>
      </c>
      <c r="B311" s="580">
        <f>IF(FSPackAmt11&lt;&gt;FALSE,FSPackAmt11*BaseQuantity/QEPCSSCR1, 0)</f>
        <v>0.63775510204081631</v>
      </c>
      <c r="C311" s="580">
        <f>IF(FSPackAmt11A&lt;&gt;FALSE,FSPackAmt11A*BaseQuantity/QEPCSSCR2, 0)</f>
        <v>0</v>
      </c>
      <c r="D311" s="579"/>
      <c r="E311" s="579"/>
      <c r="F311" s="579"/>
      <c r="G311" s="112"/>
      <c r="H311" s="743"/>
      <c r="I311" s="579"/>
      <c r="J311" s="579"/>
      <c r="K311" s="579"/>
      <c r="L311" s="579"/>
      <c r="M311" s="579"/>
    </row>
    <row r="312" spans="1:13">
      <c r="A312" s="743" t="s">
        <v>5977</v>
      </c>
      <c r="B312" s="733" t="b">
        <f>IF(FSPrsIndLogTest21=TRUE,VLOOKUP(FSPressInd21,PRPackAmt:PRPackAmt1,2))</f>
        <v>0</v>
      </c>
      <c r="C312" s="733" t="b">
        <f>IF(FSPrsIndLogTest26=TRUE,VLOOKUP(FSPressInd26,PRPackAmt:PRPackAmt1,2))</f>
        <v>0</v>
      </c>
      <c r="D312" s="579"/>
      <c r="E312" s="579"/>
      <c r="F312" s="579"/>
      <c r="G312" s="112"/>
      <c r="H312" s="743"/>
      <c r="I312" s="579"/>
      <c r="J312" s="579"/>
      <c r="K312" s="579"/>
      <c r="L312" s="579"/>
      <c r="M312" s="579"/>
    </row>
    <row r="313" spans="1:13">
      <c r="A313" s="743" t="s">
        <v>5979</v>
      </c>
      <c r="B313" s="580">
        <f>IF(FSPackAmt21&lt;&gt;FALSE,FSPackAmt21*BaseQuantity/QEPCSSCR1A, 0)</f>
        <v>0</v>
      </c>
      <c r="C313" s="580">
        <f>IF(FSPackAmt21A&lt;&gt;FALSE,FSPackAmt21A*BaseQuantity/QEPCSSCR2A, 0)</f>
        <v>0</v>
      </c>
      <c r="D313" s="579"/>
      <c r="E313" s="579"/>
      <c r="F313" s="579"/>
      <c r="G313" s="112"/>
      <c r="H313" s="743"/>
      <c r="I313" s="579"/>
      <c r="J313" s="579"/>
      <c r="K313" s="579"/>
      <c r="L313" s="579"/>
      <c r="M313" s="579"/>
    </row>
    <row r="314" spans="1:13">
      <c r="A314" s="743" t="s">
        <v>5977</v>
      </c>
      <c r="B314" s="733" t="b">
        <f>IF(FSPrsIndLogTest31=TRUE,VLOOKUP(FSPressInd31,PRPackAmt:PRPackAmt1,2))</f>
        <v>0</v>
      </c>
      <c r="C314" s="733" t="b">
        <f>IF(FSPrsIndLogTest36=TRUE,VLOOKUP(FSPressInd36,PRPackAmt:PRPackAmt1,2))</f>
        <v>0</v>
      </c>
      <c r="D314" s="579"/>
      <c r="E314" s="579"/>
      <c r="F314" s="579"/>
      <c r="G314" s="112"/>
      <c r="H314" s="743"/>
      <c r="I314" s="579"/>
      <c r="J314" s="579"/>
      <c r="K314" s="579"/>
      <c r="L314" s="579"/>
      <c r="M314" s="579"/>
    </row>
    <row r="315" spans="1:13">
      <c r="A315" s="743" t="s">
        <v>5980</v>
      </c>
      <c r="B315" s="580">
        <f>IF(FSPackAmt31&lt;&gt;FALSE,FSPackAmt31*BaseQuantity/QEPCSSCR1B, 0)</f>
        <v>0</v>
      </c>
      <c r="C315" s="580">
        <f>IF(FSPackAmt31A&lt;&gt;FALSE,FSPackAmt31A*BaseQuantity/QEPCSSCR2B, 0)</f>
        <v>0</v>
      </c>
      <c r="D315" s="579"/>
      <c r="E315" s="579"/>
      <c r="F315" s="579"/>
      <c r="G315" s="112"/>
      <c r="H315" s="743"/>
      <c r="I315" s="579"/>
      <c r="J315" s="579"/>
      <c r="K315" s="579"/>
      <c r="L315" s="579"/>
      <c r="M315" s="579"/>
    </row>
    <row r="316" spans="1:13">
      <c r="A316" s="743" t="s">
        <v>5977</v>
      </c>
      <c r="B316" s="733" t="b">
        <f>IF(FSPrsIndLogTest41=TRUE,VLOOKUP(FSPressInd41,PRPackAmt:PRPackAmt1,2))</f>
        <v>0</v>
      </c>
      <c r="C316" s="733" t="b">
        <f>IF(FSPrsIndLogTest46=TRUE,VLOOKUP(FSPressInd46,PRPackAmt:PRPackAmt1,2))</f>
        <v>0</v>
      </c>
      <c r="D316" s="579"/>
      <c r="E316" s="579"/>
      <c r="F316" s="579"/>
      <c r="G316" s="112"/>
      <c r="H316" s="743"/>
      <c r="I316" s="579"/>
      <c r="J316" s="579"/>
      <c r="K316" s="579"/>
      <c r="L316" s="579"/>
      <c r="M316" s="579"/>
    </row>
    <row r="317" spans="1:13">
      <c r="A317" s="743" t="s">
        <v>291</v>
      </c>
      <c r="B317" s="580">
        <f>IF(FSPackAmt41&lt;&gt;FALSE,FSPackAmt41*BaseQuantity/QEPCSSCR1C, 0)</f>
        <v>0</v>
      </c>
      <c r="C317" s="580">
        <f>IF(FSPackAmt41A&lt;&gt;FALSE,FSPackAmt41A*BaseQuantity/QEPCSSCR2C, 0)</f>
        <v>0</v>
      </c>
      <c r="D317" s="579"/>
      <c r="E317" s="579"/>
      <c r="F317" s="579"/>
      <c r="G317" s="112"/>
      <c r="H317" s="743"/>
      <c r="I317" s="579"/>
      <c r="J317" s="579"/>
      <c r="K317" s="579"/>
      <c r="L317" s="579"/>
      <c r="M317" s="579"/>
    </row>
    <row r="318" spans="1:13">
      <c r="A318" s="743" t="s">
        <v>5977</v>
      </c>
      <c r="B318" s="733" t="b">
        <f>IF(FSPrsIndLogTest51=TRUE,VLOOKUP(FSPressInd51,PRPackAmt:PRPackAmt1,2))</f>
        <v>0</v>
      </c>
      <c r="C318" s="733" t="b">
        <f>IF(FSPrsIndLogTest56=TRUE,VLOOKUP(FSPressInd56,PRPackAmt:PRPackAmt1,2))</f>
        <v>0</v>
      </c>
      <c r="D318" s="579"/>
      <c r="E318" s="579"/>
      <c r="F318" s="579"/>
      <c r="G318" s="112"/>
      <c r="H318" s="743"/>
      <c r="I318" s="579"/>
      <c r="J318" s="579"/>
      <c r="K318" s="579"/>
      <c r="L318" s="579"/>
      <c r="M318" s="579"/>
    </row>
    <row r="319" spans="1:13">
      <c r="A319" s="743" t="s">
        <v>292</v>
      </c>
      <c r="B319" s="580">
        <f>IF(FSPackAmt51&lt;&gt;FALSE,FSPackAmt51*BaseQuantity/QEPCSSCR1D, 0)</f>
        <v>0</v>
      </c>
      <c r="C319" s="580">
        <f>IF(FSPackAmt51A&lt;&gt;FALSE,FSPackAmt51A*BaseQuantity/QEPCSSCR2D, 0)</f>
        <v>0</v>
      </c>
      <c r="D319" s="579"/>
      <c r="E319" s="579"/>
      <c r="F319" s="579"/>
      <c r="G319" s="112"/>
      <c r="H319" s="743"/>
      <c r="I319" s="579"/>
      <c r="J319" s="579"/>
      <c r="K319" s="579"/>
      <c r="L319" s="579"/>
      <c r="M319" s="579"/>
    </row>
    <row r="320" spans="1:13">
      <c r="A320" s="743" t="s">
        <v>5977</v>
      </c>
      <c r="B320" s="733" t="b">
        <f>IF(FSPrsIndLogTest61=TRUE,VLOOKUP(FSPressInd61,PRPackAmt:PRPackAmt1,2))</f>
        <v>0</v>
      </c>
      <c r="C320" s="733" t="b">
        <f>IF(FSPrsIndLogTest66=TRUE,VLOOKUP(FSPressInd66,PRPackAmt:PRPackAmt1,2))</f>
        <v>0</v>
      </c>
      <c r="D320" s="579"/>
      <c r="E320" s="579"/>
      <c r="F320" s="579"/>
      <c r="G320" s="112"/>
      <c r="H320" s="743"/>
      <c r="I320" s="579"/>
      <c r="J320" s="579"/>
      <c r="K320" s="579"/>
      <c r="L320" s="579"/>
      <c r="M320" s="579"/>
    </row>
    <row r="321" spans="1:13">
      <c r="A321" s="743" t="s">
        <v>5109</v>
      </c>
      <c r="B321" s="580">
        <f>IF(FSPrsIndLogTest61&lt;&gt;FALSE,FSPackAmt61*BaseQuantity/QEPCSSCR1E, 0)</f>
        <v>0</v>
      </c>
      <c r="C321" s="580">
        <f>IF(FSPackAmt61A&lt;&gt;FALSE,FSPackAmt61A*BaseQuantity/QEPCSSCR2E, 0)</f>
        <v>0</v>
      </c>
      <c r="D321" s="579"/>
      <c r="E321" s="579"/>
      <c r="F321" s="579"/>
      <c r="G321" s="112"/>
      <c r="H321" s="743"/>
      <c r="I321" s="579"/>
      <c r="J321" s="579"/>
      <c r="K321" s="579"/>
      <c r="L321" s="579"/>
      <c r="M321" s="579"/>
    </row>
    <row r="322" spans="1:13">
      <c r="A322" s="743" t="s">
        <v>5977</v>
      </c>
      <c r="B322" s="733" t="b">
        <f>IF(FSPrsIndLogTest71=TRUE,VLOOKUP(FSPressInd71,PRPackAmt:PRPackAmt1,2))</f>
        <v>0</v>
      </c>
      <c r="C322" s="733" t="b">
        <f>IF(FSPrsIndLogTest76=TRUE,VLOOKUP(FSPressInd76,PRPackAmt:PRPackAmt1,2))</f>
        <v>0</v>
      </c>
      <c r="D322" s="579"/>
      <c r="E322" s="579"/>
      <c r="F322" s="579"/>
      <c r="G322" s="112"/>
      <c r="H322" s="743"/>
      <c r="I322" s="579"/>
      <c r="J322" s="579"/>
      <c r="K322" s="579"/>
      <c r="L322" s="579"/>
      <c r="M322" s="579"/>
    </row>
    <row r="323" spans="1:13">
      <c r="A323" s="743" t="s">
        <v>1288</v>
      </c>
      <c r="B323" s="580">
        <f>IF(FSPrsIndLogTest71&lt;&gt;FALSE,FSPackAmt71*BaseQuantity/QEPCSSCR1F, 0)</f>
        <v>0</v>
      </c>
      <c r="C323" s="580">
        <f>IF(FSPackAmt71A&lt;&gt;FALSE,FSPackAmt71A*BaseQuantity/QEPCSSCR2F, 0)</f>
        <v>0</v>
      </c>
    </row>
    <row r="324" spans="1:13">
      <c r="A324" s="743" t="s">
        <v>5977</v>
      </c>
      <c r="B324" s="733" t="b">
        <f>IF(FSPrsIndLogTest81=TRUE,VLOOKUP(FSPressInd81,PRPackAmt:PRPackAmt1,2))</f>
        <v>0</v>
      </c>
      <c r="C324" s="733" t="b">
        <f>IF(FSPrsIndLogTest86=TRUE,VLOOKUP(FSPressInd86,PRPackAmt:PRPackAmt1,2))</f>
        <v>0</v>
      </c>
    </row>
    <row r="325" spans="1:13">
      <c r="A325" s="743" t="s">
        <v>1523</v>
      </c>
      <c r="B325" s="580">
        <f>IF(FSPrsIndLogTest81&lt;&gt;FALSE,FSPackAmt81*BaseQuantity/QEPcsHrs1, 0)</f>
        <v>0</v>
      </c>
      <c r="C325" s="580">
        <f>IF(FSPackAmt81A&lt;&gt;FALSE,FSPackAmt81A*BaseQuantity/QEPcsHrs12, 0)</f>
        <v>0</v>
      </c>
    </row>
    <row r="326" spans="1:13">
      <c r="A326" s="743" t="s">
        <v>5977</v>
      </c>
      <c r="B326" s="733" t="b">
        <f>IF(FSPrsIndLogTest91=TRUE,VLOOKUP(FSPressInd91,PRPackAmt:PRPackAmt1,2))</f>
        <v>0</v>
      </c>
      <c r="C326" s="733" t="b">
        <f>IF(FSPrsIndLogTest96=TRUE,VLOOKUP(FSPressInd96,PRPackAmt:PRPackAmt1,2))</f>
        <v>0</v>
      </c>
    </row>
    <row r="327" spans="1:13">
      <c r="A327" s="743" t="s">
        <v>1568</v>
      </c>
      <c r="B327" s="580">
        <f>IF(FSPrsIndLogTest91&lt;&gt;FALSE,FSPackAmt91*BaseQuantity/QEPcsHrs2, 0)</f>
        <v>0</v>
      </c>
      <c r="C327" s="580">
        <f>IF(FSPackAmt91A&lt;&gt;FALSE,FSPackAmt91A*BaseQuantity/QEPcsHrs22, 0)</f>
        <v>0</v>
      </c>
    </row>
    <row r="328" spans="1:13">
      <c r="A328" s="743" t="s">
        <v>5977</v>
      </c>
      <c r="B328" s="733" t="b">
        <f>IF(FSPrsIndLogTest101=TRUE,VLOOKUP(FSPressInd101,PRPackAmt:PRPackAmt1,2))</f>
        <v>0</v>
      </c>
      <c r="C328" s="733" t="b">
        <f>IF(FSPrsIndLogTest106=TRUE,VLOOKUP(FSPressInd106,PRPackAmt:PRPackAmt1,2))</f>
        <v>0</v>
      </c>
    </row>
    <row r="329" spans="1:13">
      <c r="A329" s="743" t="s">
        <v>4056</v>
      </c>
      <c r="B329" s="580">
        <f>IF(FSPrsIndLogTest101&lt;&gt;FALSE,FSPackAmt101*BaseQuantity/QEPcsHrs3, 0)</f>
        <v>0</v>
      </c>
      <c r="C329" s="580">
        <f>IF(FSPackAmt101A&lt;&gt;FALSE,FSPackAmt101A*BaseQuantity/QEPcsHrs32, 0)</f>
        <v>0</v>
      </c>
    </row>
    <row r="330" spans="1:13" ht="12.75">
      <c r="A330" s="778" t="s">
        <v>293</v>
      </c>
      <c r="B330" s="1083">
        <f xml:space="preserve"> IF(FSScn1TotPcs&gt;0,  FSBurriedPack1+FSBurriedPack2+FSBurriedPack3+FSBurriedPack4+FSBurriedPack5+FSBurriedPack6 +FSBurriedPack7+FSBurriedPack8+FSBurriedPack9+FSBurriedPack10, 0)</f>
        <v>0.63775510204081631</v>
      </c>
      <c r="C330" s="1083">
        <f xml:space="preserve"> IF(FSScn2TotPcs&gt;0,  FSBurriedPack1A+FSBurriedPack2A+FSBurriedPack3A+FSBurriedPack4A+FSBurriedPack5A +FSBurriedPack6A +FSBurriedPack7A+FSBurriedPack8A+FSBurriedPack9A+FSBurriedPack10A, 0)</f>
        <v>0</v>
      </c>
      <c r="D330" s="723"/>
    </row>
    <row r="331" spans="1:13">
      <c r="A331" s="721"/>
      <c r="B331" s="721"/>
      <c r="C331" s="721"/>
    </row>
    <row r="332" spans="1:13">
      <c r="C332" s="782"/>
    </row>
    <row r="333" spans="1:13" ht="12.75">
      <c r="A333" s="719" t="s">
        <v>5630</v>
      </c>
    </row>
    <row r="334" spans="1:13" ht="12.75">
      <c r="A334" s="581" t="s">
        <v>4446</v>
      </c>
      <c r="B334" s="780">
        <f>QEAmortAmt1</f>
        <v>0</v>
      </c>
      <c r="C334" s="783">
        <f>IF(AND(Quantity1&gt;0,FSAmortAmt1&gt;0, CavityScr1&gt;0, FSAmortYears&gt;0),(FSAmortAmt1/FSAmortYears)/(Quantity1/BaseQuantity),0)</f>
        <v>0</v>
      </c>
      <c r="D334" s="783">
        <f>IF(AND(Quantity2&gt;0,FSAmortAmt1&gt;0, CavityScr1&gt;0, FSAmortYears&gt;0),(FSAmortAmt1/FSAmortYears)/(Quantity2/BaseQuantity),0)</f>
        <v>0</v>
      </c>
      <c r="E334" s="783">
        <f>IF(AND(Quantity3&gt;0,FSAmortAmt1&gt;0, CavityScr1&gt;0, FSAmortYears&gt;0),(FSAmortAmt1/FSAmortYears)/(Quantity3/BaseQuantity),0)</f>
        <v>0</v>
      </c>
      <c r="F334" s="783">
        <f>IF(AND(Quantity4&gt;0,FSAmortAmt1&gt;0, CavityScr1&gt;0, FSAmortYears&gt;0),(FSAmortAmt1/FSAmortYears)/(Quantity4/BaseQuantity),0)</f>
        <v>0</v>
      </c>
      <c r="G334" s="783">
        <f>IF(AND(Quantity5&gt;0,FSAmortAmt1&gt;0, CavityScr1&gt;0, FSAmortYears&gt;0),(FSAmortAmt1/FSAmortYears)/(Quantity5/BaseQuantity),0)</f>
        <v>0</v>
      </c>
    </row>
    <row r="335" spans="1:13" ht="12.75">
      <c r="A335" s="581" t="s">
        <v>4447</v>
      </c>
      <c r="B335" s="780">
        <f>QEAmortAmt2</f>
        <v>0</v>
      </c>
      <c r="C335" s="783">
        <f>IF(AND(Quantity6&gt;0,FSAmortAmt2&gt;0, CavityScr2&gt;0, FSAmortYears&gt;0),(FSAmortAmt2/FSAmortYears)/(Quantity6/BaseQuantity),0)</f>
        <v>0</v>
      </c>
      <c r="D335" s="783">
        <f>IF(AND(Quantity7&gt;0,FSAmortAmt2&gt;0, CavityScr2&gt;0, FSAmortYears&gt;0),(FSAmortAmt2/FSAmortYears)/(Quantity7/BaseQuantity),0)</f>
        <v>0</v>
      </c>
      <c r="E335" s="783">
        <f>IF(AND(Quantity8&gt;0,FSAmortAmt2&gt;0, CavityScr2&gt;0, FSAmortYears&gt;0),(FSAmortAmt2/FSAmortYears)/(Quantity8/BaseQuantity),0)</f>
        <v>0</v>
      </c>
      <c r="F335" s="783">
        <f>IF(AND(Quantity9&gt;0,FSAmortAmt2&gt;0, CavityScr2&gt;0, FSAmortYears&gt;0),(FSAmortAmt2/FSAmortYears)/(Quantity9/BaseQuantity),0)</f>
        <v>0</v>
      </c>
      <c r="G335" s="783">
        <f>IF(AND(Quantity10&gt;0,FSAmortAmt2&gt;0, CavityScr2&gt;0, FSAmortYears&gt;0),(FSAmortAmt2/FSAmortYears)/(Quantity10/BaseQuantity),0)</f>
        <v>0</v>
      </c>
    </row>
    <row r="336" spans="1:13" ht="12.75">
      <c r="A336" s="581" t="s">
        <v>4085</v>
      </c>
      <c r="B336" s="784">
        <f>QEAmortYears</f>
        <v>1</v>
      </c>
    </row>
    <row r="337" spans="1:6">
      <c r="A337" s="721"/>
      <c r="B337" s="721"/>
      <c r="C337" s="721"/>
    </row>
    <row r="339" spans="1:6" ht="25.5">
      <c r="A339" s="575" t="s">
        <v>1427</v>
      </c>
      <c r="B339" s="112" t="s">
        <v>1937</v>
      </c>
      <c r="C339" s="112" t="s">
        <v>1938</v>
      </c>
      <c r="D339" s="719" t="s">
        <v>5607</v>
      </c>
      <c r="E339" s="536"/>
      <c r="F339" s="785"/>
    </row>
    <row r="340" spans="1:6">
      <c r="A340" s="112" t="s">
        <v>1428</v>
      </c>
      <c r="B340" s="759">
        <f>RunnerDiameter</f>
        <v>0</v>
      </c>
      <c r="C340" s="112"/>
      <c r="D340" s="743" t="s">
        <v>2158</v>
      </c>
      <c r="E340" s="786">
        <f>(CSCIVol)*(CSSpecificGravity*VSCIMultiplier)*BaseQuantity</f>
        <v>0</v>
      </c>
      <c r="F340" s="787"/>
    </row>
    <row r="341" spans="1:6">
      <c r="A341" s="112" t="s">
        <v>3895</v>
      </c>
      <c r="B341" s="788">
        <f>RunnerLen1</f>
        <v>0</v>
      </c>
      <c r="C341" s="788">
        <f>RunnerLen2</f>
        <v>0</v>
      </c>
      <c r="D341" s="743" t="s">
        <v>3921</v>
      </c>
      <c r="E341" s="789">
        <f>(CSMetricVol/FSMetricConv)*(CSSpecificGravity*VSCIMultiplier)*BaseQuantity</f>
        <v>0</v>
      </c>
      <c r="F341" s="734"/>
    </row>
    <row r="342" spans="1:6">
      <c r="A342" s="112" t="s">
        <v>1430</v>
      </c>
      <c r="B342" s="759">
        <f>((FSRunCalcDia*FSRunCalcDia)*VSRNDFactor)*FSRunCalcLgth</f>
        <v>0</v>
      </c>
      <c r="C342" s="759">
        <f>((FSRunCalcDia*FSRunCalcDia)*VSRNDFactor)*FSRunCalcLgth1</f>
        <v>0</v>
      </c>
    </row>
    <row r="343" spans="1:6">
      <c r="A343" s="112" t="s">
        <v>1429</v>
      </c>
      <c r="B343" s="759">
        <f>IF(FSRunCalcDia&gt;0,(FSRunCalcCIV1*CSSpecificGravity*VSCIMultiplier)*BaseQuantity,0)</f>
        <v>0</v>
      </c>
      <c r="C343" s="759">
        <f>IF(FSRunCalcDia&gt;0,(FSRunCalcCIV2*CSSpecificGravity*VSCIMultiplier)*BaseQuantity,0)</f>
        <v>0</v>
      </c>
    </row>
    <row r="345" spans="1:6" ht="12.75">
      <c r="A345" s="719" t="s">
        <v>2876</v>
      </c>
      <c r="B345" s="722"/>
      <c r="C345" s="722"/>
    </row>
    <row r="346" spans="1:6">
      <c r="A346" s="722"/>
      <c r="B346" s="112" t="s">
        <v>1937</v>
      </c>
      <c r="C346" s="112" t="s">
        <v>1938</v>
      </c>
    </row>
    <row r="347" spans="1:6">
      <c r="A347" s="576" t="s">
        <v>1431</v>
      </c>
      <c r="B347" s="788">
        <f>IF(AND(CavityScr1&gt;0,QEEstMoldPrice1&gt;0),QEEstMoldPrice1, 0)</f>
        <v>0</v>
      </c>
      <c r="C347" s="788">
        <f>IF(AND(CavityScr2&gt;0,QEEstMoldPrice2&gt;0),QEEstMoldPrice2, 0)</f>
        <v>0</v>
      </c>
    </row>
    <row r="348" spans="1:6">
      <c r="A348" s="576" t="s">
        <v>2121</v>
      </c>
      <c r="B348" s="790">
        <f>FSToolPrice1*GFLMultiplier</f>
        <v>0</v>
      </c>
      <c r="C348" s="790">
        <f>FSToolPrice2*GFLMultiplier</f>
        <v>0</v>
      </c>
    </row>
    <row r="349" spans="1:6">
      <c r="A349" s="576" t="s">
        <v>2977</v>
      </c>
      <c r="B349" s="790">
        <f>CavityScr1</f>
        <v>8</v>
      </c>
      <c r="C349" s="790">
        <f>CavityScr2</f>
        <v>0</v>
      </c>
    </row>
    <row r="350" spans="1:6">
      <c r="A350" s="576" t="s">
        <v>2122</v>
      </c>
      <c r="B350" s="780">
        <v>500000</v>
      </c>
      <c r="C350" s="780">
        <v>500000</v>
      </c>
    </row>
    <row r="351" spans="1:6">
      <c r="A351" s="576" t="s">
        <v>2123</v>
      </c>
      <c r="B351" s="780">
        <f>FSCav1*GFLFactor1</f>
        <v>4000000</v>
      </c>
      <c r="C351" s="780">
        <f>FSCav2*GFLFactor2</f>
        <v>0</v>
      </c>
    </row>
    <row r="352" spans="1:6">
      <c r="A352" s="576" t="s">
        <v>2875</v>
      </c>
      <c r="B352" s="780">
        <f>FSGFLPCS1/BaseQuantity</f>
        <v>4000</v>
      </c>
      <c r="C352" s="780">
        <f>FSGFLPCS2/BaseQuantity</f>
        <v>0</v>
      </c>
    </row>
    <row r="353" spans="1:9">
      <c r="A353" s="576" t="s">
        <v>5770</v>
      </c>
      <c r="B353" s="752">
        <f>IF(FSCav1&gt;0,FSGFLCost1/FSGFLTot1,0)</f>
        <v>0</v>
      </c>
      <c r="C353" s="752">
        <f>IF(FSCav2&gt;0,FSGFLCost2/FSGFLTot2,0)</f>
        <v>0</v>
      </c>
    </row>
    <row r="355" spans="1:9" ht="25.5">
      <c r="A355" s="719" t="s">
        <v>3287</v>
      </c>
    </row>
    <row r="356" spans="1:9">
      <c r="B356" s="722" t="s">
        <v>1691</v>
      </c>
      <c r="C356" s="722" t="s">
        <v>1510</v>
      </c>
      <c r="D356" s="722" t="s">
        <v>1510</v>
      </c>
      <c r="E356" s="722" t="s">
        <v>1692</v>
      </c>
    </row>
    <row r="357" spans="1:9">
      <c r="A357" s="743" t="s">
        <v>4235</v>
      </c>
      <c r="B357" s="791">
        <f>IF(QEMfgRate1&gt;0,QEMfgRate1*VSHotRunFac,0)</f>
        <v>-4.05</v>
      </c>
      <c r="C357" s="792">
        <f>IF(AND(QEAutomationCost&gt;0,QEPressScrOne &lt;&gt; 2),  QEAutomationCost/VSAutomFactor*AutoMaintRate,0)</f>
        <v>0</v>
      </c>
      <c r="D357" s="792">
        <f>IF(AND(QEAutomationCost2&gt;0,QEPressScrOne &lt;&gt; 1),  QEAutomationCost2/VSAutomFactor*AutoMaintRate,0)</f>
        <v>0</v>
      </c>
      <c r="E357" s="793">
        <f>HotRunner1+Automation1+Automation12</f>
        <v>-4.05</v>
      </c>
    </row>
    <row r="358" spans="1:9">
      <c r="A358" s="743" t="s">
        <v>4236</v>
      </c>
      <c r="B358" s="791">
        <f>IF(QEMfgRate2&gt;0,QEMfgRate2*VSHotRunFac,0)</f>
        <v>0</v>
      </c>
      <c r="C358" s="792">
        <f>IF(AND(QEAutomationCost&gt;0,QEPressScrTwo &lt;&gt; 2),  QEAutomationCost/VSAutomFactor*AutoMaintRate,0)</f>
        <v>0</v>
      </c>
      <c r="D358" s="792">
        <f>IF(AND(QEAutomationCost2&gt;0,QEPressScrTwo &lt;&gt; 1),  QEAutomationCost2/VSAutomFactor*AutoMaintRate,0)</f>
        <v>0</v>
      </c>
      <c r="E358" s="793">
        <f>HotRunner2+Automation2+Automation22</f>
        <v>0</v>
      </c>
    </row>
    <row r="359" spans="1:9">
      <c r="A359" s="743" t="s">
        <v>2590</v>
      </c>
      <c r="B359" s="791">
        <f>IF(QEMfgRate3&gt;0,QEMfgRate3*VSHotRunFac,0)</f>
        <v>0</v>
      </c>
      <c r="C359" s="792">
        <f>IF(AND(QEAutomationCost&gt;0,QEPressScrThree &lt;&gt; 2),  QEAutomationCost/VSAutomFactor*AutoMaintRate,0)</f>
        <v>0</v>
      </c>
      <c r="D359" s="792">
        <f>IF(AND(QEAutomationCost2&gt;0,QEPressScrThree &lt;&gt; 1),  QEAutomationCost2/VSAutomFactor*AutoMaintRate,0)</f>
        <v>0</v>
      </c>
      <c r="E359" s="793">
        <f>HotRunner3+Automation3+Automation32</f>
        <v>0</v>
      </c>
    </row>
    <row r="360" spans="1:9">
      <c r="A360" s="743" t="s">
        <v>3017</v>
      </c>
      <c r="B360" s="791">
        <f>IF(QEMfgRate6&gt;0,QEMfgRate6*VSHotRunFac,0)</f>
        <v>0</v>
      </c>
      <c r="C360" s="792">
        <f>IF(AND(QEAutomationCost&gt;0,QEPressScr6 &lt;&gt; 2),  QEAutomationCost/VSAutomFactor*AutoMaintRate,0)</f>
        <v>0</v>
      </c>
      <c r="D360" s="792">
        <f>IF(AND(QEAutomationCost2&gt;0,QEPressScr6 &lt;&gt; 1),  QEAutomationCost2/VSAutomFactor*AutoMaintRate,0)</f>
        <v>0</v>
      </c>
      <c r="E360" s="793">
        <f>HotRunner4+Automation4+Automation42</f>
        <v>0</v>
      </c>
    </row>
    <row r="361" spans="1:9">
      <c r="A361" s="743" t="s">
        <v>188</v>
      </c>
      <c r="B361" s="791">
        <f>IF(QEMfgRate7&gt;0,QEMfgRate7*VSHotRunFac,0)</f>
        <v>0</v>
      </c>
      <c r="C361" s="792">
        <f>IF(AND(QEAutomationCost&gt;0,QEPressScr7 &lt;&gt; 2),  QEAutomationCost/VSAutomFactor*AutoMaintRate,0)</f>
        <v>0</v>
      </c>
      <c r="D361" s="792">
        <f>IF(AND(QEAutomationCost2&gt;0,QEPressScr7 &lt;&gt; 1),  QEAutomationCost2/VSAutomFactor*AutoMaintRate,0)</f>
        <v>0</v>
      </c>
      <c r="E361" s="793">
        <f>HotRunner5+Automation5+Automation52</f>
        <v>0</v>
      </c>
    </row>
    <row r="362" spans="1:9">
      <c r="A362" s="743" t="s">
        <v>2445</v>
      </c>
      <c r="B362" s="791">
        <f>IF(QEMfgRate9&gt;0,QEMfgRate9*VSHotRunFac,0)</f>
        <v>0</v>
      </c>
      <c r="C362" s="792">
        <f>IF(AND(QEAutomationCost&gt;0,QEPressScr9 &lt;&gt; 2),  QEAutomationCost/VSAutomFactor*AutoMaintRate,0)</f>
        <v>0</v>
      </c>
      <c r="D362" s="792">
        <f>IF(AND(QEAutomationCost2&gt;0,QEPressScr9 &lt;&gt; 1),  QEAutomationCost2/VSAutomFactor*AutoMaintRate,0)</f>
        <v>0</v>
      </c>
      <c r="E362" s="793">
        <f>HotRunner6+Automation6+Automation62</f>
        <v>0</v>
      </c>
    </row>
    <row r="363" spans="1:9">
      <c r="A363" s="743" t="s">
        <v>4793</v>
      </c>
      <c r="B363" s="791">
        <f>IF(QEMfgRate10&gt;0,QEMfgRate10*VSHotRunFac,0)</f>
        <v>0</v>
      </c>
      <c r="C363" s="792">
        <f>IF(AND(QEAutomationCost&gt;0,QEPressScr10 &lt;&gt; 2),  QEAutomationCost/VSAutomFactor*AutoMaintRate,0)</f>
        <v>0</v>
      </c>
      <c r="D363" s="792">
        <f>IF(AND(QEAutomationCost2&gt;0,QEPressScr10 &lt;&gt; 1),  QEAutomationCost2/VSAutomFactor*AutoMaintRate,0)</f>
        <v>0</v>
      </c>
      <c r="E363" s="793">
        <f>HotRunner7+Automation7+Automation72</f>
        <v>0</v>
      </c>
    </row>
    <row r="364" spans="1:9">
      <c r="A364" s="743" t="s">
        <v>6334</v>
      </c>
      <c r="B364" s="791">
        <f>IF(QEMfgRate4&gt;0,QEMfgRate4*VSHotRunFac,0)</f>
        <v>0</v>
      </c>
      <c r="C364" s="792">
        <f>IF(AND(QEAutomationCost&gt;0,QEPressScrFour &lt;&gt; 2),  QEAutomationCost/VSAutomFactor*AutoMaintRate,0)</f>
        <v>0</v>
      </c>
      <c r="D364" s="792">
        <f>IF(AND(QEAutomationCost2&gt;0,QEPressScrFour &lt;&gt; 1),  QEAutomationCost2/VSAutomFactor*AutoMaintRate,0)</f>
        <v>0</v>
      </c>
      <c r="E364" s="793">
        <f>HotRunner8+Automation8+Automation82</f>
        <v>0</v>
      </c>
    </row>
    <row r="365" spans="1:9">
      <c r="A365" s="743" t="s">
        <v>4793</v>
      </c>
      <c r="B365" s="791">
        <f>IF(QEMfgRate10&gt;0,QEMfgRate10*VSHotRunFac,0)</f>
        <v>0</v>
      </c>
      <c r="C365" s="792">
        <f>IF(AND(QEAutomationCost&gt;0,QEPressScrFive &lt;&gt; 2),  QEAutomationCost/VSAutomFactor*AutoMaintRate,0)</f>
        <v>0</v>
      </c>
      <c r="D365" s="792">
        <f>IF(AND(QEAutomationCost2&gt;0,QEPressScrFive &lt;&gt; 1),  QEAutomationCost2/VSAutomFactor*AutoMaintRate,0)</f>
        <v>0</v>
      </c>
      <c r="E365" s="793">
        <f>HotRunner9+Automation9+Automation92</f>
        <v>0</v>
      </c>
    </row>
    <row r="366" spans="1:9">
      <c r="A366" s="743" t="s">
        <v>4793</v>
      </c>
      <c r="B366" s="791">
        <f>IF(QEMfgRate10&gt;0,QEMfgRate10*VSHotRunFac,0)</f>
        <v>0</v>
      </c>
      <c r="C366" s="792">
        <f>IF(AND(QEAutomationCost&gt;0,QEPressScr8 &lt;&gt; 2),  QEAutomationCost/VSAutomFactor*AutoMaintRate,0)</f>
        <v>0</v>
      </c>
      <c r="D366" s="792">
        <f>IF(AND(QEAutomationCost2&gt;0,QEPressScr8 &lt;&gt; 1),  QEAutomationCost2/VSAutomFactor*AutoMaintRate,0)</f>
        <v>0</v>
      </c>
      <c r="E366" s="793">
        <f>HotRunner10+Automation10+Automation102</f>
        <v>0</v>
      </c>
    </row>
    <row r="368" spans="1:9" ht="31.5" customHeight="1">
      <c r="A368" s="719" t="s">
        <v>2016</v>
      </c>
      <c r="B368" s="794" t="s">
        <v>2017</v>
      </c>
      <c r="C368" s="794" t="s">
        <v>6299</v>
      </c>
      <c r="D368" s="794" t="s">
        <v>3566</v>
      </c>
      <c r="I368" s="721"/>
    </row>
    <row r="369" spans="1:10" ht="15.75" customHeight="1">
      <c r="A369" s="576" t="s">
        <v>4386</v>
      </c>
      <c r="B369" s="736">
        <f>BOMReq1*VSMucellMatl</f>
        <v>2.0280468749999998</v>
      </c>
      <c r="C369" s="1156">
        <v>0.85</v>
      </c>
      <c r="D369" s="1156">
        <f>1-MucellFactor11</f>
        <v>0.15000000000000002</v>
      </c>
      <c r="J369" s="722"/>
    </row>
    <row r="370" spans="1:10">
      <c r="A370" s="576" t="s">
        <v>2945</v>
      </c>
      <c r="B370" s="736">
        <f>BOMReq2*VSMucellMatl</f>
        <v>0</v>
      </c>
      <c r="C370" s="1156">
        <v>0.85</v>
      </c>
      <c r="D370" s="1156">
        <f>1-MucellFactor12</f>
        <v>0.15000000000000002</v>
      </c>
      <c r="J370" s="722"/>
    </row>
    <row r="371" spans="1:10">
      <c r="A371" s="743" t="s">
        <v>617</v>
      </c>
      <c r="B371" s="725">
        <f>B375*VSMuCellPress</f>
        <v>9</v>
      </c>
      <c r="C371" s="721"/>
      <c r="I371" s="721"/>
    </row>
    <row r="372" spans="1:10">
      <c r="A372" s="743" t="s">
        <v>1000</v>
      </c>
      <c r="B372" s="725">
        <f>$B$376*'Variable Sheet'!$B$12</f>
        <v>0</v>
      </c>
      <c r="C372" s="721"/>
      <c r="H372" s="721"/>
      <c r="J372" s="722"/>
    </row>
    <row r="373" spans="1:10">
      <c r="A373" s="743" t="s">
        <v>3319</v>
      </c>
      <c r="B373" s="725">
        <f>$B$377*'Variable Sheet'!$B$12</f>
        <v>0</v>
      </c>
      <c r="C373" s="721"/>
      <c r="H373" s="721"/>
      <c r="J373" s="722"/>
    </row>
    <row r="374" spans="1:10" ht="12.75">
      <c r="A374" s="719" t="s">
        <v>2376</v>
      </c>
    </row>
    <row r="375" spans="1:10">
      <c r="A375" s="743" t="s">
        <v>1253</v>
      </c>
      <c r="B375" s="795">
        <f>QECycle1</f>
        <v>12</v>
      </c>
    </row>
    <row r="376" spans="1:10">
      <c r="A376" s="743" t="s">
        <v>2984</v>
      </c>
      <c r="B376" s="795">
        <f>QECycle2</f>
        <v>0</v>
      </c>
      <c r="H376" s="721"/>
      <c r="J376" s="722"/>
    </row>
    <row r="377" spans="1:10">
      <c r="A377" s="743" t="s">
        <v>2985</v>
      </c>
      <c r="B377" s="795">
        <f>QECycle3</f>
        <v>0</v>
      </c>
    </row>
    <row r="378" spans="1:10">
      <c r="A378" s="743" t="s">
        <v>3442</v>
      </c>
      <c r="B378" s="795">
        <f>QECycle6</f>
        <v>0</v>
      </c>
    </row>
    <row r="379" spans="1:10">
      <c r="A379" s="743" t="s">
        <v>3804</v>
      </c>
      <c r="B379" s="795">
        <f>QECycle7</f>
        <v>0</v>
      </c>
    </row>
    <row r="382" spans="1:10">
      <c r="A382" s="785" t="s">
        <v>4134</v>
      </c>
      <c r="B382" s="721"/>
      <c r="C382" s="112"/>
    </row>
    <row r="383" spans="1:10">
      <c r="A383" s="537"/>
      <c r="B383" s="725" t="s">
        <v>617</v>
      </c>
      <c r="C383" s="725" t="s">
        <v>1000</v>
      </c>
      <c r="D383" s="720"/>
    </row>
    <row r="384" spans="1:10">
      <c r="A384" s="582" t="s">
        <v>3565</v>
      </c>
      <c r="B384" s="733">
        <v>11</v>
      </c>
      <c r="C384" s="733"/>
    </row>
    <row r="385" spans="1:3">
      <c r="A385" s="582" t="s">
        <v>5773</v>
      </c>
      <c r="B385" s="733">
        <f>CSSpecificGravity*FSPressShotSize1</f>
        <v>11</v>
      </c>
      <c r="C385" s="733">
        <f>CSSpecificGravity*FSPressShotSize2</f>
        <v>0</v>
      </c>
    </row>
    <row r="386" spans="1:3">
      <c r="A386" s="582"/>
      <c r="B386" s="725" t="s">
        <v>2964</v>
      </c>
      <c r="C386" s="725" t="s">
        <v>2965</v>
      </c>
    </row>
    <row r="387" spans="1:3">
      <c r="A387" s="582" t="s">
        <v>3665</v>
      </c>
      <c r="B387" s="796">
        <f>IF(FSPressShotSize1&gt;0, FSShotSizeA1/FSRecalcShotSize1, 0)</f>
        <v>3.7018181818181818E-2</v>
      </c>
      <c r="C387" s="796">
        <f>IF(FSPressShotSize2&gt;0, FSShotSizeA2/FSRecalcShotSize2, 0)</f>
        <v>0</v>
      </c>
    </row>
    <row r="388" spans="1:3">
      <c r="A388" s="582" t="s">
        <v>3477</v>
      </c>
      <c r="B388" s="733">
        <f>FSRecalcShotSize1</f>
        <v>11</v>
      </c>
      <c r="C388" s="733">
        <f>FSRecalcShotSize2</f>
        <v>0</v>
      </c>
    </row>
    <row r="389" spans="1:3">
      <c r="A389" s="582" t="s">
        <v>3666</v>
      </c>
      <c r="B389" s="796">
        <f>FSShotSizeComparison1</f>
        <v>3.7018181818181818E-2</v>
      </c>
      <c r="C389" s="796">
        <f>FSShotSizeComparison2</f>
        <v>0</v>
      </c>
    </row>
    <row r="390" spans="1:3">
      <c r="A390" s="582" t="s">
        <v>3564</v>
      </c>
      <c r="B390" s="725" t="str">
        <f>IF(DSCapacity&gt;0.85,"YES","NO")</f>
        <v>NO</v>
      </c>
      <c r="C390" s="725" t="str">
        <f>IF(DSCapacity1&gt;0.85,"YES","NO")</f>
        <v>NO</v>
      </c>
    </row>
    <row r="391" spans="1:3">
      <c r="A391" s="582" t="s">
        <v>4563</v>
      </c>
      <c r="B391" s="725" t="str">
        <f>IF(DSCapacity&lt;0.4,"YES","NO")</f>
        <v>YES</v>
      </c>
      <c r="C391" s="725" t="str">
        <f>IF(DSCapacity1&lt;0.4,"YES","NO")</f>
        <v>YES</v>
      </c>
    </row>
    <row r="420" spans="1:1" ht="12.75">
      <c r="A420" s="797"/>
    </row>
    <row r="421" spans="1:1" ht="12.75">
      <c r="A421" s="797"/>
    </row>
    <row r="422" spans="1:1" ht="12.75">
      <c r="A422" s="797"/>
    </row>
    <row r="423" spans="1:1" ht="12.75">
      <c r="A423" s="797"/>
    </row>
    <row r="424" spans="1:1" ht="12.75">
      <c r="A424" s="797"/>
    </row>
    <row r="425" spans="1:1" ht="12.75">
      <c r="A425" s="797"/>
    </row>
    <row r="426" spans="1:1" ht="12.75">
      <c r="A426" s="797"/>
    </row>
    <row r="427" spans="1:1" ht="12.75">
      <c r="A427" s="797"/>
    </row>
    <row r="428" spans="1:1" ht="12.75">
      <c r="A428" s="797"/>
    </row>
    <row r="429" spans="1:1" ht="12.75">
      <c r="A429" s="797"/>
    </row>
    <row r="430" spans="1:1" ht="12.75">
      <c r="A430" s="797"/>
    </row>
    <row r="431" spans="1:1" ht="12.75">
      <c r="A431" s="797"/>
    </row>
    <row r="432" spans="1:1" ht="12.75">
      <c r="A432" s="797"/>
    </row>
    <row r="433" spans="1:1">
      <c r="A433" s="798"/>
    </row>
    <row r="434" spans="1:1">
      <c r="A434" s="799"/>
    </row>
    <row r="435" spans="1:1">
      <c r="A435" s="799"/>
    </row>
    <row r="436" spans="1:1">
      <c r="A436" s="799"/>
    </row>
    <row r="437" spans="1:1">
      <c r="A437" s="799"/>
    </row>
    <row r="438" spans="1:1">
      <c r="A438" s="799"/>
    </row>
    <row r="439" spans="1:1">
      <c r="A439" s="799"/>
    </row>
    <row r="440" spans="1:1">
      <c r="A440" s="799"/>
    </row>
    <row r="441" spans="1:1">
      <c r="A441" s="799"/>
    </row>
    <row r="442" spans="1:1">
      <c r="A442" s="799"/>
    </row>
    <row r="443" spans="1:1">
      <c r="A443" s="799"/>
    </row>
    <row r="444" spans="1:1">
      <c r="A444" s="799"/>
    </row>
    <row r="445" spans="1:1">
      <c r="A445" s="799"/>
    </row>
    <row r="446" spans="1:1">
      <c r="A446" s="799"/>
    </row>
    <row r="447" spans="1:1">
      <c r="A447" s="799"/>
    </row>
    <row r="448" spans="1:1">
      <c r="A448" s="799"/>
    </row>
    <row r="449" spans="1:1">
      <c r="A449" s="799"/>
    </row>
    <row r="450" spans="1:1">
      <c r="A450" s="799"/>
    </row>
    <row r="451" spans="1:1">
      <c r="A451" s="799"/>
    </row>
    <row r="452" spans="1:1">
      <c r="A452" s="799"/>
    </row>
    <row r="453" spans="1:1">
      <c r="A453" s="799"/>
    </row>
    <row r="454" spans="1:1">
      <c r="A454" s="799"/>
    </row>
    <row r="455" spans="1:1">
      <c r="A455" s="799"/>
    </row>
    <row r="456" spans="1:1">
      <c r="A456" s="799"/>
    </row>
    <row r="457" spans="1:1">
      <c r="A457" s="799"/>
    </row>
    <row r="458" spans="1:1">
      <c r="A458" s="799"/>
    </row>
    <row r="459" spans="1:1">
      <c r="A459" s="799"/>
    </row>
    <row r="460" spans="1:1">
      <c r="A460" s="799"/>
    </row>
    <row r="461" spans="1:1">
      <c r="A461" s="799"/>
    </row>
    <row r="462" spans="1:1">
      <c r="A462" s="799"/>
    </row>
    <row r="463" spans="1:1">
      <c r="A463" s="799"/>
    </row>
    <row r="464" spans="1:1">
      <c r="A464" s="799"/>
    </row>
    <row r="465" spans="1:1">
      <c r="A465" s="799"/>
    </row>
    <row r="466" spans="1:1">
      <c r="A466" s="799"/>
    </row>
    <row r="467" spans="1:1">
      <c r="A467" s="799"/>
    </row>
    <row r="468" spans="1:1">
      <c r="A468" s="799"/>
    </row>
    <row r="469" spans="1:1">
      <c r="A469" s="799"/>
    </row>
    <row r="470" spans="1:1">
      <c r="A470" s="799"/>
    </row>
    <row r="471" spans="1:1">
      <c r="A471" s="799"/>
    </row>
    <row r="472" spans="1:1">
      <c r="A472" s="799"/>
    </row>
    <row r="473" spans="1:1">
      <c r="A473" s="799"/>
    </row>
    <row r="474" spans="1:1">
      <c r="A474" s="799"/>
    </row>
    <row r="475" spans="1:1">
      <c r="A475" s="799"/>
    </row>
    <row r="476" spans="1:1">
      <c r="A476" s="799"/>
    </row>
    <row r="477" spans="1:1">
      <c r="A477" s="799"/>
    </row>
    <row r="478" spans="1:1">
      <c r="A478" s="799"/>
    </row>
    <row r="479" spans="1:1">
      <c r="A479" s="799"/>
    </row>
    <row r="480" spans="1:1">
      <c r="A480" s="799"/>
    </row>
    <row r="481" spans="1:1">
      <c r="A481" s="799"/>
    </row>
    <row r="482" spans="1:1">
      <c r="A482" s="799"/>
    </row>
    <row r="483" spans="1:1">
      <c r="A483" s="799"/>
    </row>
    <row r="484" spans="1:1">
      <c r="A484" s="799"/>
    </row>
    <row r="485" spans="1:1">
      <c r="A485" s="799"/>
    </row>
    <row r="486" spans="1:1">
      <c r="A486" s="799"/>
    </row>
    <row r="487" spans="1:1">
      <c r="A487" s="799"/>
    </row>
    <row r="488" spans="1:1">
      <c r="A488" s="799"/>
    </row>
    <row r="489" spans="1:1">
      <c r="A489" s="799"/>
    </row>
    <row r="490" spans="1:1">
      <c r="A490" s="799"/>
    </row>
    <row r="491" spans="1:1">
      <c r="A491" s="799"/>
    </row>
    <row r="492" spans="1:1">
      <c r="A492" s="799"/>
    </row>
    <row r="493" spans="1:1">
      <c r="A493" s="799"/>
    </row>
    <row r="494" spans="1:1">
      <c r="A494" s="799"/>
    </row>
    <row r="495" spans="1:1">
      <c r="A495" s="799"/>
    </row>
    <row r="496" spans="1:1">
      <c r="A496" s="799"/>
    </row>
    <row r="497" spans="1:1">
      <c r="A497" s="799"/>
    </row>
    <row r="498" spans="1:1">
      <c r="A498" s="799"/>
    </row>
    <row r="499" spans="1:1">
      <c r="A499" s="799"/>
    </row>
    <row r="500" spans="1:1">
      <c r="A500" s="799"/>
    </row>
    <row r="501" spans="1:1">
      <c r="A501" s="799"/>
    </row>
    <row r="502" spans="1:1">
      <c r="A502" s="799"/>
    </row>
    <row r="503" spans="1:1">
      <c r="A503" s="799"/>
    </row>
    <row r="504" spans="1:1">
      <c r="A504" s="799"/>
    </row>
    <row r="505" spans="1:1">
      <c r="A505" s="799"/>
    </row>
    <row r="506" spans="1:1">
      <c r="A506" s="799"/>
    </row>
    <row r="507" spans="1:1">
      <c r="A507" s="799"/>
    </row>
    <row r="508" spans="1:1">
      <c r="A508" s="799"/>
    </row>
    <row r="509" spans="1:1">
      <c r="A509" s="799"/>
    </row>
    <row r="510" spans="1:1">
      <c r="A510" s="799"/>
    </row>
    <row r="511" spans="1:1">
      <c r="A511" s="799"/>
    </row>
    <row r="512" spans="1:1">
      <c r="A512" s="799"/>
    </row>
    <row r="513" spans="1:1">
      <c r="A513" s="799"/>
    </row>
    <row r="514" spans="1:1">
      <c r="A514" s="799"/>
    </row>
    <row r="515" spans="1:1">
      <c r="A515" s="799"/>
    </row>
    <row r="516" spans="1:1">
      <c r="A516" s="799"/>
    </row>
    <row r="517" spans="1:1">
      <c r="A517" s="799"/>
    </row>
    <row r="518" spans="1:1">
      <c r="A518" s="799"/>
    </row>
    <row r="519" spans="1:1">
      <c r="A519" s="799"/>
    </row>
    <row r="520" spans="1:1">
      <c r="A520" s="799"/>
    </row>
    <row r="521" spans="1:1">
      <c r="A521" s="799"/>
    </row>
    <row r="522" spans="1:1">
      <c r="A522" s="799"/>
    </row>
    <row r="523" spans="1:1">
      <c r="A523" s="799"/>
    </row>
    <row r="524" spans="1:1">
      <c r="A524" s="799"/>
    </row>
    <row r="525" spans="1:1">
      <c r="A525" s="799"/>
    </row>
    <row r="526" spans="1:1">
      <c r="A526" s="799"/>
    </row>
    <row r="527" spans="1:1">
      <c r="A527" s="799"/>
    </row>
    <row r="528" spans="1:1">
      <c r="A528" s="799"/>
    </row>
    <row r="529" spans="1:1">
      <c r="A529" s="799"/>
    </row>
    <row r="530" spans="1:1">
      <c r="A530" s="799"/>
    </row>
    <row r="531" spans="1:1">
      <c r="A531" s="799"/>
    </row>
    <row r="532" spans="1:1">
      <c r="A532" s="799"/>
    </row>
    <row r="533" spans="1:1">
      <c r="A533" s="799"/>
    </row>
    <row r="534" spans="1:1">
      <c r="A534" s="799"/>
    </row>
    <row r="535" spans="1:1">
      <c r="A535" s="799"/>
    </row>
    <row r="536" spans="1:1">
      <c r="A536" s="799"/>
    </row>
    <row r="537" spans="1:1">
      <c r="A537" s="799"/>
    </row>
    <row r="538" spans="1:1">
      <c r="A538" s="799"/>
    </row>
    <row r="539" spans="1:1">
      <c r="A539" s="799"/>
    </row>
    <row r="540" spans="1:1">
      <c r="A540" s="799"/>
    </row>
    <row r="541" spans="1:1">
      <c r="A541" s="799"/>
    </row>
    <row r="542" spans="1:1">
      <c r="A542" s="799"/>
    </row>
    <row r="543" spans="1:1">
      <c r="A543" s="799"/>
    </row>
    <row r="544" spans="1:1">
      <c r="A544" s="799"/>
    </row>
    <row r="545" spans="1:1">
      <c r="A545" s="799"/>
    </row>
    <row r="546" spans="1:1">
      <c r="A546" s="799"/>
    </row>
    <row r="547" spans="1:1">
      <c r="A547" s="799"/>
    </row>
    <row r="548" spans="1:1">
      <c r="A548" s="799"/>
    </row>
    <row r="549" spans="1:1">
      <c r="A549" s="799"/>
    </row>
    <row r="550" spans="1:1">
      <c r="A550" s="799"/>
    </row>
    <row r="551" spans="1:1">
      <c r="A551" s="799"/>
    </row>
    <row r="552" spans="1:1">
      <c r="A552" s="799"/>
    </row>
    <row r="553" spans="1:1">
      <c r="A553" s="799"/>
    </row>
    <row r="554" spans="1:1">
      <c r="A554" s="799"/>
    </row>
    <row r="555" spans="1:1">
      <c r="A555" s="799"/>
    </row>
    <row r="556" spans="1:1">
      <c r="A556" s="799"/>
    </row>
    <row r="557" spans="1:1">
      <c r="A557" s="799"/>
    </row>
    <row r="558" spans="1:1">
      <c r="A558" s="799"/>
    </row>
    <row r="559" spans="1:1">
      <c r="A559" s="799"/>
    </row>
    <row r="560" spans="1:1">
      <c r="A560" s="799"/>
    </row>
    <row r="561" spans="1:1">
      <c r="A561" s="799"/>
    </row>
    <row r="562" spans="1:1">
      <c r="A562" s="799"/>
    </row>
    <row r="563" spans="1:1">
      <c r="A563" s="799"/>
    </row>
    <row r="564" spans="1:1">
      <c r="A564" s="799"/>
    </row>
    <row r="565" spans="1:1">
      <c r="A565" s="799"/>
    </row>
    <row r="566" spans="1:1">
      <c r="A566" s="799"/>
    </row>
    <row r="567" spans="1:1">
      <c r="A567" s="799"/>
    </row>
    <row r="568" spans="1:1">
      <c r="A568" s="799"/>
    </row>
    <row r="569" spans="1:1">
      <c r="A569" s="799"/>
    </row>
    <row r="570" spans="1:1">
      <c r="A570" s="799"/>
    </row>
    <row r="571" spans="1:1">
      <c r="A571" s="799"/>
    </row>
    <row r="572" spans="1:1">
      <c r="A572" s="799"/>
    </row>
    <row r="573" spans="1:1">
      <c r="A573" s="799"/>
    </row>
  </sheetData>
  <sheetProtection algorithmName="SHA-512" hashValue="hd1AZZn+ptUsqCJ/qP7ravvEexYsMe0jlsCwbn1aKfjWkhtnEuERmXcOVSmJy2lx4qP6AOQve6XoT6yaBR/Z3A==" saltValue="vrwGE/4Il0A9aiW63dPF+A==" spinCount="100000" sheet="1" objects="1" scenarios="1"/>
  <phoneticPr fontId="0" type="noConversion"/>
  <dataValidations xWindow="200" yWindow="350" count="13">
    <dataValidation type="textLength" allowBlank="1" showInputMessage="1" showErrorMessage="1" promptTitle="Material For Scenario One " prompt="Enter material for scenario one only here" sqref="A34 D29:D33 D18:D27 A18:B27 A29:B33">
      <formula1>1</formula1>
      <formula2>25</formula2>
    </dataValidation>
    <dataValidation type="decimal" allowBlank="1" showInputMessage="1" showErrorMessage="1" promptTitle="Automation" prompt="Enter total dollars value of all automation equipment for this quotation." sqref="B133">
      <formula1>0</formula1>
      <formula2>1000000</formula2>
    </dataValidation>
    <dataValidation type="decimal" allowBlank="1" showInputMessage="1" showErrorMessage="1" promptTitle="Runner Diameter" prompt="Enter the estimated average runner diameter." sqref="B340">
      <formula1>0</formula1>
      <formula2>1.5</formula2>
    </dataValidation>
    <dataValidation type="decimal" allowBlank="1" showInputMessage="1" showErrorMessage="1" promptTitle="Estimated Runner length" prompt="Enter the estimated runner length" sqref="B341:C341">
      <formula1>0</formula1>
      <formula2>1000</formula2>
    </dataValidation>
    <dataValidation allowBlank="1" showInputMessage="1" showErrorMessage="1" promptTitle="Calculated Runner Weight" prompt="Calculated runner weight per thousand runners." sqref="B343:C343"/>
    <dataValidation allowBlank="1" showInputMessage="1" showErrorMessage="1" promptTitle="Cubic Inch Volume:" prompt="Enter cubic inch volume if known here!" sqref="F339"/>
    <dataValidation allowBlank="1" showInputMessage="1" showErrorMessage="1" promptTitle="Metric Volume:" prompt="Enter metric volume if known here!" sqref="F340"/>
    <dataValidation allowBlank="1" showInputMessage="1" showErrorMessage="1" promptTitle="Shot Size in Ounces" prompt="The press / ops &quot;UPDATE&quot; macro delivers the quoted press shot size.  Do not move this cell with out adjusting the location in VBA." sqref="B384:C384"/>
    <dataValidation allowBlank="1" showInputMessage="1" showErrorMessage="1" promptTitle="Minimum Order Release" prompt="This value is the minimum order release quantity required to cover our press minimum." sqref="B302:F302 I302:M302"/>
    <dataValidation allowBlank="1" showInputMessage="1" showErrorMessage="1" promptTitle="Minimum Shipment Quantity" prompt="This value is the minimum shipment quantity required to meet the $ 1,000 minimum." sqref="B307:F308 D311:F322 I307:M322 B303:F305 I303:M305 B330:C330"/>
    <dataValidation allowBlank="1" showInputMessage="1" showErrorMessage="1" promptTitle="Price W/Out Commission" sqref="B198:F199 I198:M199"/>
    <dataValidation allowBlank="1" showInputMessage="1" showErrorMessage="1" promptTitle="Price W/Out Commission " prompt="Price W/Out Commission with target margin set" sqref="B200:F200 I200:M200"/>
    <dataValidation allowBlank="1" showInputMessage="1" showErrorMessage="1" promptTitle="Price W/Out Commission " prompt="Price W/Out Commission with price reduction set" sqref="B201:F201 I201:M201"/>
  </dataValidations>
  <pageMargins left="0.1" right="0.1" top="0.25" bottom="0.25" header="0.25" footer="0.25"/>
  <pageSetup orientation="landscape" horizontalDpi="4294967292"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54" r:id="rId4" name="Label 6">
              <controlPr defaultSize="0" autoFill="0" autoLine="0" autoPict="0">
                <anchor moveWithCells="1" sizeWithCells="1">
                  <from>
                    <xdr:col>4</xdr:col>
                    <xdr:colOff>85725</xdr:colOff>
                    <xdr:row>12</xdr:row>
                    <xdr:rowOff>361950</xdr:rowOff>
                  </from>
                  <to>
                    <xdr:col>9</xdr:col>
                    <xdr:colOff>828675</xdr:colOff>
                    <xdr:row>12</xdr:row>
                    <xdr:rowOff>542925</xdr:rowOff>
                  </to>
                </anchor>
              </controlPr>
            </control>
          </mc:Choice>
        </mc:AlternateContent>
        <mc:AlternateContent xmlns:mc="http://schemas.openxmlformats.org/markup-compatibility/2006">
          <mc:Choice Requires="x14">
            <control shapeId="2061" r:id="rId5" name="Button 13">
              <controlPr defaultSize="0" print="0" autoFill="0" autoPict="0" macro="[0]!AddChangePressRate">
                <anchor>
                  <from>
                    <xdr:col>2</xdr:col>
                    <xdr:colOff>904875</xdr:colOff>
                    <xdr:row>0</xdr:row>
                    <xdr:rowOff>152400</xdr:rowOff>
                  </from>
                  <to>
                    <xdr:col>3</xdr:col>
                    <xdr:colOff>247650</xdr:colOff>
                    <xdr:row>0</xdr:row>
                    <xdr:rowOff>381000</xdr:rowOff>
                  </to>
                </anchor>
              </controlPr>
            </control>
          </mc:Choice>
        </mc:AlternateContent>
        <mc:AlternateContent xmlns:mc="http://schemas.openxmlformats.org/markup-compatibility/2006">
          <mc:Choice Requires="x14">
            <control shapeId="2062" r:id="rId6" name="Button 14">
              <controlPr defaultSize="0" print="0" autoFill="0" autoPict="0" macro="[0]!toquoteentry">
                <anchor>
                  <from>
                    <xdr:col>3</xdr:col>
                    <xdr:colOff>257175</xdr:colOff>
                    <xdr:row>0</xdr:row>
                    <xdr:rowOff>152400</xdr:rowOff>
                  </from>
                  <to>
                    <xdr:col>3</xdr:col>
                    <xdr:colOff>714375</xdr:colOff>
                    <xdr:row>0</xdr:row>
                    <xdr:rowOff>381000</xdr:rowOff>
                  </to>
                </anchor>
              </controlPr>
            </control>
          </mc:Choice>
        </mc:AlternateContent>
      </controls>
    </mc:Choice>
  </mc:AlternateConten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dimension ref="A1:K89"/>
  <sheetViews>
    <sheetView showGridLines="0" showZeros="0" workbookViewId="0">
      <selection activeCell="B28" sqref="B28"/>
    </sheetView>
  </sheetViews>
  <sheetFormatPr defaultColWidth="10.7109375" defaultRowHeight="12.75"/>
  <cols>
    <col min="1" max="1" width="35.7109375" style="42" customWidth="1"/>
    <col min="2" max="2" width="35.7109375" style="39" customWidth="1"/>
    <col min="3" max="3" width="12.7109375" style="44" customWidth="1"/>
    <col min="4" max="4" width="12.7109375" style="40" customWidth="1"/>
    <col min="5" max="7" width="12.7109375" style="44" customWidth="1"/>
    <col min="8" max="16384" width="10.7109375" style="44"/>
  </cols>
  <sheetData>
    <row r="1" spans="1:11" s="40" customFormat="1">
      <c r="A1" s="38" t="s">
        <v>4665</v>
      </c>
      <c r="B1" s="39"/>
      <c r="G1" s="41"/>
    </row>
    <row r="2" spans="1:11" s="40" customFormat="1">
      <c r="A2" s="42" t="s">
        <v>3922</v>
      </c>
      <c r="B2" s="106">
        <v>16387.063999999998</v>
      </c>
      <c r="G2" s="41"/>
    </row>
    <row r="3" spans="1:11">
      <c r="A3" s="42" t="s">
        <v>6193</v>
      </c>
      <c r="B3" s="43">
        <v>1000</v>
      </c>
      <c r="C3" s="40"/>
      <c r="E3" s="40"/>
      <c r="F3" s="40"/>
      <c r="G3" s="40"/>
      <c r="H3" s="40"/>
      <c r="I3" s="40"/>
    </row>
    <row r="4" spans="1:11">
      <c r="A4" s="45" t="s">
        <v>6194</v>
      </c>
      <c r="B4" s="43">
        <v>3600</v>
      </c>
      <c r="C4" s="46"/>
      <c r="D4" s="47"/>
      <c r="E4" s="48"/>
      <c r="F4" s="49"/>
      <c r="G4" s="49"/>
      <c r="H4" s="48"/>
      <c r="I4" s="48"/>
    </row>
    <row r="5" spans="1:11">
      <c r="A5" s="45" t="s">
        <v>5985</v>
      </c>
      <c r="B5" s="39">
        <v>0.55000000000000004</v>
      </c>
      <c r="C5" s="46"/>
      <c r="D5" s="47"/>
      <c r="E5" s="48"/>
      <c r="F5" s="49"/>
      <c r="G5" s="50"/>
      <c r="H5" s="48"/>
      <c r="I5" s="48"/>
    </row>
    <row r="6" spans="1:11">
      <c r="A6" s="45" t="s">
        <v>1644</v>
      </c>
      <c r="B6" s="51">
        <v>0.78539999999999999</v>
      </c>
      <c r="C6" s="46"/>
      <c r="D6" s="47"/>
      <c r="E6" s="48"/>
      <c r="F6" s="49"/>
      <c r="G6" s="50"/>
      <c r="H6" s="48"/>
      <c r="I6" s="48"/>
    </row>
    <row r="7" spans="1:11">
      <c r="A7" s="45" t="s">
        <v>1426</v>
      </c>
      <c r="B7" s="52">
        <v>3.61E-2</v>
      </c>
      <c r="C7" s="46"/>
      <c r="D7" s="47"/>
      <c r="E7" s="48"/>
      <c r="F7" s="49"/>
      <c r="G7" s="50"/>
      <c r="H7" s="48"/>
      <c r="I7" s="48"/>
    </row>
    <row r="8" spans="1:11">
      <c r="A8" s="45" t="s">
        <v>1690</v>
      </c>
      <c r="B8" s="43">
        <v>1000000</v>
      </c>
      <c r="C8" s="46"/>
      <c r="D8" s="47"/>
      <c r="E8" s="48"/>
      <c r="F8" s="49"/>
      <c r="G8" s="50"/>
      <c r="H8" s="48"/>
      <c r="I8" s="48"/>
    </row>
    <row r="9" spans="1:11">
      <c r="A9" s="42" t="s">
        <v>3575</v>
      </c>
      <c r="B9" s="43">
        <v>100000</v>
      </c>
      <c r="D9" s="53"/>
      <c r="F9" s="53"/>
      <c r="H9" s="54"/>
      <c r="I9" s="41"/>
    </row>
    <row r="10" spans="1:11">
      <c r="A10" s="42" t="s">
        <v>2598</v>
      </c>
      <c r="B10" s="39">
        <v>-0.1</v>
      </c>
      <c r="D10" s="53"/>
      <c r="F10" s="53"/>
    </row>
    <row r="11" spans="1:11">
      <c r="A11" s="42" t="s">
        <v>2374</v>
      </c>
      <c r="B11" s="55">
        <v>0.85</v>
      </c>
      <c r="C11" s="40"/>
      <c r="E11" s="40"/>
      <c r="F11" s="40"/>
      <c r="G11" s="40"/>
      <c r="H11" s="40"/>
      <c r="I11" s="40"/>
      <c r="J11" s="40"/>
      <c r="K11" s="40"/>
    </row>
    <row r="12" spans="1:11">
      <c r="A12" s="45" t="s">
        <v>2375</v>
      </c>
      <c r="B12" s="55">
        <v>0.75</v>
      </c>
      <c r="C12" s="56"/>
      <c r="D12" s="57"/>
      <c r="E12" s="46"/>
      <c r="F12" s="47"/>
      <c r="G12" s="48"/>
      <c r="H12" s="49"/>
      <c r="I12" s="49"/>
      <c r="J12" s="48"/>
      <c r="K12" s="48"/>
    </row>
    <row r="13" spans="1:11">
      <c r="A13" s="45" t="s">
        <v>3132</v>
      </c>
      <c r="B13" s="39">
        <v>0.33</v>
      </c>
      <c r="C13" s="56"/>
      <c r="D13" s="57"/>
      <c r="E13" s="46"/>
      <c r="F13" s="47"/>
      <c r="G13" s="48"/>
      <c r="H13" s="49"/>
      <c r="I13" s="50"/>
      <c r="J13" s="48"/>
      <c r="K13" s="48"/>
    </row>
    <row r="14" spans="1:11">
      <c r="A14" s="45" t="s">
        <v>5067</v>
      </c>
      <c r="B14" s="39">
        <v>1.43</v>
      </c>
      <c r="C14" s="56"/>
      <c r="D14" s="57"/>
      <c r="E14" s="46"/>
      <c r="F14" s="47"/>
      <c r="G14" s="48"/>
      <c r="H14" s="49"/>
      <c r="I14" s="50"/>
      <c r="J14" s="48"/>
      <c r="K14" s="48"/>
    </row>
    <row r="15" spans="1:11">
      <c r="A15" s="45" t="s">
        <v>1160</v>
      </c>
      <c r="B15" s="109">
        <v>16</v>
      </c>
      <c r="C15" s="56"/>
      <c r="D15" s="57"/>
      <c r="E15" s="46"/>
      <c r="F15" s="47"/>
      <c r="G15" s="48"/>
      <c r="H15" s="49"/>
      <c r="I15" s="50"/>
      <c r="J15" s="48"/>
      <c r="K15" s="48"/>
    </row>
    <row r="16" spans="1:11">
      <c r="A16" s="45" t="s">
        <v>4916</v>
      </c>
      <c r="B16" s="39">
        <v>1.04</v>
      </c>
      <c r="C16" s="56"/>
      <c r="D16" s="57"/>
      <c r="E16" s="46"/>
      <c r="F16" s="47"/>
      <c r="G16" s="48"/>
      <c r="H16" s="49"/>
      <c r="I16" s="50"/>
      <c r="J16" s="48"/>
      <c r="K16" s="48"/>
    </row>
    <row r="17" spans="1:11">
      <c r="A17" s="45" t="s">
        <v>155</v>
      </c>
      <c r="B17" s="39">
        <v>453.64</v>
      </c>
      <c r="C17" s="56"/>
      <c r="D17" s="57"/>
      <c r="E17" s="46"/>
      <c r="F17" s="47"/>
      <c r="G17" s="48"/>
      <c r="H17" s="49"/>
      <c r="I17" s="50"/>
      <c r="J17" s="48"/>
      <c r="K17" s="48"/>
    </row>
    <row r="18" spans="1:11">
      <c r="A18" s="45" t="s">
        <v>2275</v>
      </c>
      <c r="B18" s="39">
        <v>0.85</v>
      </c>
      <c r="C18" s="56"/>
      <c r="D18" s="57"/>
      <c r="E18" s="46"/>
      <c r="F18" s="47"/>
      <c r="G18" s="48"/>
      <c r="H18" s="49"/>
      <c r="I18" s="50"/>
      <c r="J18" s="48"/>
      <c r="K18" s="48"/>
    </row>
    <row r="19" spans="1:11">
      <c r="A19" s="45" t="s">
        <v>6052</v>
      </c>
      <c r="B19" s="39">
        <v>3500</v>
      </c>
      <c r="C19" s="56"/>
      <c r="D19" s="57"/>
      <c r="E19" s="46"/>
      <c r="F19" s="47"/>
      <c r="G19" s="48"/>
      <c r="H19" s="49"/>
      <c r="I19" s="50"/>
      <c r="J19" s="48"/>
      <c r="K19" s="48"/>
    </row>
    <row r="20" spans="1:11">
      <c r="A20" s="45" t="s">
        <v>6053</v>
      </c>
      <c r="B20" s="39">
        <v>2500</v>
      </c>
      <c r="C20" s="56"/>
      <c r="D20" s="57"/>
      <c r="E20" s="46"/>
      <c r="F20" s="47"/>
      <c r="G20" s="48"/>
      <c r="H20" s="49"/>
      <c r="I20" s="50"/>
      <c r="J20" s="48"/>
      <c r="K20" s="48"/>
    </row>
    <row r="21" spans="1:11">
      <c r="A21" s="45" t="s">
        <v>6054</v>
      </c>
      <c r="B21" s="109">
        <v>4</v>
      </c>
      <c r="C21" s="56"/>
      <c r="D21" s="57"/>
      <c r="E21" s="46"/>
      <c r="F21" s="47"/>
      <c r="G21" s="48"/>
      <c r="H21" s="49"/>
      <c r="I21" s="50"/>
      <c r="J21" s="48"/>
      <c r="K21" s="48"/>
    </row>
    <row r="22" spans="1:11">
      <c r="A22" s="45" t="s">
        <v>2135</v>
      </c>
      <c r="B22" s="109">
        <v>3</v>
      </c>
      <c r="C22" s="56"/>
      <c r="D22" s="57"/>
      <c r="E22" s="46"/>
      <c r="F22" s="47"/>
      <c r="G22" s="48"/>
      <c r="H22" s="49"/>
      <c r="I22" s="50"/>
      <c r="J22" s="48"/>
      <c r="K22" s="48"/>
    </row>
    <row r="23" spans="1:11">
      <c r="A23" s="45" t="s">
        <v>2136</v>
      </c>
      <c r="B23" s="109">
        <v>7</v>
      </c>
      <c r="C23" s="56"/>
      <c r="D23" s="57"/>
      <c r="E23" s="46"/>
      <c r="F23" s="47"/>
      <c r="G23" s="48"/>
      <c r="H23" s="49"/>
      <c r="I23" s="50"/>
      <c r="J23" s="48"/>
      <c r="K23" s="48"/>
    </row>
    <row r="24" spans="1:11">
      <c r="A24" s="45" t="s">
        <v>2137</v>
      </c>
      <c r="B24" s="109">
        <v>6</v>
      </c>
      <c r="C24" s="56"/>
      <c r="D24" s="57"/>
      <c r="E24" s="46"/>
      <c r="F24" s="47"/>
      <c r="G24" s="48"/>
      <c r="H24" s="49"/>
      <c r="I24" s="50"/>
      <c r="J24" s="48"/>
      <c r="K24" s="48"/>
    </row>
    <row r="25" spans="1:11">
      <c r="A25" s="45" t="s">
        <v>2138</v>
      </c>
      <c r="B25" s="109">
        <v>5</v>
      </c>
      <c r="C25" s="56"/>
      <c r="D25" s="57"/>
      <c r="E25" s="46"/>
      <c r="F25" s="47"/>
      <c r="G25" s="48"/>
      <c r="H25" s="49"/>
      <c r="I25" s="50"/>
      <c r="J25" s="48"/>
      <c r="K25" s="48"/>
    </row>
    <row r="26" spans="1:11">
      <c r="A26" s="42" t="s">
        <v>3192</v>
      </c>
      <c r="B26" s="39">
        <v>12000</v>
      </c>
      <c r="C26" s="56"/>
      <c r="D26" s="57"/>
      <c r="E26" s="46"/>
      <c r="F26" s="47"/>
      <c r="G26" s="48"/>
      <c r="H26" s="49"/>
      <c r="I26" s="50"/>
      <c r="J26" s="48"/>
      <c r="K26" s="48"/>
    </row>
    <row r="27" spans="1:11">
      <c r="A27" s="42" t="s">
        <v>177</v>
      </c>
      <c r="B27" s="39" t="str">
        <f>CONCATENATE("Dear ",(QECustAttn),"")</f>
        <v>Dear Larry Burton</v>
      </c>
      <c r="C27" s="56"/>
      <c r="D27" s="57"/>
      <c r="E27" s="46"/>
      <c r="F27" s="47"/>
      <c r="G27" s="48"/>
      <c r="H27" s="49"/>
      <c r="I27" s="50"/>
      <c r="J27" s="48"/>
      <c r="K27" s="48"/>
    </row>
    <row r="28" spans="1:11" ht="25.5">
      <c r="A28" s="42" t="s">
        <v>234</v>
      </c>
      <c r="B28" s="39" t="str">
        <f ca="1">INFO("directory")</f>
        <v>C:\Users\Administrator.Office\Documents\</v>
      </c>
      <c r="C28" s="56"/>
      <c r="D28" s="57"/>
      <c r="E28" s="46"/>
      <c r="F28" s="47"/>
      <c r="G28" s="48"/>
      <c r="H28" s="49"/>
      <c r="I28" s="50"/>
      <c r="J28" s="48"/>
      <c r="K28" s="48"/>
    </row>
    <row r="29" spans="1:11">
      <c r="A29" s="42" t="s">
        <v>5476</v>
      </c>
      <c r="B29" s="39">
        <v>3</v>
      </c>
      <c r="C29" s="56"/>
      <c r="D29" s="57"/>
      <c r="E29" s="46"/>
      <c r="F29" s="47"/>
      <c r="G29" s="48"/>
      <c r="H29" s="49"/>
      <c r="I29" s="50"/>
      <c r="J29" s="48"/>
      <c r="K29" s="48"/>
    </row>
    <row r="30" spans="1:11">
      <c r="C30" s="56"/>
      <c r="D30" s="57"/>
      <c r="E30" s="46"/>
      <c r="F30" s="47"/>
      <c r="G30" s="48"/>
      <c r="H30" s="49"/>
      <c r="I30" s="50"/>
      <c r="J30" s="48"/>
      <c r="K30" s="48"/>
    </row>
    <row r="31" spans="1:11">
      <c r="A31" s="45"/>
      <c r="C31" s="56"/>
      <c r="D31" s="57"/>
      <c r="E31" s="46"/>
      <c r="F31" s="47"/>
      <c r="G31" s="48"/>
      <c r="H31" s="49"/>
      <c r="I31" s="50"/>
      <c r="J31" s="48"/>
      <c r="K31" s="48"/>
    </row>
    <row r="32" spans="1:11">
      <c r="A32" s="45" t="s">
        <v>3621</v>
      </c>
      <c r="B32" s="89" t="s">
        <v>4369</v>
      </c>
      <c r="C32" s="56"/>
      <c r="D32" s="57"/>
      <c r="E32" s="46"/>
      <c r="F32" s="47"/>
      <c r="G32" s="48"/>
      <c r="H32" s="49"/>
      <c r="I32" s="50"/>
      <c r="J32" s="48"/>
      <c r="K32" s="48"/>
    </row>
    <row r="33" spans="1:11">
      <c r="A33" s="45" t="s">
        <v>3621</v>
      </c>
      <c r="B33" s="89" t="s">
        <v>344</v>
      </c>
      <c r="C33" s="56"/>
      <c r="D33" s="57"/>
      <c r="E33" s="46"/>
      <c r="F33" s="47"/>
      <c r="G33" s="48"/>
      <c r="H33" s="49"/>
      <c r="I33" s="50"/>
      <c r="J33" s="48"/>
      <c r="K33" s="48"/>
    </row>
    <row r="34" spans="1:11">
      <c r="A34" s="45" t="s">
        <v>3621</v>
      </c>
      <c r="B34" s="89" t="s">
        <v>5648</v>
      </c>
      <c r="C34" s="56"/>
      <c r="D34" s="57"/>
      <c r="E34" s="46"/>
      <c r="F34" s="47"/>
      <c r="G34" s="48"/>
      <c r="H34" s="49"/>
      <c r="I34" s="50"/>
      <c r="J34" s="48"/>
      <c r="K34" s="48"/>
    </row>
    <row r="35" spans="1:11">
      <c r="A35" s="45" t="s">
        <v>3622</v>
      </c>
      <c r="B35" s="90" t="s">
        <v>5020</v>
      </c>
      <c r="D35" s="53"/>
      <c r="F35" s="53"/>
      <c r="J35" s="54"/>
      <c r="K35" s="41"/>
    </row>
    <row r="36" spans="1:11">
      <c r="A36" s="45" t="s">
        <v>1123</v>
      </c>
      <c r="B36" s="90" t="s">
        <v>3347</v>
      </c>
      <c r="D36" s="53"/>
      <c r="F36" s="53"/>
      <c r="J36" s="54"/>
      <c r="K36" s="41"/>
    </row>
    <row r="37" spans="1:11">
      <c r="A37" s="45" t="s">
        <v>203</v>
      </c>
      <c r="B37" s="328" t="s">
        <v>205</v>
      </c>
      <c r="D37" s="53"/>
      <c r="F37" s="53"/>
      <c r="J37" s="54"/>
      <c r="K37" s="41"/>
    </row>
    <row r="38" spans="1:11">
      <c r="A38" s="45" t="s">
        <v>2548</v>
      </c>
      <c r="B38" s="89" t="s">
        <v>4370</v>
      </c>
      <c r="D38" s="44"/>
    </row>
    <row r="39" spans="1:11">
      <c r="A39" s="45" t="s">
        <v>2548</v>
      </c>
      <c r="B39" s="89" t="s">
        <v>285</v>
      </c>
      <c r="D39" s="44"/>
    </row>
    <row r="40" spans="1:11">
      <c r="A40" s="45" t="s">
        <v>2548</v>
      </c>
      <c r="B40" s="89" t="s">
        <v>1527</v>
      </c>
      <c r="D40" s="44"/>
    </row>
    <row r="41" spans="1:11">
      <c r="A41" s="45" t="s">
        <v>4035</v>
      </c>
      <c r="B41" s="90" t="s">
        <v>1290</v>
      </c>
      <c r="D41" s="44"/>
    </row>
    <row r="42" spans="1:11">
      <c r="A42" s="45" t="s">
        <v>284</v>
      </c>
      <c r="B42" s="90" t="s">
        <v>3213</v>
      </c>
    </row>
    <row r="43" spans="1:11">
      <c r="A43" s="45" t="s">
        <v>204</v>
      </c>
      <c r="B43" s="328" t="s">
        <v>392</v>
      </c>
    </row>
    <row r="44" spans="1:11">
      <c r="A44" s="45" t="s">
        <v>3193</v>
      </c>
      <c r="B44" s="89" t="s">
        <v>4371</v>
      </c>
      <c r="C44" s="59"/>
    </row>
    <row r="45" spans="1:11">
      <c r="A45" s="45" t="s">
        <v>3193</v>
      </c>
      <c r="B45" s="89" t="s">
        <v>1327</v>
      </c>
      <c r="C45" s="59"/>
    </row>
    <row r="46" spans="1:11">
      <c r="A46" s="45" t="s">
        <v>3193</v>
      </c>
      <c r="B46" s="89" t="s">
        <v>2827</v>
      </c>
      <c r="C46" s="59"/>
    </row>
    <row r="47" spans="1:11">
      <c r="A47" s="45" t="s">
        <v>3193</v>
      </c>
      <c r="B47" s="89" t="s">
        <v>2828</v>
      </c>
    </row>
    <row r="48" spans="1:11">
      <c r="A48" s="45" t="s">
        <v>3193</v>
      </c>
      <c r="B48" s="90" t="s">
        <v>1908</v>
      </c>
    </row>
    <row r="49" spans="1:2">
      <c r="A49" s="45" t="s">
        <v>3194</v>
      </c>
      <c r="B49" s="90" t="s">
        <v>3215</v>
      </c>
    </row>
    <row r="50" spans="1:2">
      <c r="A50" s="45" t="s">
        <v>393</v>
      </c>
      <c r="B50" s="328" t="s">
        <v>394</v>
      </c>
    </row>
    <row r="51" spans="1:2" ht="26.25" customHeight="1"/>
    <row r="70" spans="1:3">
      <c r="A70" s="60"/>
      <c r="B70" s="58"/>
    </row>
    <row r="71" spans="1:3">
      <c r="A71" s="61"/>
      <c r="B71" s="58"/>
      <c r="C71" s="62"/>
    </row>
    <row r="72" spans="1:3">
      <c r="A72" s="63"/>
      <c r="B72" s="58"/>
      <c r="C72" s="64"/>
    </row>
    <row r="73" spans="1:3">
      <c r="A73" s="65"/>
      <c r="B73" s="58"/>
      <c r="C73" s="66"/>
    </row>
    <row r="74" spans="1:3">
      <c r="A74" s="67"/>
      <c r="B74" s="58"/>
      <c r="C74" s="68"/>
    </row>
    <row r="75" spans="1:3">
      <c r="A75" s="65"/>
      <c r="B75" s="58"/>
      <c r="C75" s="66"/>
    </row>
    <row r="76" spans="1:3">
      <c r="A76" s="67"/>
      <c r="B76" s="58"/>
      <c r="C76" s="69"/>
    </row>
    <row r="77" spans="1:3">
      <c r="A77" s="65"/>
      <c r="B77" s="58"/>
      <c r="C77" s="66"/>
    </row>
    <row r="78" spans="1:3">
      <c r="A78" s="70"/>
      <c r="B78" s="58"/>
      <c r="C78" s="71"/>
    </row>
    <row r="80" spans="1:3">
      <c r="A80" s="60"/>
      <c r="B80" s="58"/>
      <c r="C80" s="72"/>
    </row>
    <row r="81" spans="1:3">
      <c r="A81" s="73"/>
      <c r="B81" s="58"/>
      <c r="C81" s="74"/>
    </row>
    <row r="82" spans="1:3">
      <c r="A82" s="75"/>
      <c r="B82" s="58"/>
      <c r="C82" s="72"/>
    </row>
    <row r="83" spans="1:3">
      <c r="A83" s="76"/>
      <c r="B83" s="58"/>
      <c r="C83" s="77"/>
    </row>
    <row r="84" spans="1:3">
      <c r="A84" s="78"/>
      <c r="B84" s="58"/>
      <c r="C84" s="79"/>
    </row>
    <row r="85" spans="1:3">
      <c r="A85" s="80"/>
      <c r="B85" s="58"/>
      <c r="C85" s="81"/>
    </row>
    <row r="86" spans="1:3">
      <c r="A86" s="82"/>
      <c r="B86" s="58"/>
      <c r="C86" s="83"/>
    </row>
    <row r="87" spans="1:3">
      <c r="A87" s="82"/>
      <c r="B87" s="58"/>
      <c r="C87" s="83"/>
    </row>
    <row r="88" spans="1:3">
      <c r="A88" s="82"/>
      <c r="B88" s="58"/>
      <c r="C88" s="83"/>
    </row>
    <row r="89" spans="1:3">
      <c r="A89" s="84"/>
      <c r="B89" s="58"/>
      <c r="C89" s="85"/>
    </row>
  </sheetData>
  <sheetProtection algorithmName="SHA-512" hashValue="YOGP/JlbnGAurM0BS31glvQKx23SdNRJUsWwdhpefvn/Yj8wJYeRsInOpg8IKW33qaFyyuRVjuFbnKelFOXgbg==" saltValue="trxD8nwjeb53PBL1D2wJfA==" spinCount="100000" sheet="1" objects="1" scenarios="1"/>
  <phoneticPr fontId="0" type="noConversion"/>
  <dataValidations disablePrompts="1" count="2">
    <dataValidation type="decimal" allowBlank="1" showInputMessage="1" showErrorMessage="1" promptTitle="Known Part weight per M Pieces" prompt="If the part weight is already known, please enter the value here.  If part weight is not known, please calculate part weight below." sqref="E1:E2">
      <formula1>0</formula1>
      <formula2>2500</formula2>
    </dataValidation>
    <dataValidation type="decimal" allowBlank="1" showInputMessage="1" showErrorMessage="1" promptTitle="Calculated Part Weight" prompt="This field will automatically calculate the part weight based on the inputs in the part weight calculator section." sqref="G1:G2">
      <formula1>0</formula1>
      <formula2>2500</formula2>
    </dataValidation>
  </dataValidations>
  <pageMargins left="0.25" right="0.25" top="0.25" bottom="0.25" header="0.25" footer="0.25"/>
  <pageSetup orientation="landscape" horizontalDpi="4294967292"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7409" r:id="rId4" name="Button 1">
              <controlPr defaultSize="0" print="0" autoFill="0" autoPict="0" macro="[0]!AddChangePressRate">
                <anchor>
                  <from>
                    <xdr:col>2</xdr:col>
                    <xdr:colOff>400050</xdr:colOff>
                    <xdr:row>0</xdr:row>
                    <xdr:rowOff>0</xdr:rowOff>
                  </from>
                  <to>
                    <xdr:col>3</xdr:col>
                    <xdr:colOff>9525</xdr:colOff>
                    <xdr:row>1</xdr:row>
                    <xdr:rowOff>66675</xdr:rowOff>
                  </to>
                </anchor>
              </controlPr>
            </control>
          </mc:Choice>
        </mc:AlternateContent>
        <mc:AlternateContent xmlns:mc="http://schemas.openxmlformats.org/markup-compatibility/2006">
          <mc:Choice Requires="x14">
            <control shapeId="17410" r:id="rId5" name="Button 2">
              <controlPr defaultSize="0" print="0" autoFill="0" autoPict="0" macro="[0]!toquoteentry">
                <anchor>
                  <from>
                    <xdr:col>3</xdr:col>
                    <xdr:colOff>9525</xdr:colOff>
                    <xdr:row>0</xdr:row>
                    <xdr:rowOff>0</xdr:rowOff>
                  </from>
                  <to>
                    <xdr:col>3</xdr:col>
                    <xdr:colOff>466725</xdr:colOff>
                    <xdr:row>1</xdr:row>
                    <xdr:rowOff>66675</xdr:rowOff>
                  </to>
                </anchor>
              </controlPr>
            </control>
          </mc:Choice>
        </mc:AlternateContent>
      </controls>
    </mc:Choice>
  </mc:AlternateConten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0"/>
  <sheetViews>
    <sheetView showGridLines="0" showZeros="0" topLeftCell="C1" workbookViewId="0">
      <selection activeCell="F4" sqref="F4"/>
    </sheetView>
  </sheetViews>
  <sheetFormatPr defaultColWidth="12.7109375" defaultRowHeight="12.75"/>
  <cols>
    <col min="1" max="1" width="21.7109375" style="4" bestFit="1" customWidth="1"/>
    <col min="2" max="2" width="12.7109375" style="1" customWidth="1"/>
    <col min="3" max="3" width="16" style="8" bestFit="1" customWidth="1"/>
    <col min="4" max="4" width="12.7109375" style="8" customWidth="1"/>
    <col min="5" max="5" width="13.5703125" style="1" bestFit="1" customWidth="1"/>
    <col min="6" max="16384" width="12.7109375" style="1"/>
  </cols>
  <sheetData>
    <row r="1" spans="1:6" s="12" customFormat="1">
      <c r="A1" s="10" t="s">
        <v>1560</v>
      </c>
      <c r="B1" s="11">
        <f>'Quote Entry'!M3</f>
        <v>1</v>
      </c>
      <c r="C1" s="13" t="s">
        <v>6232</v>
      </c>
      <c r="D1" s="13" t="s">
        <v>6233</v>
      </c>
    </row>
    <row r="2" spans="1:6">
      <c r="A2" s="4" t="s">
        <v>1562</v>
      </c>
      <c r="B2" s="3">
        <f>'Quote Entry'!M4</f>
        <v>17.45</v>
      </c>
      <c r="C2" s="8">
        <v>2101</v>
      </c>
      <c r="D2" s="9">
        <v>60</v>
      </c>
    </row>
    <row r="3" spans="1:6">
      <c r="A3" s="4" t="s">
        <v>1563</v>
      </c>
      <c r="B3" s="7">
        <f>'Quote Entry'!M2</f>
        <v>8</v>
      </c>
      <c r="C3" s="8">
        <v>2102</v>
      </c>
      <c r="D3" s="9">
        <v>60</v>
      </c>
    </row>
    <row r="4" spans="1:6">
      <c r="A4" s="4" t="s">
        <v>1561</v>
      </c>
      <c r="B4" s="3">
        <f>(B1*B3)+B2</f>
        <v>25.45</v>
      </c>
      <c r="C4" s="8">
        <v>2103</v>
      </c>
      <c r="D4" s="9">
        <v>60</v>
      </c>
    </row>
    <row r="5" spans="1:6">
      <c r="A5" s="4" t="s">
        <v>1564</v>
      </c>
      <c r="B5" s="6">
        <f>'Quote Entry'!M5</f>
        <v>0.25</v>
      </c>
    </row>
    <row r="6" spans="1:6">
      <c r="A6" s="4" t="s">
        <v>166</v>
      </c>
      <c r="B6" s="2">
        <f>B4*(B5/100)</f>
        <v>6.3625000000000001E-2</v>
      </c>
      <c r="F6" s="9"/>
    </row>
    <row r="7" spans="1:6">
      <c r="A7" s="4" t="s">
        <v>167</v>
      </c>
      <c r="B7" s="5">
        <f>B2-B6</f>
        <v>17.386375000000001</v>
      </c>
    </row>
    <row r="8" spans="1:6">
      <c r="A8" s="4" t="s">
        <v>5369</v>
      </c>
      <c r="B8" s="1">
        <f>B7/B3</f>
        <v>2.1732968750000001</v>
      </c>
    </row>
    <row r="9" spans="1:6">
      <c r="A9" s="4" t="s">
        <v>4639</v>
      </c>
      <c r="B9" s="2">
        <f>(B8/B1)+1</f>
        <v>3.1732968750000001</v>
      </c>
    </row>
    <row r="10" spans="1:6">
      <c r="A10" s="4" t="s">
        <v>6046</v>
      </c>
      <c r="B10" s="1">
        <f>B9*B1</f>
        <v>3.1732968750000001</v>
      </c>
    </row>
  </sheetData>
  <sheetProtection algorithmName="SHA-512" hashValue="2KSphUPrTAysfI81rfQUp3VuMOGbcLP/lcV9+fyoCTAsqcezpDy8dU6goBFrtO7cAd5lILIBvPC2CntB4AsWVQ==" saltValue="pi5nxQKZsTgcA0p8uxxmjA==" spinCount="100000" sheet="1" objects="1" scenarios="1"/>
  <phoneticPr fontId="0" type="noConversion"/>
  <pageMargins left="0.25" right="0.25" top="0.5" bottom="0.5" header="0.5" footer="0.5"/>
  <pageSetup orientation="landscape" horizontalDpi="4294967292"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M17"/>
  <sheetViews>
    <sheetView topLeftCell="IV65536" workbookViewId="0"/>
  </sheetViews>
  <sheetFormatPr defaultColWidth="0" defaultRowHeight="12.75" zeroHeight="1"/>
  <sheetData>
    <row r="1" spans="1:39" hidden="1">
      <c r="A1" t="s">
        <v>2277</v>
      </c>
    </row>
    <row r="2" spans="1:39" hidden="1">
      <c r="A2" t="s">
        <v>2278</v>
      </c>
    </row>
    <row r="3" spans="1:39" hidden="1">
      <c r="A3" t="s">
        <v>6014</v>
      </c>
      <c r="B3" t="s">
        <v>2359</v>
      </c>
    </row>
    <row r="4" spans="1:39" hidden="1">
      <c r="A4" t="s">
        <v>6015</v>
      </c>
    </row>
    <row r="5" spans="1:39" hidden="1">
      <c r="A5" t="s">
        <v>6016</v>
      </c>
      <c r="B5">
        <v>2</v>
      </c>
    </row>
    <row r="6" spans="1:39" hidden="1">
      <c r="A6">
        <v>1</v>
      </c>
      <c r="B6" t="s">
        <v>124</v>
      </c>
      <c r="C6" t="s">
        <v>1566</v>
      </c>
      <c r="D6" t="s">
        <v>125</v>
      </c>
      <c r="E6">
        <v>38</v>
      </c>
      <c r="G6">
        <v>965067519</v>
      </c>
    </row>
    <row r="7" spans="1:39" hidden="1">
      <c r="A7" t="s">
        <v>126</v>
      </c>
      <c r="B7" t="s">
        <v>630</v>
      </c>
      <c r="C7" t="s">
        <v>6232</v>
      </c>
      <c r="D7" t="s">
        <v>4546</v>
      </c>
      <c r="E7" t="s">
        <v>4547</v>
      </c>
      <c r="F7" t="s">
        <v>4548</v>
      </c>
      <c r="G7" t="s">
        <v>4549</v>
      </c>
      <c r="H7" t="s">
        <v>4550</v>
      </c>
      <c r="I7" t="s">
        <v>4551</v>
      </c>
      <c r="J7" t="s">
        <v>4552</v>
      </c>
      <c r="K7" t="s">
        <v>4553</v>
      </c>
      <c r="L7" t="s">
        <v>4855</v>
      </c>
      <c r="M7" t="s">
        <v>4856</v>
      </c>
      <c r="N7" t="s">
        <v>4857</v>
      </c>
      <c r="O7" t="s">
        <v>2360</v>
      </c>
      <c r="P7" t="s">
        <v>2361</v>
      </c>
      <c r="Q7" t="s">
        <v>6261</v>
      </c>
      <c r="R7" t="s">
        <v>6262</v>
      </c>
      <c r="S7" t="s">
        <v>1859</v>
      </c>
      <c r="T7" t="s">
        <v>6263</v>
      </c>
      <c r="U7" t="s">
        <v>6264</v>
      </c>
      <c r="V7" t="s">
        <v>1860</v>
      </c>
      <c r="W7" t="s">
        <v>3424</v>
      </c>
      <c r="X7" t="s">
        <v>3425</v>
      </c>
      <c r="Y7" t="s">
        <v>3426</v>
      </c>
      <c r="Z7" t="s">
        <v>3427</v>
      </c>
      <c r="AA7" t="s">
        <v>617</v>
      </c>
      <c r="AB7" t="s">
        <v>1000</v>
      </c>
      <c r="AC7" t="s">
        <v>3319</v>
      </c>
      <c r="AD7" t="s">
        <v>3428</v>
      </c>
      <c r="AE7" t="s">
        <v>1729</v>
      </c>
      <c r="AF7" t="s">
        <v>1510</v>
      </c>
      <c r="AG7" t="s">
        <v>3328</v>
      </c>
      <c r="AH7" t="s">
        <v>3329</v>
      </c>
      <c r="AI7" t="s">
        <v>3330</v>
      </c>
      <c r="AJ7" t="s">
        <v>4858</v>
      </c>
      <c r="AK7" t="s">
        <v>4859</v>
      </c>
      <c r="AL7" t="s">
        <v>1730</v>
      </c>
      <c r="AM7" t="s">
        <v>3331</v>
      </c>
    </row>
    <row r="8" spans="1:39" hidden="1">
      <c r="A8" t="s">
        <v>127</v>
      </c>
      <c r="B8" t="str">
        <f>'Quote Entry'!$B$4</f>
        <v>23276D</v>
      </c>
      <c r="C8">
        <f>'Quote Entry'!$B$2</f>
        <v>2101</v>
      </c>
      <c r="D8">
        <f>'Quote Entry'!$B$3</f>
        <v>38</v>
      </c>
      <c r="E8" t="str">
        <f>'Quote Entry'!$B$5</f>
        <v>Hitachi Automotive Products</v>
      </c>
      <c r="F8" t="str">
        <f>'Quote Entry'!$D$2</f>
        <v>HL328823</v>
      </c>
      <c r="G8">
        <f>'Quote Entry'!$D$3</f>
        <v>0</v>
      </c>
      <c r="H8" t="str">
        <f>'Quote Entry'!$D$4</f>
        <v>Adjust Screw</v>
      </c>
      <c r="I8" s="309">
        <f>'Quote Entry'!$D$6</f>
        <v>38608</v>
      </c>
      <c r="J8" s="309">
        <f>'Quote Entry'!$D$7</f>
        <v>38611</v>
      </c>
      <c r="K8" t="str">
        <f>'Quote Entry'!$G$2</f>
        <v>Ben Tomblinson</v>
      </c>
      <c r="L8" t="str">
        <f>'Quote Entry'!$G$4</f>
        <v>Rick Caron</v>
      </c>
      <c r="M8" t="str">
        <f>'Quote Entry'!$G$6</f>
        <v>Charley Carlson</v>
      </c>
      <c r="N8" t="str">
        <f>'Quote Entry'!$D$8</f>
        <v>Sales</v>
      </c>
      <c r="O8">
        <f>'Quote Entry'!$I$2</f>
        <v>480000</v>
      </c>
      <c r="P8">
        <f>'Quote Entry'!$I$3</f>
        <v>0</v>
      </c>
      <c r="Q8">
        <f>'Quote Entry'!$I$4</f>
        <v>0</v>
      </c>
      <c r="R8">
        <f>'Quote Entry'!$I$5</f>
        <v>0</v>
      </c>
      <c r="S8">
        <f>'Quote Entry'!$I$6</f>
        <v>0</v>
      </c>
      <c r="T8" s="310">
        <f>'Quote Entry'!$M$2</f>
        <v>8</v>
      </c>
      <c r="U8" s="310">
        <f>'Quote Entry'!$N$2</f>
        <v>0</v>
      </c>
      <c r="V8" t="str">
        <f>'Quote Entry'!$B$12</f>
        <v>Fortron 1130L4 Black</v>
      </c>
      <c r="W8">
        <f>'Quote Entry'!$B$14</f>
        <v>0</v>
      </c>
      <c r="X8">
        <f>'Quote Entry'!$B$16</f>
        <v>0</v>
      </c>
      <c r="Y8">
        <f>'Quote Entry'!$B$18</f>
        <v>0</v>
      </c>
      <c r="Z8">
        <f>'Quote Entry'!$B$20</f>
        <v>0</v>
      </c>
      <c r="AA8" t="str">
        <f>'Quote Entry'!$B$45</f>
        <v>2101-199</v>
      </c>
      <c r="AB8">
        <f>'Quote Entry'!$B$49</f>
        <v>0</v>
      </c>
      <c r="AC8">
        <f>'Quote Entry'!$B$53</f>
        <v>0</v>
      </c>
      <c r="AD8">
        <f>'Quote Entry'!$B$73</f>
        <v>0</v>
      </c>
      <c r="AE8">
        <f>'Quote Entry'!$B$77</f>
        <v>0</v>
      </c>
      <c r="AF8">
        <f>'Quote Entry'!$B$89</f>
        <v>0</v>
      </c>
      <c r="AG8">
        <f>'Quote Entry'!$L$92</f>
        <v>0</v>
      </c>
      <c r="AH8">
        <f>'Quote Entry'!$M$92</f>
        <v>0</v>
      </c>
      <c r="AI8" t="str">
        <f>'Quote Entry'!$N$115</f>
        <v>MuCell Off</v>
      </c>
      <c r="AJ8" t="str">
        <f>'Quote Entry'!$N$116</f>
        <v>HotRunner Off</v>
      </c>
      <c r="AK8" t="str">
        <f>'Quote Entry'!$N$117</f>
        <v>Auto Off</v>
      </c>
      <c r="AL8" t="str">
        <f>'Quote Entry'!$N$118</f>
        <v>Combo Off</v>
      </c>
      <c r="AM8" t="str">
        <f>'Quote Entry'!$N$119</f>
        <v>GFL Off</v>
      </c>
    </row>
    <row r="9" spans="1:39" hidden="1">
      <c r="A9" t="s">
        <v>6015</v>
      </c>
    </row>
    <row r="10" spans="1:39" hidden="1">
      <c r="A10">
        <v>2</v>
      </c>
      <c r="B10" t="s">
        <v>124</v>
      </c>
      <c r="C10" t="s">
        <v>1731</v>
      </c>
      <c r="D10" t="s">
        <v>125</v>
      </c>
      <c r="E10">
        <v>7</v>
      </c>
      <c r="G10">
        <v>-1284081152</v>
      </c>
    </row>
    <row r="11" spans="1:39" hidden="1">
      <c r="A11" t="s">
        <v>126</v>
      </c>
      <c r="B11" t="s">
        <v>630</v>
      </c>
      <c r="C11" t="s">
        <v>4548</v>
      </c>
      <c r="D11" t="s">
        <v>1733</v>
      </c>
      <c r="E11" t="s">
        <v>1256</v>
      </c>
      <c r="F11" t="s">
        <v>360</v>
      </c>
      <c r="G11" t="s">
        <v>3461</v>
      </c>
      <c r="H11" t="s">
        <v>3462</v>
      </c>
    </row>
    <row r="12" spans="1:39" hidden="1">
      <c r="A12" t="s">
        <v>127</v>
      </c>
      <c r="B12" t="s">
        <v>1732</v>
      </c>
      <c r="C12" t="s">
        <v>1732</v>
      </c>
      <c r="D12" t="s">
        <v>1732</v>
      </c>
      <c r="E12" t="s">
        <v>1732</v>
      </c>
      <c r="F12" t="s">
        <v>1732</v>
      </c>
      <c r="G12" t="s">
        <v>1732</v>
      </c>
      <c r="H12" t="s">
        <v>1732</v>
      </c>
    </row>
    <row r="13" spans="1:39" hidden="1">
      <c r="A13" t="s">
        <v>6015</v>
      </c>
    </row>
    <row r="14" spans="1:39" hidden="1">
      <c r="G14">
        <v>-83471104</v>
      </c>
    </row>
    <row r="15" spans="1:39" hidden="1"/>
    <row r="16" spans="1:39" hidden="1"/>
    <row r="17" hidden="1"/>
  </sheetData>
  <phoneticPr fontId="2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P1274"/>
  <sheetViews>
    <sheetView showGridLines="0" showZeros="0" tabSelected="1" zoomScale="75" workbookViewId="0">
      <selection activeCell="B2" sqref="B2"/>
    </sheetView>
  </sheetViews>
  <sheetFormatPr defaultColWidth="11.28515625" defaultRowHeight="12.75"/>
  <cols>
    <col min="1" max="1" width="20.140625" style="19" customWidth="1"/>
    <col min="2" max="2" width="18.7109375" style="16" customWidth="1"/>
    <col min="3" max="16" width="13.7109375" style="16" customWidth="1"/>
    <col min="17" max="20" width="11.7109375" style="16" customWidth="1"/>
    <col min="21" max="16384" width="11.28515625" style="16"/>
  </cols>
  <sheetData>
    <row r="1" spans="1:16" s="15" customFormat="1" ht="20.25" customHeight="1" thickBot="1">
      <c r="A1" s="417" t="s">
        <v>2210</v>
      </c>
      <c r="E1" s="22"/>
      <c r="F1" s="586" t="str">
        <f>CONCATENATE("Revision: ",Revision,"")</f>
        <v>Revision: 107</v>
      </c>
      <c r="G1" s="585">
        <f>RevisionDate</f>
        <v>37929</v>
      </c>
      <c r="I1" s="17" t="s">
        <v>2028</v>
      </c>
      <c r="K1" s="17" t="s">
        <v>5206</v>
      </c>
      <c r="L1" s="17" t="s">
        <v>656</v>
      </c>
      <c r="M1" s="17" t="s">
        <v>6237</v>
      </c>
      <c r="N1" s="17" t="s">
        <v>6238</v>
      </c>
    </row>
    <row r="2" spans="1:16" ht="13.9" customHeight="1" thickBot="1">
      <c r="A2" s="22" t="s">
        <v>2013</v>
      </c>
      <c r="B2" s="458">
        <v>2101</v>
      </c>
      <c r="C2" s="22" t="s">
        <v>1876</v>
      </c>
      <c r="D2" s="1198" t="s">
        <v>5734</v>
      </c>
      <c r="E2" s="22" t="s">
        <v>4471</v>
      </c>
      <c r="F2" s="1201">
        <v>210366</v>
      </c>
      <c r="G2" s="37" t="s">
        <v>4922</v>
      </c>
      <c r="H2" s="19" t="s">
        <v>17</v>
      </c>
      <c r="I2" s="1203">
        <v>480000</v>
      </c>
      <c r="J2" s="19" t="s">
        <v>5207</v>
      </c>
      <c r="K2" s="453">
        <f>IF(CavityScr2 &gt;0, Quantity1,0)</f>
        <v>0</v>
      </c>
      <c r="L2" s="22" t="s">
        <v>1877</v>
      </c>
      <c r="M2" s="1205">
        <v>8</v>
      </c>
      <c r="N2" s="1205"/>
      <c r="O2" s="477" t="s">
        <v>2951</v>
      </c>
      <c r="P2" s="477" t="s">
        <v>835</v>
      </c>
    </row>
    <row r="3" spans="1:16" ht="13.9" customHeight="1" thickBot="1">
      <c r="A3" s="22" t="s">
        <v>4983</v>
      </c>
      <c r="B3" s="1197">
        <v>38</v>
      </c>
      <c r="C3" s="22" t="s">
        <v>6047</v>
      </c>
      <c r="D3" s="1198"/>
      <c r="E3" s="22" t="s">
        <v>4473</v>
      </c>
      <c r="F3" s="1202">
        <v>0.05</v>
      </c>
      <c r="G3" s="37"/>
      <c r="H3" s="19" t="s">
        <v>18</v>
      </c>
      <c r="I3" s="1203"/>
      <c r="J3" s="19" t="s">
        <v>5208</v>
      </c>
      <c r="K3" s="453">
        <f>IF(CavityScr2 &gt;0, Quantity2,0)</f>
        <v>0</v>
      </c>
      <c r="L3" s="22" t="s">
        <v>6234</v>
      </c>
      <c r="M3" s="1206">
        <f>IF(CavityScr1 &gt;0, PartWeight,"")</f>
        <v>1</v>
      </c>
      <c r="N3" s="1206" t="str">
        <f>IF(CavityScr2 &gt;0, PartWeight,"")</f>
        <v/>
      </c>
      <c r="O3" s="477" t="s">
        <v>4343</v>
      </c>
      <c r="P3" s="477" t="s">
        <v>294</v>
      </c>
    </row>
    <row r="4" spans="1:16" ht="13.9" customHeight="1" thickBot="1">
      <c r="A4" s="22" t="s">
        <v>3866</v>
      </c>
      <c r="B4" s="459" t="s">
        <v>684</v>
      </c>
      <c r="C4" s="22" t="s">
        <v>2014</v>
      </c>
      <c r="D4" s="1198" t="s">
        <v>5731</v>
      </c>
      <c r="E4" s="19" t="s">
        <v>3501</v>
      </c>
      <c r="F4" s="1201">
        <v>15512</v>
      </c>
      <c r="G4" s="37" t="s">
        <v>5879</v>
      </c>
      <c r="H4" s="19" t="s">
        <v>19</v>
      </c>
      <c r="I4" s="1203"/>
      <c r="J4" s="19" t="s">
        <v>5209</v>
      </c>
      <c r="K4" s="453">
        <f>IF(CavityScr2 &gt;0, Quantity3,0)</f>
        <v>0</v>
      </c>
      <c r="L4" s="22" t="s">
        <v>6235</v>
      </c>
      <c r="M4" s="1206">
        <v>17.45</v>
      </c>
      <c r="N4" s="1206" t="str">
        <f>IF(CavityScr2 &gt;0,RunnerWeight2,"")</f>
        <v/>
      </c>
      <c r="O4" s="477" t="s">
        <v>4344</v>
      </c>
      <c r="P4" s="477" t="s">
        <v>3821</v>
      </c>
    </row>
    <row r="5" spans="1:16" ht="13.9" customHeight="1" thickBot="1">
      <c r="A5" s="19" t="s">
        <v>616</v>
      </c>
      <c r="B5" s="475" t="s">
        <v>1172</v>
      </c>
      <c r="C5" s="22" t="s">
        <v>2699</v>
      </c>
      <c r="D5" s="1198" t="s">
        <v>614</v>
      </c>
      <c r="E5" s="19" t="s">
        <v>1114</v>
      </c>
      <c r="F5" s="1201">
        <v>15512</v>
      </c>
      <c r="G5" s="37" t="s">
        <v>5879</v>
      </c>
      <c r="H5" s="19" t="s">
        <v>3289</v>
      </c>
      <c r="I5" s="1203"/>
      <c r="J5" s="19" t="s">
        <v>5210</v>
      </c>
      <c r="K5" s="453">
        <f>IF(CavityScr2 &gt;0, Quantity4,0)</f>
        <v>0</v>
      </c>
      <c r="L5" s="22" t="s">
        <v>2027</v>
      </c>
      <c r="M5" s="1207">
        <f>IF(CavityScr1 &gt;0,Regrind,"")</f>
        <v>0.25</v>
      </c>
      <c r="N5" s="1207" t="str">
        <f>IF(CavityScr2 &gt;0,Regrind,"")</f>
        <v/>
      </c>
      <c r="O5" s="477" t="s">
        <v>5402</v>
      </c>
      <c r="P5" s="477" t="s">
        <v>979</v>
      </c>
    </row>
    <row r="6" spans="1:16" ht="14.25" customHeight="1" thickBot="1">
      <c r="A6" s="19" t="s">
        <v>5562</v>
      </c>
      <c r="B6" s="1198" t="s">
        <v>3291</v>
      </c>
      <c r="C6" s="19" t="s">
        <v>2700</v>
      </c>
      <c r="D6" s="1199">
        <v>38608</v>
      </c>
      <c r="E6" s="19" t="s">
        <v>5069</v>
      </c>
      <c r="F6" s="1201" t="s">
        <v>2832</v>
      </c>
      <c r="G6" s="37" t="s">
        <v>2833</v>
      </c>
      <c r="H6" s="19" t="s">
        <v>3290</v>
      </c>
      <c r="I6" s="1203"/>
      <c r="J6" s="19" t="s">
        <v>4046</v>
      </c>
      <c r="K6" s="453">
        <f>IF(CavityScr2 &gt;0, Quantity5,0)</f>
        <v>0</v>
      </c>
      <c r="L6" s="22" t="s">
        <v>6236</v>
      </c>
      <c r="M6" s="1208">
        <f>IF(CavityScr1&gt;0,FSBOMQTY1,0)</f>
        <v>2.3859374999999998</v>
      </c>
      <c r="N6" s="1208">
        <f>IF(CavityScr2&gt;0,FSBOMQTY2,0)</f>
        <v>0</v>
      </c>
      <c r="O6" s="478" t="s">
        <v>3133</v>
      </c>
      <c r="P6" s="477" t="s">
        <v>2948</v>
      </c>
    </row>
    <row r="7" spans="1:16" ht="13.9" customHeight="1" thickBot="1">
      <c r="A7" s="19" t="s">
        <v>2282</v>
      </c>
      <c r="B7" s="460" t="s">
        <v>6000</v>
      </c>
      <c r="C7" s="19" t="s">
        <v>2701</v>
      </c>
      <c r="D7" s="1199">
        <v>38611</v>
      </c>
      <c r="E7" s="19" t="s">
        <v>5838</v>
      </c>
      <c r="F7" s="1199" t="s">
        <v>5931</v>
      </c>
      <c r="H7" s="19" t="s">
        <v>6266</v>
      </c>
      <c r="I7" s="1204" t="s">
        <v>4667</v>
      </c>
      <c r="L7" s="19" t="s">
        <v>1787</v>
      </c>
      <c r="M7" s="447">
        <f>IF(CavityScr1&gt;0, FSShotSizeA1,0)</f>
        <v>0.40720000000000001</v>
      </c>
      <c r="N7" s="447">
        <f>IF(CavityScr2&gt;0,FSShotSizeA2,0)</f>
        <v>0</v>
      </c>
      <c r="O7" s="478" t="s">
        <v>2946</v>
      </c>
      <c r="P7" s="477" t="s">
        <v>2947</v>
      </c>
    </row>
    <row r="8" spans="1:16" ht="13.9" customHeight="1" thickBot="1">
      <c r="A8" s="19" t="s">
        <v>3493</v>
      </c>
      <c r="B8" s="452" t="s">
        <v>6001</v>
      </c>
      <c r="C8" s="19" t="s">
        <v>545</v>
      </c>
      <c r="D8" s="1200" t="s">
        <v>4995</v>
      </c>
      <c r="E8" s="19" t="s">
        <v>5839</v>
      </c>
      <c r="F8" s="1199" t="s">
        <v>4753</v>
      </c>
      <c r="H8" s="19"/>
      <c r="I8" s="444"/>
      <c r="L8" s="19"/>
      <c r="O8" s="477" t="s">
        <v>6190</v>
      </c>
      <c r="P8" s="477" t="s">
        <v>2003</v>
      </c>
    </row>
    <row r="9" spans="1:16" ht="13.9" customHeight="1" thickBot="1">
      <c r="B9" s="37"/>
      <c r="C9" s="19" t="s">
        <v>5837</v>
      </c>
      <c r="D9" s="1199" t="s">
        <v>5841</v>
      </c>
      <c r="E9" s="19" t="s">
        <v>5486</v>
      </c>
      <c r="F9" s="1199" t="s">
        <v>548</v>
      </c>
      <c r="H9" s="19"/>
      <c r="I9" s="444"/>
      <c r="L9" s="19"/>
      <c r="O9" s="477" t="s">
        <v>2949</v>
      </c>
      <c r="P9" s="477" t="s">
        <v>2950</v>
      </c>
    </row>
    <row r="10" spans="1:16" ht="13.9" customHeight="1">
      <c r="I10" s="19"/>
      <c r="J10" s="19"/>
      <c r="L10" s="19"/>
      <c r="O10" s="477" t="s">
        <v>5327</v>
      </c>
      <c r="P10" s="477" t="s">
        <v>1591</v>
      </c>
    </row>
    <row r="11" spans="1:16" ht="16.5" thickBot="1">
      <c r="A11" s="418" t="s">
        <v>1648</v>
      </c>
      <c r="B11" s="17" t="s">
        <v>1645</v>
      </c>
      <c r="C11" s="17" t="s">
        <v>3502</v>
      </c>
      <c r="D11" s="17" t="s">
        <v>1115</v>
      </c>
      <c r="E11" s="17" t="s">
        <v>4474</v>
      </c>
      <c r="F11" s="17" t="s">
        <v>6049</v>
      </c>
      <c r="G11" s="17" t="s">
        <v>1686</v>
      </c>
      <c r="H11" s="17" t="s">
        <v>2066</v>
      </c>
      <c r="I11" s="17" t="s">
        <v>2067</v>
      </c>
      <c r="J11" s="17" t="s">
        <v>2068</v>
      </c>
      <c r="K11" s="17" t="s">
        <v>5309</v>
      </c>
      <c r="L11" s="30"/>
    </row>
    <row r="12" spans="1:16" ht="13.9" customHeight="1" thickBot="1">
      <c r="A12" s="19" t="s">
        <v>953</v>
      </c>
      <c r="B12" s="1200" t="s">
        <v>5732</v>
      </c>
      <c r="C12" s="1197">
        <v>1</v>
      </c>
      <c r="D12" s="1209" t="s">
        <v>2619</v>
      </c>
      <c r="E12" s="479">
        <f>BOMReq1</f>
        <v>2.3859374999999998</v>
      </c>
      <c r="F12" s="1210">
        <v>1.43</v>
      </c>
      <c r="G12" s="1211">
        <v>4950</v>
      </c>
      <c r="H12" s="1211">
        <f>IF(Quantity2&gt;0,MatOne,0)</f>
        <v>0</v>
      </c>
      <c r="I12" s="1211">
        <f>IF(Quantity3&gt;0,MatOne,0)</f>
        <v>0</v>
      </c>
      <c r="J12" s="1211">
        <f>IF(Quantity4&gt;0,MatOne,0)</f>
        <v>0</v>
      </c>
      <c r="K12" s="1211">
        <f>IF(Quantity5&gt;0,MatOne,0)</f>
        <v>0</v>
      </c>
    </row>
    <row r="13" spans="1:16" ht="13.9" customHeight="1" thickBot="1">
      <c r="B13" s="443"/>
      <c r="C13" s="352"/>
      <c r="D13" s="445"/>
      <c r="E13" s="107"/>
      <c r="F13" s="461" t="s">
        <v>3212</v>
      </c>
      <c r="G13" s="462">
        <f>IF(QEMatlScrOne=1, FSMatOneJ3 + FSMatOneJ33, FSMatOneJ18 +FSMatOneJ48)</f>
        <v>12.051419005102041</v>
      </c>
      <c r="H13" s="462">
        <f>IF(QEMatlScrOne=1, FSMatOneK3 + FSMatOneK33, FSMatOneK18 +FSMatOneK48)</f>
        <v>0</v>
      </c>
      <c r="I13" s="462">
        <f>IF(QEMatlScrOne=1, FSMatOneL3 + FSMatOneL33, FSMatOneL18 +FSMatOneL48)</f>
        <v>0</v>
      </c>
      <c r="J13" s="462">
        <f>IF(QEMatlScrOne=1, FSMatOneM3 + FSMatOneM33, FSMatOneM18 +FSMatOneM48)</f>
        <v>0</v>
      </c>
      <c r="K13" s="462">
        <f>IF(QEMatlScrOne=1, FSMatOneN3 + FSMatOneN33, FSMatOneN18 +FSMatOneN48)</f>
        <v>0</v>
      </c>
    </row>
    <row r="14" spans="1:16" ht="13.9" hidden="1" customHeight="1" thickBot="1">
      <c r="A14" s="19" t="s">
        <v>954</v>
      </c>
      <c r="B14" s="1200"/>
      <c r="C14" s="1197">
        <v>2</v>
      </c>
      <c r="D14" s="1209" t="s">
        <v>2619</v>
      </c>
      <c r="E14" s="1212">
        <f xml:space="preserve"> BOMReq2</f>
        <v>0</v>
      </c>
      <c r="F14" s="1210">
        <v>1.43</v>
      </c>
      <c r="G14" s="1211"/>
      <c r="H14" s="1211">
        <f>IF(Quantity2&gt;0,MatTwo,0)</f>
        <v>0</v>
      </c>
      <c r="I14" s="1211">
        <f>IF(Quantity3&gt;0,MatTwo,0)</f>
        <v>0</v>
      </c>
      <c r="J14" s="1211">
        <f>IF(Quantity4&gt;0,MatTwo,0)</f>
        <v>0</v>
      </c>
      <c r="K14" s="1211">
        <f>IF(Quantity5&gt;0,MatTwo,0)</f>
        <v>0</v>
      </c>
    </row>
    <row r="15" spans="1:16" ht="13.9" hidden="1" customHeight="1" thickBot="1">
      <c r="B15" s="443"/>
      <c r="C15" s="352"/>
      <c r="D15" s="445"/>
      <c r="E15" s="107"/>
      <c r="F15" s="461" t="s">
        <v>3212</v>
      </c>
      <c r="G15" s="462">
        <f>IF(QEMatlScrTwo=1, FSMatTwoJ5 + FSMatTwoJ35, FSMatTwoJ20 +FSMatTwoJ50)</f>
        <v>0</v>
      </c>
      <c r="H15" s="462">
        <f>IF(QEMatlScrTwo=1, FSMatTwoK5 + FSMatTwoK35, FSMatTwoK20 +FSMatTwoK50)</f>
        <v>0</v>
      </c>
      <c r="I15" s="462">
        <f>IF(QEMatlScrTwo=1, FSMatTwoL5 + FSMatTwoL35, FSMatTwoL20 +FSMatTwoL50)</f>
        <v>0</v>
      </c>
      <c r="J15" s="462">
        <f>IF(QEMatlScrTwo=1, FSMatTwoM5 + FSMatTwoM35, FSMatTwoM20 +FSMatTwoM50)</f>
        <v>0</v>
      </c>
      <c r="K15" s="462">
        <f>IF(QEMatlScrTwo=1, FSMatTwoN5 + FSMatTwoN35, FSMatTwoN20 +FSMatTwoN50)</f>
        <v>0</v>
      </c>
      <c r="N15" s="442"/>
    </row>
    <row r="16" spans="1:16" ht="13.9" hidden="1" customHeight="1" thickBot="1">
      <c r="A16" s="19" t="s">
        <v>955</v>
      </c>
      <c r="B16" s="1200"/>
      <c r="C16" s="1197">
        <v>1</v>
      </c>
      <c r="D16" s="1209" t="s">
        <v>2619</v>
      </c>
      <c r="E16" s="1206"/>
      <c r="F16" s="1210">
        <v>1.43</v>
      </c>
      <c r="G16" s="1211"/>
      <c r="H16" s="1211">
        <f>IF(Quantity2&gt;0,MatThree,0)</f>
        <v>0</v>
      </c>
      <c r="I16" s="1211">
        <f>IF(Quantity3&gt;0,MatThree,0)</f>
        <v>0</v>
      </c>
      <c r="J16" s="1211">
        <f>IF(Quantity4&gt;0,MatThree,0)</f>
        <v>0</v>
      </c>
      <c r="K16" s="1211">
        <f>IF(Quantity5&gt;0,MatThree,0)</f>
        <v>0</v>
      </c>
    </row>
    <row r="17" spans="1:14" ht="13.9" hidden="1" customHeight="1" thickBot="1">
      <c r="B17" s="443"/>
      <c r="C17" s="352"/>
      <c r="D17" s="445"/>
      <c r="E17" s="107"/>
      <c r="F17" s="461" t="s">
        <v>3212</v>
      </c>
      <c r="G17" s="462">
        <f>IF(QEMatlScrThree=1, FSMatThreeJ7 + FSMatThreeJ37, FSMatThreeJ22 +FSMatThreeJ52)</f>
        <v>0</v>
      </c>
      <c r="H17" s="462">
        <f>IF(QEMatlScrThree=1, FSMatThreeK7 + FSMatThreeK37, FSMatThreeK22 +FSMatThreeK52)</f>
        <v>0</v>
      </c>
      <c r="I17" s="462">
        <f>IF(QEMatlScrThree=1, FSMatThreeL7 + FSMatThreeL37, FSMatThreeL22 +FSMatThreeL52)</f>
        <v>0</v>
      </c>
      <c r="J17" s="462">
        <f>IF(QEMatlScrThree=1, FSMatThreeM7 + FSMatThreeM37, FSMatThreeM22 +FSMatThreeM52)</f>
        <v>0</v>
      </c>
      <c r="K17" s="462">
        <f>IF(QEMatlScrThree=1, FSMatThreeN7 + FSMatThreeN37, FSMatThreeN22 +FSMatThreeN52)</f>
        <v>0</v>
      </c>
      <c r="N17" s="442"/>
    </row>
    <row r="18" spans="1:14" s="17" customFormat="1" ht="13.5" hidden="1" thickBot="1">
      <c r="A18" s="19" t="s">
        <v>956</v>
      </c>
      <c r="B18" s="1200"/>
      <c r="C18" s="1197">
        <v>1</v>
      </c>
      <c r="D18" s="1209" t="s">
        <v>2619</v>
      </c>
      <c r="E18" s="1206"/>
      <c r="F18" s="1210">
        <v>1.43</v>
      </c>
      <c r="G18" s="1211"/>
      <c r="H18" s="1211">
        <f>IF(Quantity2&gt;0,MatFour,0)</f>
        <v>0</v>
      </c>
      <c r="I18" s="1211">
        <f>IF(Quantity3&gt;0,MatFour,0)</f>
        <v>0</v>
      </c>
      <c r="J18" s="1211">
        <f>IF(Quantity4&gt;0,MatFour,0)</f>
        <v>0</v>
      </c>
      <c r="K18" s="1211">
        <f>IF(Quantity5&gt;0,MatFour,0)</f>
        <v>0</v>
      </c>
    </row>
    <row r="19" spans="1:14" s="17" customFormat="1" ht="13.5" hidden="1" thickBot="1">
      <c r="A19" s="19"/>
      <c r="B19" s="443"/>
      <c r="C19" s="352"/>
      <c r="D19" s="445"/>
      <c r="E19" s="107"/>
      <c r="F19" s="461" t="s">
        <v>3212</v>
      </c>
      <c r="G19" s="462">
        <f>IF(QEMatlScrFour=1, FSMatFourJ9 + FSMatFourJ39, FSMatFourJ24 +FSMatFourJ54)</f>
        <v>0</v>
      </c>
      <c r="H19" s="462">
        <f>IF(QEMatlScrFour=1, FSMatFourK9 + FSMatFourK39, FSMatFourK24 +FSMatFourK54)</f>
        <v>0</v>
      </c>
      <c r="I19" s="462">
        <f>IF(QEMatlScrFour=1, FSMatFourL9 + FSMatFourL39, FSMatFourL24 +FSMatFourL54)</f>
        <v>0</v>
      </c>
      <c r="J19" s="462">
        <f>IF(QEMatlScrFour=1, FSMatFourM9 + FSMatFourM39, FSMatFourM24 +FSMatFourM54)</f>
        <v>0</v>
      </c>
      <c r="K19" s="462">
        <f>IF(QEMatlScrFour=1, FSMatFourN9 + FSMatFourN39, FSMatFourN24 +FSMatFourN54)</f>
        <v>0</v>
      </c>
      <c r="N19" s="442"/>
    </row>
    <row r="20" spans="1:14" s="23" customFormat="1" ht="13.9" hidden="1" customHeight="1" thickBot="1">
      <c r="A20" s="19" t="s">
        <v>957</v>
      </c>
      <c r="B20" s="1200"/>
      <c r="C20" s="1197">
        <v>1</v>
      </c>
      <c r="D20" s="1209" t="s">
        <v>2619</v>
      </c>
      <c r="E20" s="1206"/>
      <c r="F20" s="1210">
        <v>1.43</v>
      </c>
      <c r="G20" s="1211"/>
      <c r="H20" s="1211">
        <f>IF(Quantity2&gt;0,MatFive,0)</f>
        <v>0</v>
      </c>
      <c r="I20" s="1211">
        <f>IF(Quantity3&gt;0,MatFive,0)</f>
        <v>0</v>
      </c>
      <c r="J20" s="1211">
        <f>IF(Quantity4&gt;0,MatFive,0)</f>
        <v>0</v>
      </c>
      <c r="K20" s="1211">
        <f>IF(Quantity5&gt;0,MatFive,0)</f>
        <v>0</v>
      </c>
    </row>
    <row r="21" spans="1:14" s="23" customFormat="1" ht="13.9" hidden="1" customHeight="1" thickBot="1">
      <c r="A21" s="19"/>
      <c r="B21" s="443"/>
      <c r="C21" s="352"/>
      <c r="D21" s="445"/>
      <c r="E21" s="107"/>
      <c r="F21" s="461" t="s">
        <v>3212</v>
      </c>
      <c r="G21" s="462">
        <f>IF(QEMatlScrFive=1, FSMatFiveJ11 + FSMatFiveJ41, FSMatFiveJ26 +FSMatFiveJ56)</f>
        <v>0</v>
      </c>
      <c r="H21" s="462">
        <f>IF(QEMatlScrFive=1, FSMatFiveK11 + FSMatFiveK41, FSMatFiveK26 +FSMatFiveK56)</f>
        <v>0</v>
      </c>
      <c r="I21" s="462">
        <f>IF(QEMatlScrFive=1, FSMatFiveL11 + FSMatFiveL41, FSMatFiveL26 +FSMatFiveL56)</f>
        <v>0</v>
      </c>
      <c r="J21" s="462">
        <f>IF(QEMatlScrFive=1, FSMatFiveM11 + FSMatFiveM41, FSMatFiveM26 +FSMatFiveM56)</f>
        <v>0</v>
      </c>
      <c r="K21" s="462">
        <f>IF(QEMatlScrFive=1, FSMatFiveN11 + FSMatFiveN41, FSMatFiveN26 +FSMatFiveN56)</f>
        <v>0</v>
      </c>
      <c r="N21" s="442"/>
    </row>
    <row r="22" spans="1:14" s="23" customFormat="1" ht="13.9" hidden="1" customHeight="1" thickBot="1">
      <c r="A22" s="19" t="s">
        <v>609</v>
      </c>
      <c r="B22" s="1200"/>
      <c r="C22" s="1209">
        <v>1</v>
      </c>
      <c r="D22" s="1209" t="s">
        <v>2619</v>
      </c>
      <c r="E22" s="1206"/>
      <c r="F22" s="1210">
        <v>1.43</v>
      </c>
      <c r="G22" s="1211"/>
      <c r="H22" s="1211">
        <f>IF(Quantity2&gt;0,_Mat6,0)</f>
        <v>0</v>
      </c>
      <c r="I22" s="1211">
        <f>IF(Quantity3&gt;0,_Mat6,0)</f>
        <v>0</v>
      </c>
      <c r="J22" s="1211">
        <f>IF(Quantity4&gt;0,_Mat6,0)</f>
        <v>0</v>
      </c>
      <c r="K22" s="1211">
        <f>IF(Quantity5&gt;0,_Mat6,0)</f>
        <v>0</v>
      </c>
      <c r="N22" s="442"/>
    </row>
    <row r="23" spans="1:14" s="23" customFormat="1" ht="13.9" hidden="1" customHeight="1" thickBot="1">
      <c r="A23" s="19"/>
      <c r="B23" s="443"/>
      <c r="C23" s="352"/>
      <c r="D23" s="445"/>
      <c r="E23" s="107"/>
      <c r="F23" s="461" t="s">
        <v>3212</v>
      </c>
      <c r="G23" s="462">
        <f>IF(QEMatlScr6=1,  FSMat6Cost1+FSMat36Cost1, FSMat26Cost1+FSMat46Cost1)</f>
        <v>0</v>
      </c>
      <c r="H23" s="462">
        <f>IF(QEMatlScr6=1,  FSMat6Cost2+FSMat36Cost2, FSMat26Cost2+FSMat46Cost2)</f>
        <v>0</v>
      </c>
      <c r="I23" s="462">
        <f>IF(QEMatlScr6=1,  FSMat6Cost3+FSMat36Cost3, FSMat26Cost3+FSMat46Cost3)</f>
        <v>0</v>
      </c>
      <c r="J23" s="462">
        <f>IF(QEMatlScr6=1,  FSMat6Cost4+FSMat36Cost4, FSMat26Cost4+FSMat46Cost4)</f>
        <v>0</v>
      </c>
      <c r="K23" s="462">
        <f>IF(QEMatlScr6=1,  FSMat6Cost5+FSMat36Cost5, FSMat26Cost5+FSMat46Cost5)</f>
        <v>0</v>
      </c>
      <c r="N23" s="442"/>
    </row>
    <row r="24" spans="1:14" s="23" customFormat="1" ht="13.9" hidden="1" customHeight="1" thickBot="1">
      <c r="A24" s="19" t="s">
        <v>608</v>
      </c>
      <c r="B24" s="1200"/>
      <c r="C24" s="1209">
        <v>1</v>
      </c>
      <c r="D24" s="1209" t="s">
        <v>2619</v>
      </c>
      <c r="E24" s="1206"/>
      <c r="F24" s="1210">
        <v>1.43</v>
      </c>
      <c r="G24" s="1211"/>
      <c r="H24" s="1211">
        <f>IF(Quantity2&gt;0,_Mat7,0)</f>
        <v>0</v>
      </c>
      <c r="I24" s="1211">
        <f>IF(Quantity3&gt;0,_Mat7,0)</f>
        <v>0</v>
      </c>
      <c r="J24" s="1211">
        <f>IF(Quantity4&gt;0,_Mat7,0)</f>
        <v>0</v>
      </c>
      <c r="K24" s="1211">
        <f>IF(Quantity5&gt;0,_Mat7,0)</f>
        <v>0</v>
      </c>
      <c r="N24" s="442"/>
    </row>
    <row r="25" spans="1:14" s="23" customFormat="1" ht="13.9" hidden="1" customHeight="1" thickBot="1">
      <c r="A25" s="19"/>
      <c r="B25" s="443"/>
      <c r="C25" s="352"/>
      <c r="D25" s="445"/>
      <c r="E25" s="107"/>
      <c r="F25" s="463" t="s">
        <v>3212</v>
      </c>
      <c r="G25" s="462">
        <f>IF(QEMatlScr7=1,  FSMat7Cost1+FSMat37Cost1, FSMat27Cost1+FSMat47Cost1)</f>
        <v>0</v>
      </c>
      <c r="H25" s="462">
        <f>IF(QEMatlScr7=1,  FSMat7Cost2+FSMat37Cost2, FSMat27Cost2+FSMat47Cost2)</f>
        <v>0</v>
      </c>
      <c r="I25" s="462">
        <f>IF(QEMatlScr7=1,  FSMat7Cost3+FSMat37Cost3, FSMat27Cost3+FSMat47Cost3)</f>
        <v>0</v>
      </c>
      <c r="J25" s="462">
        <f>IF(QEMatlScr7=1,  FSMat7Cost4+FSMat37Cost4, FSMat27Cost4+FSMat47Cost4)</f>
        <v>0</v>
      </c>
      <c r="K25" s="462">
        <f>IF(QEMatlScr7=1,  FSMat7Cost5+FSMat37Cost5, FSMat27Cost5+FSMat47Cost5)</f>
        <v>0</v>
      </c>
      <c r="N25" s="442"/>
    </row>
    <row r="26" spans="1:14" s="23" customFormat="1" ht="13.9" hidden="1" customHeight="1" thickBot="1">
      <c r="A26" s="19" t="s">
        <v>3346</v>
      </c>
      <c r="B26" s="1200"/>
      <c r="C26" s="1209">
        <v>1</v>
      </c>
      <c r="D26" s="1209" t="s">
        <v>2619</v>
      </c>
      <c r="E26" s="1206"/>
      <c r="F26" s="1210">
        <v>1.43</v>
      </c>
      <c r="G26" s="1211"/>
      <c r="H26" s="1211">
        <f>IF(Quantity2&gt;0,_Mat8,0)</f>
        <v>0</v>
      </c>
      <c r="I26" s="1211">
        <f>IF(Quantity3&gt;0,_Mat8,0)</f>
        <v>0</v>
      </c>
      <c r="J26" s="1211">
        <f>IF(Quantity4&gt;0,_Mat8,0)</f>
        <v>0</v>
      </c>
      <c r="K26" s="1211">
        <f>IF(Quantity5&gt;0,_Mat8,0)</f>
        <v>0</v>
      </c>
      <c r="N26" s="442"/>
    </row>
    <row r="27" spans="1:14" s="23" customFormat="1" ht="13.5" hidden="1" customHeight="1" thickBot="1">
      <c r="A27" s="19"/>
      <c r="B27" s="443"/>
      <c r="C27" s="352"/>
      <c r="D27" s="445"/>
      <c r="E27" s="107"/>
      <c r="F27" s="461" t="s">
        <v>3212</v>
      </c>
      <c r="G27" s="462">
        <f>IF(QEMatlScr8=1,  FSMat8Cost1+FSMat38Cost1, FSMat28Cost1+FSMat48Cost1)</f>
        <v>0</v>
      </c>
      <c r="H27" s="462">
        <f>IF(QEMatlScr8=1,  FSMat8Cost2+FSMat38Cost2, FSMat28Cost2+FSMat48Cost2)</f>
        <v>0</v>
      </c>
      <c r="I27" s="462">
        <f>IF(QEMatlScr8=1,  FSMat8Cost3+FSMat38Cost3, FSMat28Cost3+FSMat48Cost3)</f>
        <v>0</v>
      </c>
      <c r="J27" s="462">
        <f>IF(QEMatlScr8=1,  FSMat8Cost4+FSMat38Cost4, FSMat28Cost4+FSMat48Cost4)</f>
        <v>0</v>
      </c>
      <c r="K27" s="462">
        <f>IF(QEMatlScr8=1,  FSMat8Cost5+FSMat38Cost5, FSMat28Cost5+FSMat48Cost5)</f>
        <v>0</v>
      </c>
      <c r="N27" s="442"/>
    </row>
    <row r="28" spans="1:14" s="23" customFormat="1" ht="13.9" hidden="1" customHeight="1" thickBot="1">
      <c r="A28" s="19" t="s">
        <v>610</v>
      </c>
      <c r="B28" s="1200"/>
      <c r="C28" s="1209">
        <v>1</v>
      </c>
      <c r="D28" s="1209" t="s">
        <v>2619</v>
      </c>
      <c r="E28" s="1206"/>
      <c r="F28" s="1210">
        <v>1.43</v>
      </c>
      <c r="G28" s="1211"/>
      <c r="H28" s="1211">
        <f>IF(Quantity2&gt;0,_Mat9,0)</f>
        <v>0</v>
      </c>
      <c r="I28" s="1211">
        <f>IF(Quantity3&gt;0,_Mat9,0)</f>
        <v>0</v>
      </c>
      <c r="J28" s="1211">
        <f>IF(Quantity4&gt;0,_Mat9,0)</f>
        <v>0</v>
      </c>
      <c r="K28" s="1211">
        <f>IF(Quantity5&gt;0,_Mat9,0)</f>
        <v>0</v>
      </c>
      <c r="N28" s="442"/>
    </row>
    <row r="29" spans="1:14" s="23" customFormat="1" ht="13.9" hidden="1" customHeight="1" thickBot="1">
      <c r="A29" s="19"/>
      <c r="B29" s="443"/>
      <c r="C29" s="352"/>
      <c r="D29" s="445"/>
      <c r="E29" s="107"/>
      <c r="F29" s="461" t="s">
        <v>3212</v>
      </c>
      <c r="G29" s="462">
        <f>IF(QEMatlScr9=1,  FSMat9Cost1+FSMat39Cost1, FSMat29Cost1+FSMat49Cost1)</f>
        <v>0</v>
      </c>
      <c r="H29" s="462">
        <f>IF(QEMatlScr9=1,  FSMat9Cost2+FSMat39Cost2, FSMat29Cost2+FSMat49Cost2)</f>
        <v>0</v>
      </c>
      <c r="I29" s="462">
        <f>IF(QEMatlScr9=1,  FSMat9Cost3+FSMat39Cost3, FSMat29Cost3+FSMat49Cost3)</f>
        <v>0</v>
      </c>
      <c r="J29" s="462">
        <f>IF(QEMatlScr9=1,  FSMat9Cost4+FSMat39Cost4, FSMat29Cost4+FSMat49Cost4)</f>
        <v>0</v>
      </c>
      <c r="K29" s="462">
        <f>IF(QEMatlScr9=1,  FSMat9Cost5+FSMat39Cost5, FSMat29Cost5+FSMat49Cost5)</f>
        <v>0</v>
      </c>
      <c r="N29" s="442"/>
    </row>
    <row r="30" spans="1:14" s="23" customFormat="1" ht="13.9" hidden="1" customHeight="1" thickBot="1">
      <c r="A30" s="19" t="s">
        <v>611</v>
      </c>
      <c r="B30" s="1200"/>
      <c r="C30" s="1209">
        <v>1</v>
      </c>
      <c r="D30" s="1209" t="s">
        <v>2619</v>
      </c>
      <c r="E30" s="1206"/>
      <c r="F30" s="1210">
        <v>1.43</v>
      </c>
      <c r="G30" s="1211"/>
      <c r="H30" s="1211">
        <f>IF(Quantity2&gt;0,_Mat10,0)</f>
        <v>0</v>
      </c>
      <c r="I30" s="1211">
        <f>IF(Quantity3&gt;0,_Mat10,0)</f>
        <v>0</v>
      </c>
      <c r="J30" s="1211">
        <f>IF(Quantity4&gt;0,_Mat10,0)</f>
        <v>0</v>
      </c>
      <c r="K30" s="1211">
        <f>IF(Quantity5&gt;0,_Mat10,0)</f>
        <v>0</v>
      </c>
      <c r="N30" s="442"/>
    </row>
    <row r="31" spans="1:14" s="23" customFormat="1" ht="13.9" hidden="1" customHeight="1" thickBot="1">
      <c r="A31" s="19"/>
      <c r="B31" s="443"/>
      <c r="C31" s="352"/>
      <c r="D31" s="445"/>
      <c r="E31" s="107"/>
      <c r="F31" s="461" t="s">
        <v>3212</v>
      </c>
      <c r="G31" s="462">
        <f>IF(QEMatlScr10=1,  FSMat10Cost1+FSMat310Cost1, FSMat210Cost1+FSMat410Cost1)</f>
        <v>0</v>
      </c>
      <c r="H31" s="462">
        <f>IF(QEMatlScr10=1,  FSMat10Cost2+FSMat310Cost2, FSMat210Cost2+FSMat410Cost2)</f>
        <v>0</v>
      </c>
      <c r="I31" s="462">
        <f>IF(QEMatlScr10=1,  FSMat10Cost3+FSMat310Cost3, FSMat210Cost3+FSMat410Cost3)</f>
        <v>0</v>
      </c>
      <c r="J31" s="462">
        <f>IF(QEMatlScr10=1,  FSMat10Cost4+FSMat310Cost4, FSMat210Cost4+FSMat410Cost4)</f>
        <v>0</v>
      </c>
      <c r="K31" s="462">
        <f>IF(QEMatlScr10=1,  FSMat10Cost5+FSMat310Cost5, FSMat210Cost5+FSMat410Cost5)</f>
        <v>0</v>
      </c>
      <c r="N31" s="442"/>
    </row>
    <row r="32" spans="1:14" s="23" customFormat="1" ht="13.9" hidden="1" customHeight="1" thickBot="1">
      <c r="A32" s="19" t="s">
        <v>1419</v>
      </c>
      <c r="B32" s="1200"/>
      <c r="C32" s="1209">
        <v>1</v>
      </c>
      <c r="D32" s="1209" t="s">
        <v>2619</v>
      </c>
      <c r="E32" s="1206"/>
      <c r="F32" s="1210">
        <v>1.43</v>
      </c>
      <c r="G32" s="1211"/>
      <c r="H32" s="1211">
        <f>IF(Quantity2&gt;0,_Mat11,0)</f>
        <v>0</v>
      </c>
      <c r="I32" s="1211">
        <f>IF(Quantity3&gt;0,_Mat11,0)</f>
        <v>0</v>
      </c>
      <c r="J32" s="1211">
        <f>IF(Quantity4&gt;0,_Mat11,0)</f>
        <v>0</v>
      </c>
      <c r="K32" s="1211">
        <f>IF(Quantity5&gt;0,_Mat11,0)</f>
        <v>0</v>
      </c>
      <c r="N32" s="442"/>
    </row>
    <row r="33" spans="1:16" s="23" customFormat="1" ht="13.9" hidden="1" customHeight="1" thickBot="1">
      <c r="A33" s="19"/>
      <c r="B33" s="443"/>
      <c r="C33" s="352"/>
      <c r="D33" s="445"/>
      <c r="E33" s="107"/>
      <c r="F33" s="461" t="s">
        <v>3212</v>
      </c>
      <c r="G33" s="462">
        <f>IF(QEMatlScr11=1,  ResMat11Cost1+BOMat11Cost1, Res2Mat11Cost1+BO2Mat11Cost1)</f>
        <v>0</v>
      </c>
      <c r="H33" s="462">
        <f>IF(QEMatlScr11=1,  ResMat11Cost2+BOMat11Cost2, Res2Mat11Cost2+BO2Mat11Cost2)</f>
        <v>0</v>
      </c>
      <c r="I33" s="462">
        <f>IF(QEMatlScr11=1,  ResMat11Cost3+BOMat11Cost3, Res2Mat11Cost3+BO2Mat11Cost3)</f>
        <v>0</v>
      </c>
      <c r="J33" s="462">
        <f>IF(QEMatlScr11=1,  ResMat11Cost4+BOMat11Cost4, Res2Mat11Cost4+BO2Mat11Cost4)</f>
        <v>0</v>
      </c>
      <c r="K33" s="462">
        <f>IF(QEMatlScr11=1,  ResMat11Cost5+BOMat11Cost5, Res2Mat11Cost5+BO2Mat11Cost5)</f>
        <v>0</v>
      </c>
      <c r="N33" s="442"/>
    </row>
    <row r="34" spans="1:16" s="23" customFormat="1" ht="13.9" hidden="1" customHeight="1" thickBot="1">
      <c r="A34" s="19" t="s">
        <v>1420</v>
      </c>
      <c r="B34" s="1200"/>
      <c r="C34" s="1209">
        <v>1</v>
      </c>
      <c r="D34" s="1209" t="s">
        <v>2619</v>
      </c>
      <c r="E34" s="1206"/>
      <c r="F34" s="1210">
        <v>1.43</v>
      </c>
      <c r="G34" s="1211"/>
      <c r="H34" s="1211">
        <f>IF(Quantity2&gt;0,_Mat12,0)</f>
        <v>0</v>
      </c>
      <c r="I34" s="1211">
        <f>IF(Quantity3&gt;0,_Mat12,0)</f>
        <v>0</v>
      </c>
      <c r="J34" s="1211">
        <f>IF(Quantity4&gt;0,_Mat12,0)</f>
        <v>0</v>
      </c>
      <c r="K34" s="1211">
        <f>IF(Quantity5&gt;0,_Mat12,0)</f>
        <v>0</v>
      </c>
      <c r="N34" s="442"/>
    </row>
    <row r="35" spans="1:16" s="23" customFormat="1" ht="13.9" hidden="1" customHeight="1" thickBot="1">
      <c r="A35" s="19"/>
      <c r="B35" s="443"/>
      <c r="C35" s="352"/>
      <c r="D35" s="445"/>
      <c r="E35" s="107"/>
      <c r="F35" s="461" t="s">
        <v>3212</v>
      </c>
      <c r="G35" s="462">
        <f>IF(QEMatlScr12=1,  ResMat12Cost1+BOMat12Cost1, Res2Mat12Cost1+BO2Mat12Cost1)</f>
        <v>0</v>
      </c>
      <c r="H35" s="462">
        <f>IF(QEMatlScr12=1,  ResMat12Cost2+BOMat12Cost2, Res2Mat12Cost2+BO2Mat12Cost2)</f>
        <v>0</v>
      </c>
      <c r="I35" s="462">
        <f>IF(QEMatlScr12=1,  ResMat12Cost3+BOMat12Cost3, Res2Mat12Cost3+BO2Mat12Cost3)</f>
        <v>0</v>
      </c>
      <c r="J35" s="462">
        <f>IF(QEMatlScr12=1,  ResMat12Cost4+BOMat12Cost4, Res2Mat12Cost4+BO2Mat12Cost4)</f>
        <v>0</v>
      </c>
      <c r="K35" s="462">
        <f>IF(QEMatlScr12=1,  ResMat12Cost5+BOMat12Cost5, Res2Mat12Cost5+BO2Mat12Cost5)</f>
        <v>0</v>
      </c>
      <c r="N35" s="442"/>
    </row>
    <row r="36" spans="1:16" s="23" customFormat="1" ht="13.9" hidden="1" customHeight="1" thickBot="1">
      <c r="A36" s="19" t="s">
        <v>1421</v>
      </c>
      <c r="B36" s="1200"/>
      <c r="C36" s="1209">
        <v>1</v>
      </c>
      <c r="D36" s="1209" t="s">
        <v>2619</v>
      </c>
      <c r="E36" s="1206"/>
      <c r="F36" s="1210">
        <v>1.43</v>
      </c>
      <c r="G36" s="1211"/>
      <c r="H36" s="1211">
        <f>IF(Quantity2&gt;0,_Mat13,0)</f>
        <v>0</v>
      </c>
      <c r="I36" s="1211">
        <f>IF(Quantity3&gt;0,_Mat13,0)</f>
        <v>0</v>
      </c>
      <c r="J36" s="1211">
        <f>IF(Quantity4&gt;0,_Mat13,0)</f>
        <v>0</v>
      </c>
      <c r="K36" s="1211">
        <f>IF(Quantity5&gt;0,_Mat13,0)</f>
        <v>0</v>
      </c>
      <c r="N36" s="442"/>
    </row>
    <row r="37" spans="1:16" s="23" customFormat="1" ht="13.9" hidden="1" customHeight="1" thickBot="1">
      <c r="A37" s="19"/>
      <c r="B37" s="443"/>
      <c r="C37" s="352"/>
      <c r="D37" s="445"/>
      <c r="E37" s="107"/>
      <c r="F37" s="461" t="s">
        <v>3212</v>
      </c>
      <c r="G37" s="462">
        <f>IF(QEMatlScr13=1,  ResMat13Cost1+BOMat13Cost1, Res2Mat13Cost1+BO2Mat13Cost1)</f>
        <v>0</v>
      </c>
      <c r="H37" s="462">
        <f>IF(QEMatlScr13=1,  ResMat13Cost2+BOMat13Cost2, Res2Mat13Cost2+BO2Mat13Cost2)</f>
        <v>0</v>
      </c>
      <c r="I37" s="462">
        <f>IF(QEMatlScr13=1,  ResMat13Cost3+BOMat13Cost3, Res2Mat13Cost3+BO2Mat13Cost3)</f>
        <v>0</v>
      </c>
      <c r="J37" s="462">
        <f>IF(QEMatlScr13=1,  ResMat13Cost4+BOMat13Cost4, Res2Mat13Cost4+BO2Mat13Cost4)</f>
        <v>0</v>
      </c>
      <c r="K37" s="462">
        <f>IF(QEMatlScr13=1,  ResMat13Cost5+BOMat13Cost5, Res2Mat13Cost5+BO2Mat13Cost5)</f>
        <v>0</v>
      </c>
      <c r="N37" s="442"/>
    </row>
    <row r="38" spans="1:16" s="23" customFormat="1" ht="13.9" hidden="1" customHeight="1" thickBot="1">
      <c r="A38" s="19" t="s">
        <v>1422</v>
      </c>
      <c r="B38" s="1200"/>
      <c r="C38" s="1209">
        <v>1</v>
      </c>
      <c r="D38" s="1209" t="s">
        <v>2619</v>
      </c>
      <c r="E38" s="1206"/>
      <c r="F38" s="1210">
        <v>1.43</v>
      </c>
      <c r="G38" s="1211"/>
      <c r="H38" s="1211">
        <f>IF(Quantity2&gt;0,_Mat14,0)</f>
        <v>0</v>
      </c>
      <c r="I38" s="1211">
        <f>IF(Quantity3&gt;0,_Mat14,0)</f>
        <v>0</v>
      </c>
      <c r="J38" s="1211">
        <f>IF(Quantity4&gt;0,_Mat14,0)</f>
        <v>0</v>
      </c>
      <c r="K38" s="1211">
        <f>IF(Quantity5&gt;0,_Mat14,0)</f>
        <v>0</v>
      </c>
      <c r="N38" s="442"/>
    </row>
    <row r="39" spans="1:16" s="23" customFormat="1" ht="13.9" hidden="1" customHeight="1" thickBot="1">
      <c r="A39" s="19"/>
      <c r="B39" s="443"/>
      <c r="C39" s="352"/>
      <c r="D39" s="445"/>
      <c r="E39" s="107"/>
      <c r="F39" s="461" t="s">
        <v>3212</v>
      </c>
      <c r="G39" s="462">
        <f>IF(QEMatlScr14=1,  ResMat14Cost1+BOMat14Cost1, Res2Mat14Cost1+BO2Mat14Cost1)</f>
        <v>0</v>
      </c>
      <c r="H39" s="462">
        <f>IF(QEMatlScr14=1,  ResMat14Cost2+BOMat14Cost2, Res2Mat14Cost2+BO2Mat14Cost2)</f>
        <v>0</v>
      </c>
      <c r="I39" s="462">
        <f>IF(QEMatlScr14=1,  ResMat14Cost3+BOMat14Cost3, Res2Mat14Cost3+BO2Mat14Cost3)</f>
        <v>0</v>
      </c>
      <c r="J39" s="462">
        <f>IF(QEMatlScr14=1,  ResMat14Cost4+BOMat14Cost4, Res2Mat14Cost4+BO2Mat14Cost4)</f>
        <v>0</v>
      </c>
      <c r="K39" s="462">
        <f>IF(QEMatlScr14=1,  ResMat14Cost5+BOMat14Cost5, Res2Mat14Cost5+BO2Mat14Cost5)</f>
        <v>0</v>
      </c>
      <c r="N39" s="442"/>
    </row>
    <row r="40" spans="1:16" s="23" customFormat="1" ht="13.9" hidden="1" customHeight="1" thickBot="1">
      <c r="A40" s="19" t="s">
        <v>1423</v>
      </c>
      <c r="B40" s="1200"/>
      <c r="C40" s="1209">
        <v>1</v>
      </c>
      <c r="D40" s="1209" t="s">
        <v>2619</v>
      </c>
      <c r="E40" s="1206"/>
      <c r="F40" s="1210">
        <v>1.43</v>
      </c>
      <c r="G40" s="1211"/>
      <c r="H40" s="1211">
        <f>IF(Quantity2&gt;0,_Mat15,0)</f>
        <v>0</v>
      </c>
      <c r="I40" s="1211">
        <f>IF(Quantity3&gt;0,_Mat15,0)</f>
        <v>0</v>
      </c>
      <c r="J40" s="1211">
        <f>IF(Quantity4&gt;0,_Mat15,0)</f>
        <v>0</v>
      </c>
      <c r="K40" s="1211">
        <f>IF(Quantity5&gt;0,_Mat15,0)</f>
        <v>0</v>
      </c>
      <c r="N40" s="442"/>
    </row>
    <row r="41" spans="1:16" s="23" customFormat="1" ht="13.9" hidden="1" customHeight="1" thickBot="1">
      <c r="A41" s="19"/>
      <c r="B41" s="443"/>
      <c r="C41" s="352"/>
      <c r="D41" s="445"/>
      <c r="E41" s="107"/>
      <c r="F41" s="1117" t="s">
        <v>3212</v>
      </c>
      <c r="G41" s="1118">
        <f>IF(QEMatlScr15=1,  ResMat15Cost1+BOMat15Cost1, Res2Mat15Cost1+BO2Mat15Cost1)</f>
        <v>0</v>
      </c>
      <c r="H41" s="1118">
        <f>IF(QEMatlScr15=1,  ResMat15Cost2+BOMat15Cost2, Res2Mat15Cost2+BO2Mat15Cost2)</f>
        <v>0</v>
      </c>
      <c r="I41" s="1118">
        <f>IF(QEMatlScr15=1,  ResMat15Cost3+BOMat15Cost3, Res2Mat15Cost3+BO2Mat15Cost3)</f>
        <v>0</v>
      </c>
      <c r="J41" s="1118">
        <f>IF(QEMatlScr15=1,  ResMat15Cost4+BOMat15Cost4, Res2Mat15Cost4+BO2Mat15Cost4)</f>
        <v>0</v>
      </c>
      <c r="K41" s="1118">
        <f>IF(QEMatlScr15=1,  ResMat15Cost5+BOMat15Cost5, Res2Mat15Cost5+BO2Mat15Cost5)</f>
        <v>0</v>
      </c>
      <c r="N41" s="442"/>
    </row>
    <row r="42" spans="1:16" ht="13.9" customHeight="1" thickBot="1">
      <c r="A42" s="19" t="s">
        <v>20</v>
      </c>
      <c r="B42" s="1213">
        <v>0.98</v>
      </c>
      <c r="F42" s="217"/>
    </row>
    <row r="43" spans="1:16" ht="13.9" customHeight="1">
      <c r="O43" s="30"/>
      <c r="P43" s="30"/>
    </row>
    <row r="44" spans="1:16" ht="13.9" customHeight="1" thickBot="1">
      <c r="A44" s="419" t="s">
        <v>583</v>
      </c>
      <c r="B44" s="17" t="s">
        <v>4123</v>
      </c>
      <c r="C44" s="17" t="s">
        <v>3502</v>
      </c>
      <c r="D44" s="17" t="s">
        <v>6337</v>
      </c>
      <c r="E44" s="17" t="s">
        <v>6338</v>
      </c>
      <c r="F44" s="17" t="s">
        <v>4475</v>
      </c>
      <c r="G44" s="17" t="s">
        <v>1689</v>
      </c>
      <c r="H44" s="17" t="s">
        <v>3033</v>
      </c>
      <c r="I44" s="17" t="s">
        <v>3034</v>
      </c>
      <c r="J44" s="17" t="s">
        <v>4028</v>
      </c>
      <c r="K44" s="17" t="s">
        <v>6233</v>
      </c>
      <c r="L44" s="17" t="s">
        <v>3032</v>
      </c>
      <c r="M44" s="17" t="s">
        <v>5242</v>
      </c>
      <c r="N44" s="17" t="s">
        <v>2376</v>
      </c>
      <c r="O44" s="17" t="s">
        <v>2962</v>
      </c>
      <c r="P44" s="17" t="s">
        <v>2963</v>
      </c>
    </row>
    <row r="45" spans="1:16" ht="13.9" customHeight="1" thickBot="1">
      <c r="A45" s="19" t="s">
        <v>4235</v>
      </c>
      <c r="B45" s="1197" t="s">
        <v>5935</v>
      </c>
      <c r="C45" s="1197">
        <v>1</v>
      </c>
      <c r="D45" s="1209">
        <f>IF(AND(Press1&gt;0,QEPressScrOne&lt;&gt;2),CavityScr1, 0)</f>
        <v>8</v>
      </c>
      <c r="E45" s="1209">
        <f>IF(AND(Press1&gt;0,QEPressScrOne&lt;&gt;1),CavityScr2, 0)</f>
        <v>0</v>
      </c>
      <c r="F45" s="467">
        <v>40.5</v>
      </c>
      <c r="G45" s="1215"/>
      <c r="H45" s="1216">
        <v>1</v>
      </c>
      <c r="I45" s="465">
        <v>275</v>
      </c>
      <c r="J45" s="1218" t="s">
        <v>5945</v>
      </c>
      <c r="K45" s="466">
        <v>3.75</v>
      </c>
      <c r="L45" s="1219">
        <v>0.33333000000000002</v>
      </c>
      <c r="M45" s="467">
        <v>16.75</v>
      </c>
      <c r="N45" s="1219">
        <v>12</v>
      </c>
      <c r="O45" s="468">
        <f>IF(QECycle1&gt;0,FSPCSScr1,0)</f>
        <v>2352</v>
      </c>
      <c r="P45" s="456">
        <f>IF(QECycle1&gt;0,FSPCSScr2,0)</f>
        <v>0</v>
      </c>
    </row>
    <row r="46" spans="1:16" ht="13.9" customHeight="1" thickBot="1">
      <c r="A46" s="19" t="s">
        <v>3519</v>
      </c>
      <c r="B46" s="1229" t="s">
        <v>2404</v>
      </c>
      <c r="C46" s="1230"/>
      <c r="D46" s="1231"/>
      <c r="G46" s="412"/>
      <c r="I46" s="430" t="s">
        <v>6306</v>
      </c>
      <c r="J46" s="464">
        <f>IF(FSToolMaintCost11&gt;0,FSToolMaintCost11,0)</f>
        <v>1.5943877551020409</v>
      </c>
      <c r="L46" s="21" t="s">
        <v>2185</v>
      </c>
      <c r="M46" s="457">
        <f>IF(FSLaborCost11&gt;0,FSLaborCost11,0)</f>
        <v>2.3738424744897961</v>
      </c>
      <c r="N46" s="21" t="s">
        <v>2443</v>
      </c>
      <c r="O46" s="457">
        <f>IF(FSPressCost11&gt;0,FSPressCost11,0)</f>
        <v>17.219387755102041</v>
      </c>
    </row>
    <row r="47" spans="1:16" ht="13.9" customHeight="1">
      <c r="B47" s="30"/>
      <c r="C47" s="30"/>
      <c r="G47" s="412"/>
      <c r="I47" s="430" t="s">
        <v>6307</v>
      </c>
      <c r="J47" s="457">
        <f>IF(FSToolMaintCost21&gt;0,FSToolMaintCost21,0)</f>
        <v>0</v>
      </c>
      <c r="L47" s="21" t="s">
        <v>2442</v>
      </c>
      <c r="M47" s="457">
        <f>IF(FSLaborCost21&gt;0,FSLaborCost21,0)</f>
        <v>0</v>
      </c>
      <c r="N47" s="21" t="s">
        <v>3827</v>
      </c>
      <c r="O47" s="457">
        <f>IF(FSPressCost21&gt;0,FSPressCost21,0)</f>
        <v>0</v>
      </c>
      <c r="P47" s="414"/>
    </row>
    <row r="48" spans="1:16" ht="13.9" customHeight="1" thickBot="1">
      <c r="B48" s="30"/>
      <c r="C48" s="30"/>
      <c r="F48" s="412"/>
      <c r="G48" s="416"/>
      <c r="H48" s="413"/>
      <c r="I48" s="414"/>
      <c r="J48" s="414"/>
      <c r="K48" s="415"/>
      <c r="L48" s="414"/>
      <c r="M48" s="414"/>
      <c r="N48" s="413"/>
      <c r="O48" s="414"/>
      <c r="P48" s="414"/>
    </row>
    <row r="49" spans="1:16" ht="13.9" hidden="1" customHeight="1" thickBot="1">
      <c r="A49" s="19" t="s">
        <v>4236</v>
      </c>
      <c r="B49" s="1197"/>
      <c r="C49" s="1197">
        <v>1</v>
      </c>
      <c r="D49" s="1209">
        <f>IF(AND(Press2&gt;0,QEPressScrTwo&lt;&gt;2),CavityScr1, 0)</f>
        <v>0</v>
      </c>
      <c r="E49" s="1209">
        <f>IF(AND(Press2&gt;0,QEPressScrTwo&lt;&gt;1),CavityScr2, 0)</f>
        <v>0</v>
      </c>
      <c r="F49" s="467"/>
      <c r="G49" s="1215"/>
      <c r="H49" s="1216">
        <v>1</v>
      </c>
      <c r="I49" s="465"/>
      <c r="J49" s="1218"/>
      <c r="K49" s="467"/>
      <c r="L49" s="1219"/>
      <c r="M49" s="467"/>
      <c r="N49" s="1219"/>
      <c r="O49" s="468">
        <f>IF(QECycle2&gt;0,FSPCSScr1A,0)</f>
        <v>0</v>
      </c>
      <c r="P49" s="456">
        <f>IF(QECycle2&gt;0,FSPCSScr2A,0)</f>
        <v>0</v>
      </c>
    </row>
    <row r="50" spans="1:16" ht="13.9" hidden="1" customHeight="1" thickBot="1">
      <c r="A50" s="19" t="s">
        <v>3519</v>
      </c>
      <c r="B50" s="1229"/>
      <c r="C50" s="1230"/>
      <c r="D50" s="1231"/>
      <c r="F50" s="412"/>
      <c r="G50" s="412"/>
      <c r="I50" s="430" t="s">
        <v>6306</v>
      </c>
      <c r="J50" s="464">
        <f>IF(FSToolMaintCost12&gt;0,FSToolMaintCost12,0)</f>
        <v>0</v>
      </c>
      <c r="L50" s="21" t="s">
        <v>2185</v>
      </c>
      <c r="M50" s="457">
        <f>IF(FSLaborCost12&gt;0,FSLaborCost12,0)</f>
        <v>0</v>
      </c>
      <c r="N50" s="21" t="s">
        <v>2443</v>
      </c>
      <c r="O50" s="457">
        <f>IF(FSPressCost12&gt;0,FSPressCost12,0)</f>
        <v>0</v>
      </c>
    </row>
    <row r="51" spans="1:16" ht="13.9" hidden="1" customHeight="1">
      <c r="B51" s="30"/>
      <c r="C51" s="30"/>
      <c r="F51" s="412"/>
      <c r="G51" s="412"/>
      <c r="I51" s="430" t="s">
        <v>6307</v>
      </c>
      <c r="J51" s="457">
        <f>IF(FSToolMaintCost22&gt;0,FSToolMaintCost22,0)</f>
        <v>0</v>
      </c>
      <c r="L51" s="21" t="s">
        <v>2442</v>
      </c>
      <c r="M51" s="457">
        <f>IF(FSLaborCost22&gt;0,FSLaborCost22,0)</f>
        <v>0</v>
      </c>
      <c r="N51" s="21" t="s">
        <v>3827</v>
      </c>
      <c r="O51" s="457">
        <f>IF(FSPressCost22&gt;0,FSPressCost22,0)</f>
        <v>0</v>
      </c>
      <c r="P51" s="414"/>
    </row>
    <row r="52" spans="1:16" ht="13.9" hidden="1" customHeight="1" thickBot="1">
      <c r="B52" s="30"/>
      <c r="C52" s="30"/>
      <c r="F52" s="412"/>
      <c r="G52" s="416"/>
      <c r="H52" s="413"/>
      <c r="I52" s="414"/>
      <c r="J52" s="414"/>
      <c r="K52" s="415"/>
      <c r="L52" s="414"/>
      <c r="M52" s="414"/>
      <c r="N52" s="413"/>
      <c r="O52" s="414"/>
      <c r="P52" s="414"/>
    </row>
    <row r="53" spans="1:16" s="17" customFormat="1" ht="13.9" hidden="1" customHeight="1" thickBot="1">
      <c r="A53" s="19" t="s">
        <v>2590</v>
      </c>
      <c r="B53" s="1197"/>
      <c r="C53" s="1197">
        <v>1</v>
      </c>
      <c r="D53" s="1209">
        <f>IF(AND(Press3&gt;0,QEPressScrThree&lt;&gt;2),CavityScr1, 0)</f>
        <v>0</v>
      </c>
      <c r="E53" s="1209">
        <f>IF(AND(Press3&gt;0,QEPressScrThree&lt;&gt;1),CavityScr2, 0)</f>
        <v>0</v>
      </c>
      <c r="F53" s="467"/>
      <c r="G53" s="1215"/>
      <c r="H53" s="1216">
        <v>1</v>
      </c>
      <c r="I53" s="465"/>
      <c r="J53" s="1218"/>
      <c r="K53" s="467"/>
      <c r="L53" s="1219"/>
      <c r="M53" s="467"/>
      <c r="N53" s="1219"/>
      <c r="O53" s="468">
        <f>IF(QECycle3&gt;0,FSPCSScr1B,0)</f>
        <v>0</v>
      </c>
      <c r="P53" s="456">
        <f>IF(QECycle3&gt;0,FSPCSScr2B,0)</f>
        <v>0</v>
      </c>
    </row>
    <row r="54" spans="1:16" s="17" customFormat="1" ht="13.9" hidden="1" customHeight="1" thickBot="1">
      <c r="A54" s="19" t="s">
        <v>3519</v>
      </c>
      <c r="B54" s="1229"/>
      <c r="C54" s="1230"/>
      <c r="D54" s="1231"/>
      <c r="F54" s="412"/>
      <c r="G54" s="412"/>
      <c r="H54" s="16"/>
      <c r="I54" s="430" t="s">
        <v>6306</v>
      </c>
      <c r="J54" s="464">
        <f>IF(FSToolMaintCost13&gt;0,FSToolMaintCost13,0)</f>
        <v>0</v>
      </c>
      <c r="K54" s="16"/>
      <c r="L54" s="21" t="s">
        <v>2185</v>
      </c>
      <c r="M54" s="457">
        <f>IF(FSLaborCost13&gt;0,FSLaborCost13,0)</f>
        <v>0</v>
      </c>
      <c r="N54" s="21" t="s">
        <v>2443</v>
      </c>
      <c r="O54" s="457">
        <f>IF(FSPressCost13&gt;0,FSPressCost13,0)</f>
        <v>0</v>
      </c>
    </row>
    <row r="55" spans="1:16" s="17" customFormat="1" ht="13.9" hidden="1" customHeight="1">
      <c r="A55" s="19"/>
      <c r="B55" s="30"/>
      <c r="C55" s="30"/>
      <c r="F55" s="412"/>
      <c r="G55" s="412"/>
      <c r="H55" s="16"/>
      <c r="I55" s="430" t="s">
        <v>6307</v>
      </c>
      <c r="J55" s="457">
        <f>IF(FSToolMaintCost23&gt;0,FSToolMaintCost23,0)</f>
        <v>0</v>
      </c>
      <c r="K55" s="16"/>
      <c r="L55" s="21" t="s">
        <v>2442</v>
      </c>
      <c r="M55" s="457">
        <f>IF(FSLaborCost23&gt;0,FSLaborCost23,0)</f>
        <v>0</v>
      </c>
      <c r="N55" s="21" t="s">
        <v>3827</v>
      </c>
      <c r="O55" s="457">
        <f>IF(FSPressCost23&gt;0,FSPressCost23,0)</f>
        <v>0</v>
      </c>
      <c r="P55" s="414"/>
    </row>
    <row r="56" spans="1:16" s="17" customFormat="1" ht="13.9" hidden="1" customHeight="1" thickBot="1">
      <c r="A56" s="19"/>
      <c r="B56" s="30"/>
      <c r="C56" s="30"/>
      <c r="F56" s="412"/>
      <c r="G56" s="416"/>
      <c r="H56" s="413"/>
      <c r="I56" s="414"/>
      <c r="J56" s="414"/>
      <c r="K56" s="415"/>
      <c r="L56" s="414"/>
      <c r="M56" s="414"/>
      <c r="N56" s="413"/>
      <c r="O56" s="414"/>
      <c r="P56" s="414"/>
    </row>
    <row r="57" spans="1:16" s="17" customFormat="1" ht="13.9" hidden="1" customHeight="1" thickBot="1">
      <c r="A57" s="19" t="s">
        <v>3017</v>
      </c>
      <c r="B57" s="1197"/>
      <c r="C57" s="1197">
        <v>1</v>
      </c>
      <c r="D57" s="1209">
        <f>IF(AND(Press4&gt;0,QEPressScr6&lt;&gt;2),CavityScr1, 0)</f>
        <v>0</v>
      </c>
      <c r="E57" s="1209">
        <f>IF(AND(Press4&gt;0,QEPressScr6&lt;&gt;1),CavityScr2, 0)</f>
        <v>0</v>
      </c>
      <c r="F57" s="467"/>
      <c r="G57" s="1215"/>
      <c r="H57" s="1216">
        <v>1</v>
      </c>
      <c r="I57" s="465"/>
      <c r="J57" s="1218"/>
      <c r="K57" s="466"/>
      <c r="L57" s="1219"/>
      <c r="M57" s="467"/>
      <c r="N57" s="1219"/>
      <c r="O57" s="468">
        <f>IF(QECycle6&gt;0,FSPCSScr1C,0)</f>
        <v>0</v>
      </c>
      <c r="P57" s="456">
        <f>IF(QECycle6&gt;0,FSPCSScr2C,0)</f>
        <v>0</v>
      </c>
    </row>
    <row r="58" spans="1:16" s="17" customFormat="1" ht="13.9" hidden="1" customHeight="1" thickBot="1">
      <c r="A58" s="19" t="s">
        <v>3519</v>
      </c>
      <c r="B58" s="1229"/>
      <c r="C58" s="1230"/>
      <c r="D58" s="1231"/>
      <c r="F58" s="412"/>
      <c r="G58" s="412"/>
      <c r="H58" s="16"/>
      <c r="I58" s="430" t="s">
        <v>6306</v>
      </c>
      <c r="J58" s="464">
        <f>IF(FSToolMaintCost16&gt;0,FSToolMaintCost16,0)</f>
        <v>0</v>
      </c>
      <c r="K58" s="16"/>
      <c r="L58" s="21" t="s">
        <v>2185</v>
      </c>
      <c r="M58" s="457">
        <f>IF(FSLaborCost16&gt;0,FSLaborCost16,0)</f>
        <v>0</v>
      </c>
      <c r="N58" s="21" t="s">
        <v>2443</v>
      </c>
      <c r="O58" s="457">
        <f>IF(FSPressCost16&gt;0,FSPressCost16,0)</f>
        <v>0</v>
      </c>
    </row>
    <row r="59" spans="1:16" s="17" customFormat="1" ht="13.9" hidden="1" customHeight="1">
      <c r="A59" s="19"/>
      <c r="B59" s="30"/>
      <c r="C59" s="30"/>
      <c r="F59" s="412"/>
      <c r="G59" s="412"/>
      <c r="H59" s="16"/>
      <c r="I59" s="430" t="s">
        <v>6307</v>
      </c>
      <c r="J59" s="457">
        <f>IF(FSToolMaintCost26&gt;0,FSToolMaintCost26,0)</f>
        <v>0</v>
      </c>
      <c r="K59" s="16"/>
      <c r="L59" s="21" t="s">
        <v>2442</v>
      </c>
      <c r="M59" s="457">
        <f>IF(FSLaborCost26&gt;0,FSLaborCost26,0)</f>
        <v>0</v>
      </c>
      <c r="N59" s="21" t="s">
        <v>3827</v>
      </c>
      <c r="O59" s="457">
        <f>IF(FSPressCost26&gt;0,FSPressCost26,0)</f>
        <v>0</v>
      </c>
      <c r="P59" s="414"/>
    </row>
    <row r="60" spans="1:16" s="17" customFormat="1" ht="13.9" hidden="1" customHeight="1" thickBot="1">
      <c r="A60" s="19"/>
      <c r="B60" s="30"/>
      <c r="C60" s="30"/>
      <c r="F60" s="412"/>
      <c r="G60" s="416"/>
      <c r="H60" s="413"/>
      <c r="I60" s="414"/>
      <c r="J60" s="414"/>
      <c r="K60" s="415"/>
      <c r="L60" s="414"/>
      <c r="M60" s="414"/>
      <c r="N60" s="413"/>
      <c r="O60" s="414"/>
      <c r="P60" s="414"/>
    </row>
    <row r="61" spans="1:16" s="17" customFormat="1" ht="13.9" hidden="1" customHeight="1" thickBot="1">
      <c r="A61" s="19" t="s">
        <v>188</v>
      </c>
      <c r="B61" s="1197"/>
      <c r="C61" s="1197">
        <v>1</v>
      </c>
      <c r="D61" s="1209">
        <f>IF(AND(Press5&gt;0,QEPressScr7&lt;&gt;2),CavityScr1, 0)</f>
        <v>0</v>
      </c>
      <c r="E61" s="1209">
        <f>IF(AND(Press5&gt;0,QEPressScr7&lt;&gt;1),CavityScr2, 0)</f>
        <v>0</v>
      </c>
      <c r="F61" s="467"/>
      <c r="G61" s="1215"/>
      <c r="H61" s="1216">
        <v>1</v>
      </c>
      <c r="I61" s="465"/>
      <c r="J61" s="1218"/>
      <c r="K61" s="466"/>
      <c r="L61" s="1219"/>
      <c r="M61" s="467"/>
      <c r="N61" s="1219"/>
      <c r="O61" s="468">
        <f>IF(QECycle7&gt;0,FSPCSScr1D,0)</f>
        <v>0</v>
      </c>
      <c r="P61" s="456">
        <f>IF(QECycle7&gt;0,FSPCSScr2D,0)</f>
        <v>0</v>
      </c>
    </row>
    <row r="62" spans="1:16" s="17" customFormat="1" ht="13.9" hidden="1" customHeight="1" thickBot="1">
      <c r="A62" s="19" t="s">
        <v>3519</v>
      </c>
      <c r="B62" s="1229"/>
      <c r="C62" s="1230"/>
      <c r="D62" s="1231"/>
      <c r="F62" s="412"/>
      <c r="G62" s="412"/>
      <c r="H62" s="16"/>
      <c r="I62" s="430" t="s">
        <v>6306</v>
      </c>
      <c r="J62" s="464">
        <f>IF(FSToolMaintCost17&gt;0,FSToolMaintCost17,0)</f>
        <v>0</v>
      </c>
      <c r="K62" s="16"/>
      <c r="L62" s="21" t="s">
        <v>2185</v>
      </c>
      <c r="M62" s="457">
        <f>IF(FSLaborCost17&gt;0,FSLaborCost17,0)</f>
        <v>0</v>
      </c>
      <c r="N62" s="21" t="s">
        <v>2443</v>
      </c>
      <c r="O62" s="464">
        <f>IF(FSPressCost17&gt;0,FSPressCost17,0)</f>
        <v>0</v>
      </c>
    </row>
    <row r="63" spans="1:16" s="17" customFormat="1" ht="13.9" hidden="1" customHeight="1">
      <c r="A63" s="19"/>
      <c r="B63" s="30"/>
      <c r="C63" s="30"/>
      <c r="F63" s="412"/>
      <c r="G63" s="412"/>
      <c r="H63" s="16"/>
      <c r="I63" s="430" t="s">
        <v>6307</v>
      </c>
      <c r="J63" s="457">
        <f>IF(FSToolMaintCost27&gt;0,FSToolMaintCost27,0)</f>
        <v>0</v>
      </c>
      <c r="K63" s="16"/>
      <c r="L63" s="21" t="s">
        <v>2442</v>
      </c>
      <c r="M63" s="457">
        <f>IF(FSLaborCost27&gt;0,FSLaborCost27,0)</f>
        <v>0</v>
      </c>
      <c r="N63" s="21" t="s">
        <v>3827</v>
      </c>
      <c r="O63" s="457">
        <f>IF(FSPressCost27&gt;0,FSPressCost27,0)</f>
        <v>0</v>
      </c>
      <c r="P63" s="414"/>
    </row>
    <row r="64" spans="1:16" s="17" customFormat="1" ht="13.9" hidden="1" customHeight="1" thickBot="1">
      <c r="A64" s="19"/>
      <c r="B64" s="30"/>
      <c r="C64" s="30"/>
      <c r="F64" s="412"/>
      <c r="G64" s="416"/>
      <c r="H64" s="413"/>
      <c r="I64" s="414"/>
      <c r="J64" s="414"/>
      <c r="K64" s="415"/>
      <c r="L64" s="414"/>
      <c r="M64" s="414"/>
      <c r="N64" s="413"/>
      <c r="O64" s="414"/>
      <c r="P64" s="414"/>
    </row>
    <row r="65" spans="1:16" s="17" customFormat="1" ht="13.9" hidden="1" customHeight="1" thickBot="1">
      <c r="A65" s="19" t="s">
        <v>2445</v>
      </c>
      <c r="B65" s="1197"/>
      <c r="C65" s="1197">
        <v>1</v>
      </c>
      <c r="D65" s="1209">
        <f>IF(AND(Press9&gt;0,QEPressScr9&lt;&gt;2),CavityScr1, 0)</f>
        <v>0</v>
      </c>
      <c r="E65" s="1209">
        <f>IF(AND(Press9&gt;0,QEPressScr9&lt;&gt;1),CavityScr2, 0)</f>
        <v>0</v>
      </c>
      <c r="F65" s="467"/>
      <c r="G65" s="1217"/>
      <c r="H65" s="1216">
        <v>1</v>
      </c>
      <c r="I65" s="465"/>
      <c r="J65" s="1218"/>
      <c r="K65" s="466"/>
      <c r="L65" s="1219"/>
      <c r="M65" s="467"/>
      <c r="N65" s="1219"/>
      <c r="O65" s="468">
        <f>IF(QECycle9&gt;0,FSPCSScr1E,0)</f>
        <v>0</v>
      </c>
      <c r="P65" s="456">
        <f>IF(QECycle9&gt;0,FSPCSScr2E,0)</f>
        <v>0</v>
      </c>
    </row>
    <row r="66" spans="1:16" s="17" customFormat="1" ht="13.9" hidden="1" customHeight="1" thickBot="1">
      <c r="A66" s="19" t="s">
        <v>3519</v>
      </c>
      <c r="B66" s="1229"/>
      <c r="C66" s="1230"/>
      <c r="D66" s="1231"/>
      <c r="F66" s="412"/>
      <c r="G66" s="412"/>
      <c r="H66" s="16"/>
      <c r="I66" s="430" t="s">
        <v>6306</v>
      </c>
      <c r="J66" s="464">
        <f>IF(FSToolMaintCost17A&gt;0,FSToolMaintCost17A,0)</f>
        <v>0</v>
      </c>
      <c r="K66" s="16"/>
      <c r="L66" s="21" t="s">
        <v>2185</v>
      </c>
      <c r="M66" s="457">
        <f>IF(FSLaborCost17A&gt;0,FSLaborCost17A,0)</f>
        <v>0</v>
      </c>
      <c r="N66" s="21" t="s">
        <v>2443</v>
      </c>
      <c r="O66" s="464">
        <f>IF(FSPressCost17A&gt;0,FSPressCost17A,0)</f>
        <v>0</v>
      </c>
    </row>
    <row r="67" spans="1:16" s="17" customFormat="1" ht="13.9" hidden="1" customHeight="1">
      <c r="A67" s="19"/>
      <c r="B67" s="30"/>
      <c r="C67" s="30"/>
      <c r="F67" s="412"/>
      <c r="G67" s="412"/>
      <c r="H67" s="16"/>
      <c r="I67" s="430" t="s">
        <v>6307</v>
      </c>
      <c r="J67" s="457">
        <f>IF(FSToolMaintCost27A&gt;0,FSToolMaintCost27A,0)</f>
        <v>0</v>
      </c>
      <c r="K67" s="16"/>
      <c r="L67" s="21" t="s">
        <v>2442</v>
      </c>
      <c r="M67" s="457">
        <f>IF(FSLaborCost27A&gt;0,FSLaborCost27A,0)</f>
        <v>0</v>
      </c>
      <c r="N67" s="21" t="s">
        <v>3827</v>
      </c>
      <c r="O67" s="457">
        <f>IF(FSPressCost27A&gt;0,FSPressCost27A,0)</f>
        <v>0</v>
      </c>
      <c r="P67" s="414"/>
    </row>
    <row r="68" spans="1:16" s="17" customFormat="1" ht="13.9" hidden="1" customHeight="1" thickBot="1">
      <c r="A68" s="19"/>
      <c r="B68" s="30"/>
      <c r="C68" s="30"/>
      <c r="F68" s="412"/>
      <c r="G68" s="412"/>
      <c r="H68" s="16"/>
      <c r="I68" s="430"/>
      <c r="J68" s="414"/>
      <c r="K68" s="16"/>
      <c r="L68" s="21"/>
      <c r="M68" s="414"/>
      <c r="N68" s="21"/>
      <c r="O68" s="414"/>
      <c r="P68" s="414"/>
    </row>
    <row r="69" spans="1:16" s="17" customFormat="1" ht="13.9" hidden="1" customHeight="1" thickBot="1">
      <c r="A69" s="19" t="s">
        <v>4793</v>
      </c>
      <c r="B69" s="1197"/>
      <c r="C69" s="1197">
        <v>1</v>
      </c>
      <c r="D69" s="1209">
        <f>IF(AND(Press10&gt;0,QEPressScr10&lt;&gt;2),CavityScr1, 0)</f>
        <v>0</v>
      </c>
      <c r="E69" s="1209">
        <f>IF(AND(Press10&gt;0,QEPressScr10&lt;&gt;1),CavityScr2, 0)</f>
        <v>0</v>
      </c>
      <c r="F69" s="467"/>
      <c r="G69" s="1217"/>
      <c r="H69" s="1216">
        <v>1</v>
      </c>
      <c r="I69" s="465"/>
      <c r="J69" s="1218"/>
      <c r="K69" s="466"/>
      <c r="L69" s="1219"/>
      <c r="M69" s="467"/>
      <c r="N69" s="1219"/>
      <c r="O69" s="468">
        <f>IF(QECycle10&gt;0,FSPCSScr1F,0)</f>
        <v>0</v>
      </c>
      <c r="P69" s="456">
        <f>IF(QECycle10&gt;0,FSPCSScr2F,0)</f>
        <v>0</v>
      </c>
    </row>
    <row r="70" spans="1:16" s="17" customFormat="1" ht="13.9" hidden="1" customHeight="1" thickBot="1">
      <c r="A70" s="19" t="s">
        <v>3519</v>
      </c>
      <c r="B70" s="1229"/>
      <c r="C70" s="1230"/>
      <c r="D70" s="1231"/>
      <c r="F70" s="412"/>
      <c r="G70" s="412"/>
      <c r="H70" s="16"/>
      <c r="I70" s="430" t="s">
        <v>6306</v>
      </c>
      <c r="J70" s="464">
        <f>IF(FSToolMaintCost17B&gt;0,FSToolMaintCost17B,0)</f>
        <v>0</v>
      </c>
      <c r="K70" s="16"/>
      <c r="L70" s="21" t="s">
        <v>2185</v>
      </c>
      <c r="M70" s="457">
        <f>IF(FSLaborCost17B&gt;0,FSLaborCost17B,0)</f>
        <v>0</v>
      </c>
      <c r="N70" s="21" t="s">
        <v>2443</v>
      </c>
      <c r="O70" s="464">
        <f>IF(FSPressCost17B&gt;0,FSPressCost17B,0)</f>
        <v>0</v>
      </c>
    </row>
    <row r="71" spans="1:16" s="17" customFormat="1" ht="13.9" hidden="1" customHeight="1">
      <c r="A71" s="19"/>
      <c r="B71" s="30"/>
      <c r="C71" s="30"/>
      <c r="F71" s="412"/>
      <c r="G71" s="412"/>
      <c r="H71" s="16"/>
      <c r="I71" s="430" t="s">
        <v>6307</v>
      </c>
      <c r="J71" s="457">
        <f>IF(FSToolMaintCost27B&gt;0,FSToolMaintCost27B,0)</f>
        <v>0</v>
      </c>
      <c r="K71" s="16"/>
      <c r="L71" s="21" t="s">
        <v>2442</v>
      </c>
      <c r="M71" s="457">
        <f>IF(FSLaborCost27B&gt;0,FSLaborCost27B,0)</f>
        <v>0</v>
      </c>
      <c r="N71" s="21" t="s">
        <v>3827</v>
      </c>
      <c r="O71" s="457">
        <f>IF(FSPressCost27B&gt;0,FSPressCost27B,0)</f>
        <v>0</v>
      </c>
      <c r="P71" s="414"/>
    </row>
    <row r="72" spans="1:16" s="17" customFormat="1" ht="13.9" hidden="1" customHeight="1" thickBot="1">
      <c r="A72" s="19"/>
      <c r="B72" s="30"/>
      <c r="C72" s="30"/>
      <c r="F72" s="412"/>
      <c r="G72" s="416"/>
      <c r="H72" s="413"/>
      <c r="I72" s="414"/>
      <c r="J72" s="414"/>
      <c r="K72" s="415"/>
      <c r="L72" s="414"/>
      <c r="M72" s="414"/>
      <c r="N72" s="413"/>
      <c r="O72" s="414"/>
      <c r="P72" s="414"/>
    </row>
    <row r="73" spans="1:16" ht="13.9" hidden="1" customHeight="1" thickBot="1">
      <c r="A73" s="19" t="s">
        <v>6334</v>
      </c>
      <c r="B73" s="1197"/>
      <c r="C73" s="1197">
        <v>1</v>
      </c>
      <c r="D73" s="1209">
        <f>IF(AND(Press6&gt;0,QEPressScrFour&lt;&gt;2),CavityScr1, 0)</f>
        <v>0</v>
      </c>
      <c r="E73" s="1209">
        <f>IF(AND(Press6&gt;0,QEPressScrFour&lt;&gt;1),CavityScr2, 0)</f>
        <v>0</v>
      </c>
      <c r="F73" s="467"/>
      <c r="G73" s="1217"/>
      <c r="H73" s="1216">
        <v>1</v>
      </c>
      <c r="I73" s="465"/>
      <c r="J73" s="1218"/>
      <c r="K73" s="467"/>
      <c r="L73" s="1219"/>
      <c r="M73" s="467"/>
      <c r="N73" s="1219"/>
      <c r="O73" s="468">
        <f>IF(QECycle4&gt;0,FSPCSScr1G,0)</f>
        <v>0</v>
      </c>
      <c r="P73" s="456">
        <f>IF(QECycle4&gt;0,FSPCSScr2G,0)</f>
        <v>0</v>
      </c>
    </row>
    <row r="74" spans="1:16" ht="13.9" hidden="1" customHeight="1" thickBot="1">
      <c r="A74" s="19" t="s">
        <v>3519</v>
      </c>
      <c r="B74" s="1229"/>
      <c r="C74" s="1230"/>
      <c r="D74" s="1231"/>
      <c r="F74" s="412"/>
      <c r="G74" s="412"/>
      <c r="I74" s="430" t="s">
        <v>6306</v>
      </c>
      <c r="J74" s="464">
        <f>IF(FSToolMaintCost14&gt;0,FSToolMaintCost14,0)</f>
        <v>0</v>
      </c>
      <c r="L74" s="21" t="s">
        <v>2185</v>
      </c>
      <c r="M74" s="457">
        <f>IF(FSLaborCost14&gt;0,FSLaborCost14,0)</f>
        <v>0</v>
      </c>
      <c r="N74" s="21" t="s">
        <v>2443</v>
      </c>
      <c r="O74" s="464">
        <f>IF(FSPressCost14&gt;0,FSPressCost14,0)</f>
        <v>0</v>
      </c>
    </row>
    <row r="75" spans="1:16" ht="13.9" hidden="1" customHeight="1">
      <c r="B75" s="30"/>
      <c r="C75" s="30"/>
      <c r="F75" s="412"/>
      <c r="G75" s="412"/>
      <c r="I75" s="430" t="s">
        <v>6307</v>
      </c>
      <c r="J75" s="457">
        <f>IF(FSToolMaintCost24&gt;0,FSToolMaintCost24,0)</f>
        <v>0</v>
      </c>
      <c r="L75" s="21" t="s">
        <v>2442</v>
      </c>
      <c r="M75" s="457">
        <f>IF(FSLaborCost24&gt;0,FSLaborCost24,0)</f>
        <v>0</v>
      </c>
      <c r="N75" s="21" t="s">
        <v>3827</v>
      </c>
      <c r="O75" s="457">
        <f>IF(FSPressCost24&gt;0,FSPressCost24,0)</f>
        <v>0</v>
      </c>
      <c r="P75" s="414"/>
    </row>
    <row r="76" spans="1:16" ht="13.9" hidden="1" customHeight="1" thickBot="1">
      <c r="B76" s="30"/>
      <c r="C76" s="30"/>
      <c r="F76" s="412"/>
      <c r="G76" s="416"/>
      <c r="H76" s="413"/>
      <c r="I76" s="414"/>
      <c r="J76" s="414"/>
      <c r="K76" s="415"/>
      <c r="L76" s="414"/>
      <c r="M76" s="414"/>
      <c r="N76" s="413"/>
      <c r="O76" s="414"/>
      <c r="P76" s="414"/>
    </row>
    <row r="77" spans="1:16" ht="13.9" hidden="1" customHeight="1" thickBot="1">
      <c r="A77" s="19" t="s">
        <v>6335</v>
      </c>
      <c r="B77" s="1197"/>
      <c r="C77" s="1197">
        <v>1</v>
      </c>
      <c r="D77" s="1209">
        <f>IF(AND(Press7&gt;0,QEPressScrFive&lt;&gt;2),CavityScr1, 0)</f>
        <v>0</v>
      </c>
      <c r="E77" s="1209">
        <f>IF(AND(Press7&gt;0,QEPressScrFive&lt;&gt;1),CavityScr2, 0)</f>
        <v>0</v>
      </c>
      <c r="F77" s="467"/>
      <c r="G77" s="1217"/>
      <c r="H77" s="1216">
        <v>1</v>
      </c>
      <c r="I77" s="465"/>
      <c r="J77" s="1218"/>
      <c r="K77" s="467"/>
      <c r="L77" s="1219"/>
      <c r="M77" s="467"/>
      <c r="N77" s="1219"/>
      <c r="O77" s="468">
        <f>IF(QECycle5&gt;0,FSPCSScr1H,0)</f>
        <v>0</v>
      </c>
      <c r="P77" s="456">
        <f>IF(QECycle5&gt;0,FSPCSScr2H,0)</f>
        <v>0</v>
      </c>
    </row>
    <row r="78" spans="1:16" ht="13.9" hidden="1" customHeight="1" thickBot="1">
      <c r="A78" s="19" t="s">
        <v>3519</v>
      </c>
      <c r="B78" s="1229"/>
      <c r="C78" s="1230"/>
      <c r="D78" s="1231"/>
      <c r="F78" s="412"/>
      <c r="G78" s="412"/>
      <c r="I78" s="430" t="s">
        <v>6306</v>
      </c>
      <c r="J78" s="464">
        <f>IF(FSToolMaintCost15&gt;0,FSToolMaintCost15,0)</f>
        <v>0</v>
      </c>
      <c r="L78" s="21" t="s">
        <v>2185</v>
      </c>
      <c r="M78" s="457">
        <f>IF(FSLaborCost15&gt;0,FSLaborCost15,0)</f>
        <v>0</v>
      </c>
      <c r="N78" s="21" t="s">
        <v>2443</v>
      </c>
      <c r="O78" s="464">
        <f>IF(FSPressCost15&gt;0,FSPressCost15,0)</f>
        <v>0</v>
      </c>
    </row>
    <row r="79" spans="1:16" ht="13.9" hidden="1" customHeight="1">
      <c r="B79" s="30"/>
      <c r="C79" s="30"/>
      <c r="F79" s="412"/>
      <c r="G79" s="412"/>
      <c r="I79" s="430" t="s">
        <v>6307</v>
      </c>
      <c r="J79" s="457">
        <f>IF(FSToolMaintCost25&gt;0,FSToolMaintCost25,0)</f>
        <v>0</v>
      </c>
      <c r="L79" s="21" t="s">
        <v>2442</v>
      </c>
      <c r="M79" s="457">
        <f>IF(FSLaborCost25&gt;0,FSLaborCost25,0)</f>
        <v>0</v>
      </c>
      <c r="N79" s="21" t="s">
        <v>3827</v>
      </c>
      <c r="O79" s="457">
        <f>IF(FSPressCost25&gt;0,FSPressCost25,0)</f>
        <v>0</v>
      </c>
      <c r="P79" s="414"/>
    </row>
    <row r="80" spans="1:16" ht="13.9" hidden="1" customHeight="1" thickBot="1">
      <c r="B80" s="30"/>
      <c r="C80" s="30"/>
      <c r="F80" s="412"/>
      <c r="G80" s="416"/>
      <c r="H80" s="413"/>
      <c r="I80" s="414"/>
      <c r="J80" s="414"/>
      <c r="K80" s="415"/>
      <c r="L80" s="414"/>
      <c r="M80" s="414"/>
      <c r="N80" s="413"/>
      <c r="O80" s="414"/>
      <c r="P80" s="414"/>
    </row>
    <row r="81" spans="1:16" ht="13.9" hidden="1" customHeight="1" thickBot="1">
      <c r="A81" s="19" t="s">
        <v>6336</v>
      </c>
      <c r="B81" s="1197"/>
      <c r="C81" s="1197">
        <v>1</v>
      </c>
      <c r="D81" s="1209">
        <f>IF(AND(Press8&gt;0,QEPressScr8&lt;&gt;2),CavityScr1, 0)</f>
        <v>0</v>
      </c>
      <c r="E81" s="1209">
        <f>IF(AND(Press8&gt;0,QEPressScr8&lt;&gt;1),CavityScr2, 0)</f>
        <v>0</v>
      </c>
      <c r="F81" s="467"/>
      <c r="G81" s="1217"/>
      <c r="H81" s="1216">
        <v>1</v>
      </c>
      <c r="I81" s="465"/>
      <c r="J81" s="1218"/>
      <c r="K81" s="467"/>
      <c r="L81" s="1219"/>
      <c r="M81" s="467"/>
      <c r="N81" s="1219"/>
      <c r="O81" s="468">
        <f>IF(QECycle8&gt;0,FSPCSScr1I,0)</f>
        <v>0</v>
      </c>
      <c r="P81" s="456">
        <f>IF(QECycle8&gt;0,FSPCSScr2I,0)</f>
        <v>0</v>
      </c>
    </row>
    <row r="82" spans="1:16" ht="13.9" hidden="1" customHeight="1" thickBot="1">
      <c r="A82" s="19" t="s">
        <v>3519</v>
      </c>
      <c r="B82" s="1229"/>
      <c r="C82" s="1230"/>
      <c r="D82" s="1231"/>
      <c r="F82" s="412"/>
      <c r="G82" s="412"/>
      <c r="I82" s="430" t="s">
        <v>6306</v>
      </c>
      <c r="J82" s="464">
        <f>IF(FSToolMaintCost18&gt;0,FSToolMaintCost18,0)</f>
        <v>0</v>
      </c>
      <c r="L82" s="21" t="s">
        <v>2185</v>
      </c>
      <c r="M82" s="457">
        <f>IF(FSLaborCost18&gt;0,FSLaborCost18,0)</f>
        <v>0</v>
      </c>
      <c r="N82" s="21" t="s">
        <v>2443</v>
      </c>
      <c r="O82" s="464">
        <f>IF(FSPressCost18&gt;0,FSPressCost18,0)</f>
        <v>0</v>
      </c>
    </row>
    <row r="83" spans="1:16" ht="13.9" hidden="1" customHeight="1">
      <c r="B83" s="30"/>
      <c r="C83" s="30"/>
      <c r="F83" s="412"/>
      <c r="G83" s="412"/>
      <c r="I83" s="430" t="s">
        <v>6307</v>
      </c>
      <c r="J83" s="457">
        <f>IF(FSToolMaintCost28&gt;0,FSToolMaintCost28,0)</f>
        <v>0</v>
      </c>
      <c r="L83" s="21" t="s">
        <v>2442</v>
      </c>
      <c r="M83" s="457">
        <f>IF(FSLaborCost28&gt;0,FSLaborCost28,0)</f>
        <v>0</v>
      </c>
      <c r="N83" s="21" t="s">
        <v>3827</v>
      </c>
      <c r="O83" s="457">
        <f>IF(FSPressCost28&gt;0,FSPressCost28,0)</f>
        <v>0</v>
      </c>
      <c r="P83" s="414"/>
    </row>
    <row r="84" spans="1:16" ht="13.9" hidden="1" customHeight="1" thickBot="1">
      <c r="B84" s="30"/>
      <c r="C84" s="30"/>
      <c r="D84" s="412"/>
      <c r="E84" s="416"/>
      <c r="F84" s="413"/>
      <c r="G84" s="414"/>
      <c r="H84" s="414"/>
      <c r="I84" s="415"/>
      <c r="J84" s="414"/>
      <c r="K84" s="414"/>
      <c r="L84" s="413"/>
      <c r="M84" s="414"/>
      <c r="N84" s="414"/>
      <c r="O84" s="411"/>
      <c r="P84" s="411"/>
    </row>
    <row r="85" spans="1:16" ht="13.9" customHeight="1" thickBot="1">
      <c r="A85" s="24" t="s">
        <v>5243</v>
      </c>
      <c r="B85" s="1214">
        <v>1.333</v>
      </c>
      <c r="C85" s="1214">
        <f>QuoteEntryMarkup1</f>
        <v>1.333</v>
      </c>
      <c r="D85" s="26"/>
      <c r="E85" s="25"/>
    </row>
    <row r="86" spans="1:16" ht="13.9" customHeight="1" thickBot="1">
      <c r="A86" s="19" t="s">
        <v>20</v>
      </c>
      <c r="B86" s="1213">
        <v>0.98</v>
      </c>
      <c r="C86" s="1213">
        <f>QEPressYield</f>
        <v>0.98</v>
      </c>
      <c r="E86" s="187"/>
      <c r="F86" s="187"/>
      <c r="I86" s="17"/>
      <c r="K86" s="417" t="s">
        <v>2614</v>
      </c>
      <c r="L86" s="17" t="s">
        <v>6237</v>
      </c>
      <c r="M86" s="17" t="s">
        <v>6238</v>
      </c>
    </row>
    <row r="87" spans="1:16" ht="13.9" customHeight="1">
      <c r="K87" s="19" t="s">
        <v>5188</v>
      </c>
      <c r="L87" s="592">
        <f>IF(CavityScr1&gt;0, QualReset1, 0)</f>
        <v>0</v>
      </c>
      <c r="M87" s="592">
        <f>IF(CavityScr2&gt;0, QualReset2, 0)</f>
        <v>0</v>
      </c>
    </row>
    <row r="88" spans="1:16" ht="13.9" customHeight="1" thickBot="1">
      <c r="A88" s="417" t="s">
        <v>3658</v>
      </c>
      <c r="B88" s="17" t="s">
        <v>6237</v>
      </c>
      <c r="C88" s="17" t="s">
        <v>6238</v>
      </c>
      <c r="D88" s="417" t="s">
        <v>4126</v>
      </c>
      <c r="E88" s="17" t="s">
        <v>6237</v>
      </c>
      <c r="F88" s="17" t="s">
        <v>6238</v>
      </c>
      <c r="H88" s="417" t="s">
        <v>5673</v>
      </c>
      <c r="K88" s="19" t="s">
        <v>5189</v>
      </c>
      <c r="L88" s="427">
        <f>IF(CavityScr1&gt;0, QualReset, 0)</f>
        <v>0</v>
      </c>
      <c r="M88" s="427">
        <f>IF(CavityScr2&gt;0, QualResetA, 0)</f>
        <v>0</v>
      </c>
    </row>
    <row r="89" spans="1:16" ht="13.9" customHeight="1" thickBot="1">
      <c r="A89" s="22" t="s">
        <v>5475</v>
      </c>
      <c r="B89" s="1220"/>
      <c r="C89" s="1220"/>
      <c r="E89" s="1222">
        <v>0</v>
      </c>
      <c r="F89" s="1222">
        <f>IF(CavityScr2&gt;0,SpecialPackaging,0)</f>
        <v>0</v>
      </c>
      <c r="H89" s="19" t="s">
        <v>5671</v>
      </c>
      <c r="I89" s="454"/>
      <c r="K89" s="19" t="s">
        <v>4432</v>
      </c>
      <c r="L89" s="1223">
        <f xml:space="preserve"> IF(CavityScr1&gt;0, ToolPrice1, 0)</f>
        <v>0</v>
      </c>
      <c r="M89" s="1223">
        <f xml:space="preserve"> IF(CavityScr2&gt;0, ToolPrice2, 0)</f>
        <v>0</v>
      </c>
    </row>
    <row r="90" spans="1:16" s="28" customFormat="1" ht="13.5" thickBot="1">
      <c r="A90" s="186" t="s">
        <v>3630</v>
      </c>
      <c r="B90" s="1175">
        <f>IF(QEAutomationCost&gt;0,(QEAutomationCost/VSAutomFactor)*AutoMaintRate,  0)</f>
        <v>0</v>
      </c>
      <c r="C90" s="1175">
        <f>IF(QEAutomationCost2&gt;0,(QEAutomationCost2/VSAutomFactor)*AutoMaintRate,  0)</f>
        <v>0</v>
      </c>
      <c r="D90" s="16"/>
      <c r="E90" s="469">
        <f>IF(SpecialPackaging&gt;0,VLOOKUP(SpecialPackaging,PSPackArray,2),0)</f>
        <v>0</v>
      </c>
      <c r="F90" s="469">
        <f>IF(SpecialPackaging1&gt;0,VLOOKUP(SpecialPackaging,PSPackArray,2),0)</f>
        <v>0</v>
      </c>
      <c r="H90" s="19" t="s">
        <v>5672</v>
      </c>
      <c r="I90" s="454"/>
      <c r="K90" s="19" t="s">
        <v>100</v>
      </c>
      <c r="L90" s="1119">
        <f>IF(CavityScr1&gt;0, CSAutoCost, 0)</f>
        <v>0</v>
      </c>
      <c r="M90" s="1119">
        <f>IF(CavityScr2&gt;0, CSAutoCost, 0)</f>
        <v>0</v>
      </c>
      <c r="N90" s="16"/>
    </row>
    <row r="91" spans="1:16" s="28" customFormat="1" ht="13.9" customHeight="1" thickBot="1">
      <c r="A91" s="22" t="s">
        <v>3631</v>
      </c>
      <c r="B91" s="1221" t="s">
        <v>864</v>
      </c>
      <c r="C91" s="1221" t="s">
        <v>864</v>
      </c>
      <c r="D91" s="186" t="s">
        <v>4053</v>
      </c>
      <c r="E91" s="565">
        <f>FSTotBurriedPack1</f>
        <v>0.63775510204081631</v>
      </c>
      <c r="F91" s="565">
        <f>FSTotBurriedPack2</f>
        <v>0</v>
      </c>
      <c r="H91" s="186" t="s">
        <v>4085</v>
      </c>
      <c r="I91" s="455">
        <v>1</v>
      </c>
      <c r="K91" s="19" t="s">
        <v>101</v>
      </c>
      <c r="L91" s="1223">
        <f xml:space="preserve"> IF(CavityScr1&gt;0, CSAutoPrice, 0)</f>
        <v>0</v>
      </c>
      <c r="M91" s="1223">
        <f xml:space="preserve"> IF(CavityScr2&gt;0, CSAutoPrice, 0)</f>
        <v>0</v>
      </c>
    </row>
    <row r="92" spans="1:16" s="28" customFormat="1" ht="13.9" customHeight="1" thickBot="1">
      <c r="B92" s="186"/>
      <c r="C92" s="446"/>
      <c r="K92" s="19" t="s">
        <v>4431</v>
      </c>
      <c r="L92" s="1165">
        <f xml:space="preserve"> IF(CavityScr1&gt;0,  QEEstMoldPrice1+QEAutoPrice1, 0)</f>
        <v>0</v>
      </c>
      <c r="M92" s="1165">
        <f xml:space="preserve"> IF(CavityScr2&gt;0,  QEEstMoldPrice2+QEAutoPrice2, 0)</f>
        <v>0</v>
      </c>
      <c r="N92" s="16"/>
    </row>
    <row r="93" spans="1:16" s="28" customFormat="1" ht="13.9" customHeight="1" thickBot="1">
      <c r="B93" s="186"/>
      <c r="C93" s="446"/>
      <c r="K93" s="20" t="s">
        <v>1939</v>
      </c>
      <c r="L93" s="1224">
        <f xml:space="preserve"> IF(CavityScr1&gt;0,  ToolPriceLT1,  0)</f>
        <v>0</v>
      </c>
      <c r="M93" s="1224">
        <f xml:space="preserve"> IF(CavityScr2&gt;0,  ToolPriceLT2,  0)</f>
        <v>0</v>
      </c>
      <c r="N93" s="16"/>
    </row>
    <row r="94" spans="1:16" s="28" customFormat="1" ht="13.9" customHeight="1">
      <c r="B94" s="186"/>
      <c r="C94" s="446"/>
      <c r="K94" s="22" t="s">
        <v>4472</v>
      </c>
      <c r="L94" s="717"/>
      <c r="M94" s="717"/>
      <c r="N94" s="16"/>
      <c r="P94" s="15"/>
    </row>
    <row r="95" spans="1:16" s="28" customFormat="1" ht="13.9" customHeight="1">
      <c r="A95" s="239"/>
      <c r="B95" s="186"/>
      <c r="C95" s="446"/>
      <c r="K95" s="20"/>
      <c r="L95" s="1138"/>
      <c r="M95" s="1138"/>
      <c r="N95" s="16"/>
    </row>
    <row r="96" spans="1:16" s="15" customFormat="1" ht="13.9" customHeight="1">
      <c r="A96" s="239" t="s">
        <v>3657</v>
      </c>
      <c r="B96" s="239"/>
      <c r="C96" s="28"/>
      <c r="E96" s="29"/>
      <c r="F96" s="29"/>
      <c r="G96" s="29"/>
      <c r="H96" s="239" t="s">
        <v>1651</v>
      </c>
      <c r="I96" s="29"/>
      <c r="N96" s="28"/>
    </row>
    <row r="97" spans="1:13" s="15" customFormat="1" ht="13.9" customHeight="1">
      <c r="A97" s="337" t="s">
        <v>2028</v>
      </c>
      <c r="B97" s="1139">
        <f>IF(CavityScr1&gt;0,Quantity1,"")</f>
        <v>480000</v>
      </c>
      <c r="C97" s="1139">
        <f>IF(CavityScr1&gt;0,Quantity2,"")</f>
        <v>0</v>
      </c>
      <c r="D97" s="1139">
        <f>IF(CavityScr1&gt;0,Quantity3,"")</f>
        <v>0</v>
      </c>
      <c r="E97" s="1139">
        <f>IF(CavityScr1&gt;0,Quantity4,"")</f>
        <v>0</v>
      </c>
      <c r="F97" s="1139">
        <f>IF(CavityScr1&gt;0,Quantity5,"")</f>
        <v>0</v>
      </c>
      <c r="G97" s="1140"/>
      <c r="H97" s="1139" t="str">
        <f>IF(CavityScr2&gt;0,Quantity6,"")</f>
        <v/>
      </c>
      <c r="I97" s="1139" t="str">
        <f>IF(CavityScr2&gt;0,Quantity7,"")</f>
        <v/>
      </c>
      <c r="J97" s="1139" t="str">
        <f>IF(CavityScr2&gt;0,Quantity8,"")</f>
        <v/>
      </c>
      <c r="K97" s="1139" t="str">
        <f>IF(CavityScr2&gt;0,Quantity9,"")</f>
        <v/>
      </c>
      <c r="L97" s="1139" t="str">
        <f>IF(CavityScr2&gt;0,Quantity10,"")</f>
        <v/>
      </c>
      <c r="M97" s="1140"/>
    </row>
    <row r="98" spans="1:13" ht="13.9" customHeight="1">
      <c r="A98" s="19" t="s">
        <v>6352</v>
      </c>
      <c r="B98" s="1126">
        <f>IF(CavityScr1&gt;0,FSTotRes1,"")</f>
        <v>1145.25</v>
      </c>
      <c r="C98" s="1126">
        <f>IF(CavityScr1&gt;0,FSTotRes2,"")</f>
        <v>0</v>
      </c>
      <c r="D98" s="1126">
        <f>IF(CavityScr1&gt;0,FSTotRes3,"")</f>
        <v>0</v>
      </c>
      <c r="E98" s="1126">
        <f>IF(CavityScr1&gt;0,FSTotRes4,"")</f>
        <v>0</v>
      </c>
      <c r="F98" s="1126">
        <f>IF(CavityScr1&gt;0,FSTotRes5,"")</f>
        <v>0</v>
      </c>
      <c r="H98" s="1126" t="str">
        <f>IF(CavityScr2&gt;0,FSTotRes6,"")</f>
        <v/>
      </c>
      <c r="I98" s="1126" t="str">
        <f>IF(CavityScr2&gt;0,FSTotRes7,"")</f>
        <v/>
      </c>
      <c r="J98" s="1126" t="str">
        <f>IF(CavityScr2&gt;0,FSTotRes8,"")</f>
        <v/>
      </c>
      <c r="K98" s="1126" t="str">
        <f>IF(CavityScr2&gt;0,FSTotRes9,"")</f>
        <v/>
      </c>
      <c r="L98" s="1126" t="str">
        <f>IF(CavityScr2&gt;0,FSTotRes10,"")</f>
        <v/>
      </c>
    </row>
    <row r="99" spans="1:13" ht="13.9" customHeight="1">
      <c r="A99" s="19" t="s">
        <v>5489</v>
      </c>
      <c r="B99" s="1126">
        <f>FSResRel1</f>
        <v>190.875</v>
      </c>
      <c r="C99" s="1126">
        <f>FSResRel2</f>
        <v>0</v>
      </c>
      <c r="D99" s="1126">
        <f>FSResRel3</f>
        <v>0</v>
      </c>
      <c r="E99" s="1126">
        <f>FSResRel4</f>
        <v>0</v>
      </c>
      <c r="F99" s="1126">
        <f>FSResRel5</f>
        <v>0</v>
      </c>
      <c r="H99" s="1126">
        <f>FSResRel6</f>
        <v>0</v>
      </c>
      <c r="I99" s="1126">
        <f>FSResRel7</f>
        <v>0</v>
      </c>
      <c r="J99" s="1126">
        <f>FSResRel8</f>
        <v>0</v>
      </c>
      <c r="K99" s="1126">
        <f>FSResRel9</f>
        <v>0</v>
      </c>
      <c r="L99" s="1126">
        <f>FSResRel10</f>
        <v>0</v>
      </c>
    </row>
    <row r="100" spans="1:13" ht="13.9" customHeight="1">
      <c r="A100" s="19" t="s">
        <v>1277</v>
      </c>
      <c r="B100" s="1127">
        <f>FSPressHrs11</f>
        <v>204.08163265306123</v>
      </c>
      <c r="C100" s="1127">
        <f>FSPressHrs12</f>
        <v>0</v>
      </c>
      <c r="D100" s="1127">
        <f>FSPressHrs13</f>
        <v>0</v>
      </c>
      <c r="E100" s="1127">
        <f>FSPressHrs14</f>
        <v>0</v>
      </c>
      <c r="F100" s="1127">
        <f>FSPressHrs15</f>
        <v>0</v>
      </c>
      <c r="H100" s="1127">
        <f>FSPressHrs16</f>
        <v>0</v>
      </c>
      <c r="I100" s="1127">
        <f>FSPressHrs17</f>
        <v>0</v>
      </c>
      <c r="J100" s="1127">
        <f>FSPressHrs18</f>
        <v>0</v>
      </c>
      <c r="K100" s="1127">
        <f>FSPressHrs19</f>
        <v>0</v>
      </c>
      <c r="L100" s="1127">
        <f>FSPressHrs110</f>
        <v>0</v>
      </c>
    </row>
    <row r="101" spans="1:13" ht="13.9" hidden="1" customHeight="1">
      <c r="A101" s="19" t="s">
        <v>122</v>
      </c>
      <c r="B101" s="1127">
        <f>FSPressHrs21</f>
        <v>0</v>
      </c>
      <c r="C101" s="1127">
        <f>FSPressHrs22</f>
        <v>0</v>
      </c>
      <c r="D101" s="1127">
        <f>FSPressHrs23</f>
        <v>0</v>
      </c>
      <c r="E101" s="1127">
        <f>FSPressHrs24</f>
        <v>0</v>
      </c>
      <c r="F101" s="1127">
        <f>FSPressHrs25</f>
        <v>0</v>
      </c>
      <c r="H101" s="1127">
        <f>FSPressHrs26</f>
        <v>0</v>
      </c>
      <c r="I101" s="1127">
        <f>FSPressHrs27</f>
        <v>0</v>
      </c>
      <c r="J101" s="1127">
        <f>FSPressHrs28</f>
        <v>0</v>
      </c>
      <c r="K101" s="1127">
        <f>FSPressHrs29</f>
        <v>0</v>
      </c>
      <c r="L101" s="1127">
        <f>FSPressHrs210</f>
        <v>0</v>
      </c>
    </row>
    <row r="102" spans="1:13" ht="13.9" hidden="1" customHeight="1">
      <c r="A102" s="19" t="s">
        <v>479</v>
      </c>
      <c r="B102" s="1127">
        <f>FSPressHrs31</f>
        <v>0</v>
      </c>
      <c r="C102" s="1127">
        <f>FSPressHrs32</f>
        <v>0</v>
      </c>
      <c r="D102" s="1127">
        <f>FSPressHrs33</f>
        <v>0</v>
      </c>
      <c r="E102" s="1127">
        <f>FSPressHrs34</f>
        <v>0</v>
      </c>
      <c r="F102" s="1127">
        <f>FSPressHrs35</f>
        <v>0</v>
      </c>
      <c r="H102" s="1127">
        <f>FSPressHrs36</f>
        <v>0</v>
      </c>
      <c r="I102" s="1127">
        <f>FSPressHrs37</f>
        <v>0</v>
      </c>
      <c r="J102" s="1127">
        <f>FSPressHrs38</f>
        <v>0</v>
      </c>
      <c r="K102" s="1127">
        <f>FSPressHrs39</f>
        <v>0</v>
      </c>
      <c r="L102" s="1127">
        <f>FSPressHrs310</f>
        <v>0</v>
      </c>
    </row>
    <row r="103" spans="1:13" ht="13.9" hidden="1" customHeight="1">
      <c r="A103" s="19" t="s">
        <v>480</v>
      </c>
      <c r="B103" s="1127">
        <f>FSPressHrs41</f>
        <v>0</v>
      </c>
      <c r="C103" s="1127">
        <f>FSPressHrs42</f>
        <v>0</v>
      </c>
      <c r="D103" s="1127">
        <f>FSPressHrs43</f>
        <v>0</v>
      </c>
      <c r="E103" s="1127">
        <f>FSPressHrs44</f>
        <v>0</v>
      </c>
      <c r="F103" s="1127">
        <f>FSPressHrs45</f>
        <v>0</v>
      </c>
      <c r="H103" s="1127">
        <f>FSPressHrs46</f>
        <v>0</v>
      </c>
      <c r="I103" s="1127">
        <f>FSPressHrs47</f>
        <v>0</v>
      </c>
      <c r="J103" s="1127">
        <f>FSPressHrs48</f>
        <v>0</v>
      </c>
      <c r="K103" s="1127">
        <f>FSPressHrs49</f>
        <v>0</v>
      </c>
      <c r="L103" s="1127">
        <f>FSPressHrs410</f>
        <v>0</v>
      </c>
    </row>
    <row r="104" spans="1:13" ht="13.9" hidden="1" customHeight="1">
      <c r="A104" s="19" t="s">
        <v>481</v>
      </c>
      <c r="B104" s="1127">
        <f>FSPressHrs51</f>
        <v>0</v>
      </c>
      <c r="C104" s="1127">
        <f>FSPressHrs52</f>
        <v>0</v>
      </c>
      <c r="D104" s="1127">
        <f>FSPressHrs53</f>
        <v>0</v>
      </c>
      <c r="E104" s="1127">
        <f>FSPressHrs54</f>
        <v>0</v>
      </c>
      <c r="F104" s="1127">
        <f>FSPressHrs55</f>
        <v>0</v>
      </c>
      <c r="H104" s="1127">
        <f>FSPressHrs56</f>
        <v>0</v>
      </c>
      <c r="I104" s="1127">
        <f>FSPressHrs57</f>
        <v>0</v>
      </c>
      <c r="J104" s="1127">
        <f>FSPressHrs58</f>
        <v>0</v>
      </c>
      <c r="K104" s="1127">
        <f>FSPressHrs59</f>
        <v>0</v>
      </c>
      <c r="L104" s="1127">
        <f>FSPressHrs510</f>
        <v>0</v>
      </c>
    </row>
    <row r="105" spans="1:13" ht="13.9" hidden="1" customHeight="1">
      <c r="A105" s="19" t="s">
        <v>5108</v>
      </c>
      <c r="B105" s="1127">
        <f>FSPressHrs61</f>
        <v>0</v>
      </c>
      <c r="C105" s="1127">
        <f>FSPressHrs62</f>
        <v>0</v>
      </c>
      <c r="D105" s="1127">
        <f>FSPressHrs63</f>
        <v>0</v>
      </c>
      <c r="E105" s="1127">
        <f>FSPressHrs64</f>
        <v>0</v>
      </c>
      <c r="F105" s="1127">
        <f>FSPressHrs65</f>
        <v>0</v>
      </c>
      <c r="H105" s="1127">
        <f>FSPressHrs66</f>
        <v>0</v>
      </c>
      <c r="I105" s="1127">
        <f>FSPressHrs67</f>
        <v>0</v>
      </c>
      <c r="J105" s="1127">
        <f>FSPressHrs68</f>
        <v>0</v>
      </c>
      <c r="K105" s="1127">
        <f>FSPressHrs69</f>
        <v>0</v>
      </c>
      <c r="L105" s="1127">
        <f>FSPressHrs610</f>
        <v>0</v>
      </c>
    </row>
    <row r="106" spans="1:13" ht="13.9" hidden="1" customHeight="1">
      <c r="A106" s="19" t="s">
        <v>3717</v>
      </c>
      <c r="B106" s="1127">
        <f>FSPressHrs71</f>
        <v>0</v>
      </c>
      <c r="C106" s="1127">
        <f>FSPressHrs72</f>
        <v>0</v>
      </c>
      <c r="D106" s="1127">
        <f>FSPressHrs73</f>
        <v>0</v>
      </c>
      <c r="E106" s="1127">
        <f>FSPressHrs74</f>
        <v>0</v>
      </c>
      <c r="F106" s="1127">
        <f>FSPressHrs75</f>
        <v>0</v>
      </c>
      <c r="H106" s="1127">
        <f>FSPressHrs76</f>
        <v>0</v>
      </c>
      <c r="I106" s="1127">
        <f>FSPressHrs77</f>
        <v>0</v>
      </c>
      <c r="J106" s="1127">
        <f>FSPressHrs78</f>
        <v>0</v>
      </c>
      <c r="K106" s="1127">
        <f>FSPressHrs79</f>
        <v>0</v>
      </c>
      <c r="L106" s="1127">
        <f>FSPressHrs710</f>
        <v>0</v>
      </c>
    </row>
    <row r="107" spans="1:13" ht="13.9" hidden="1" customHeight="1">
      <c r="A107" s="19" t="s">
        <v>4057</v>
      </c>
      <c r="B107" s="1127">
        <f>FSPressHrs81</f>
        <v>0</v>
      </c>
      <c r="C107" s="1127">
        <f>FSPressHrs82</f>
        <v>0</v>
      </c>
      <c r="D107" s="1127">
        <f>FSPressHrs83</f>
        <v>0</v>
      </c>
      <c r="E107" s="1127">
        <f>FSPressHrs84</f>
        <v>0</v>
      </c>
      <c r="F107" s="1127">
        <f>FSPressHrs85</f>
        <v>0</v>
      </c>
      <c r="H107" s="1127">
        <f>FSPressHrs86</f>
        <v>0</v>
      </c>
      <c r="I107" s="1127">
        <f>FSPressHrs87</f>
        <v>0</v>
      </c>
      <c r="J107" s="1127">
        <f>FSPressHrs88</f>
        <v>0</v>
      </c>
      <c r="K107" s="1127">
        <f>FSPressHrs89</f>
        <v>0</v>
      </c>
      <c r="L107" s="1127">
        <f>FSPressHrs810</f>
        <v>0</v>
      </c>
    </row>
    <row r="108" spans="1:13" ht="13.9" hidden="1" customHeight="1">
      <c r="A108" s="19" t="s">
        <v>4058</v>
      </c>
      <c r="B108" s="1127">
        <f>FSPressHrs91</f>
        <v>0</v>
      </c>
      <c r="C108" s="1127">
        <f>FSPressHrs92</f>
        <v>0</v>
      </c>
      <c r="D108" s="1127">
        <f>FSPressHrs93</f>
        <v>0</v>
      </c>
      <c r="E108" s="1127">
        <f>FSPressHrs94</f>
        <v>0</v>
      </c>
      <c r="F108" s="1127">
        <f>FSPressHrs95</f>
        <v>0</v>
      </c>
      <c r="H108" s="1127">
        <f>FSPressHrs96</f>
        <v>0</v>
      </c>
      <c r="I108" s="1127">
        <f>FSPressHrs97</f>
        <v>0</v>
      </c>
      <c r="J108" s="1127">
        <f>FSPressHrs98</f>
        <v>0</v>
      </c>
      <c r="K108" s="1127">
        <f>FSPressHrs99</f>
        <v>0</v>
      </c>
      <c r="L108" s="1127">
        <f>FSPressHrs910</f>
        <v>0</v>
      </c>
    </row>
    <row r="109" spans="1:13" ht="13.9" hidden="1" customHeight="1">
      <c r="A109" s="19" t="s">
        <v>4059</v>
      </c>
      <c r="B109" s="1127">
        <f>FSPressHrs101</f>
        <v>0</v>
      </c>
      <c r="C109" s="1127">
        <f>FSPressHrs102</f>
        <v>0</v>
      </c>
      <c r="D109" s="1127">
        <f>FSPressHrs103</f>
        <v>0</v>
      </c>
      <c r="E109" s="1127">
        <f>FSPressHrs104</f>
        <v>0</v>
      </c>
      <c r="F109" s="1127">
        <f>FSPressHrs105</f>
        <v>0</v>
      </c>
      <c r="H109" s="1127">
        <f>FSPressHrs106</f>
        <v>0</v>
      </c>
      <c r="I109" s="1127">
        <f>FSPressHrs107</f>
        <v>0</v>
      </c>
      <c r="J109" s="1127">
        <f>FSPressHrs108</f>
        <v>0</v>
      </c>
      <c r="K109" s="1127">
        <f>FSPressHrs109</f>
        <v>0</v>
      </c>
      <c r="L109" s="1127">
        <f>FSPressHrs1010</f>
        <v>0</v>
      </c>
    </row>
    <row r="110" spans="1:13" ht="13.9" customHeight="1">
      <c r="A110" s="19" t="s">
        <v>2076</v>
      </c>
      <c r="B110" s="1128">
        <f>FSFinalMatCost1</f>
        <v>12.051419005102041</v>
      </c>
      <c r="C110" s="1128">
        <f>FSFinalMatCost2</f>
        <v>0</v>
      </c>
      <c r="D110" s="1128">
        <f>FSFinalMatCost3</f>
        <v>0</v>
      </c>
      <c r="E110" s="1128">
        <f>FSFinalMatCost4</f>
        <v>0</v>
      </c>
      <c r="F110" s="1128">
        <f>FSFinalMatCost5</f>
        <v>0</v>
      </c>
      <c r="G110" s="18"/>
      <c r="H110" s="1128">
        <f>FSFinalMatCost6</f>
        <v>0</v>
      </c>
      <c r="I110" s="1128">
        <f>FSFinalMatCost7</f>
        <v>0</v>
      </c>
      <c r="J110" s="1128">
        <f>FSFinalMatCost8</f>
        <v>0</v>
      </c>
      <c r="K110" s="1128">
        <f>FSFinalMatCost9</f>
        <v>0</v>
      </c>
      <c r="L110" s="1128">
        <f>FSFinalMatCost10</f>
        <v>0</v>
      </c>
    </row>
    <row r="111" spans="1:13" ht="13.9" customHeight="1">
      <c r="A111" s="21" t="s">
        <v>4682</v>
      </c>
      <c r="B111" s="1128">
        <f>FSFinalMatPrice1</f>
        <v>17.233529177295917</v>
      </c>
      <c r="C111" s="1128">
        <f>FSFinalMatPrice2</f>
        <v>0</v>
      </c>
      <c r="D111" s="1128">
        <f>FSFinalMatPrice3</f>
        <v>0</v>
      </c>
      <c r="E111" s="1128">
        <f>FSFinalMatPrice4</f>
        <v>0</v>
      </c>
      <c r="F111" s="1128">
        <f>FSFinalMatPrice5</f>
        <v>0</v>
      </c>
      <c r="G111" s="18"/>
      <c r="H111" s="1128">
        <f>FSFinalMatPrice6</f>
        <v>0</v>
      </c>
      <c r="I111" s="1128">
        <f>FSFinalMatPrice7</f>
        <v>0</v>
      </c>
      <c r="J111" s="1128">
        <f>FSFinalMatPrice8</f>
        <v>0</v>
      </c>
      <c r="K111" s="1128">
        <f>FSFinalMatPrice9</f>
        <v>0</v>
      </c>
      <c r="L111" s="1128">
        <f>FSFinalMatPrice10</f>
        <v>0</v>
      </c>
    </row>
    <row r="112" spans="1:13" ht="13.9" customHeight="1">
      <c r="A112" s="449" t="s">
        <v>2037</v>
      </c>
      <c r="B112" s="1128">
        <f>FSFinalBOCost1</f>
        <v>0</v>
      </c>
      <c r="C112" s="1128">
        <f>FSFinalBOCost2</f>
        <v>0</v>
      </c>
      <c r="D112" s="1128">
        <f>FSFinalBOCost3</f>
        <v>0</v>
      </c>
      <c r="E112" s="1128">
        <f>FSFinalBOCost4</f>
        <v>0</v>
      </c>
      <c r="F112" s="1128">
        <f>FSFinalBOCost5</f>
        <v>0</v>
      </c>
      <c r="G112" s="18"/>
      <c r="H112" s="1128">
        <f>FSFinalBOCost6</f>
        <v>0</v>
      </c>
      <c r="I112" s="1128">
        <f>FSFinalBOCost7</f>
        <v>0</v>
      </c>
      <c r="J112" s="1128">
        <f>FSFinalBOCost8</f>
        <v>0</v>
      </c>
      <c r="K112" s="1128">
        <f>FSFinalBOCost9</f>
        <v>0</v>
      </c>
      <c r="L112" s="1128">
        <f>FSFinalBOCost10</f>
        <v>0</v>
      </c>
    </row>
    <row r="113" spans="1:14" ht="13.9" customHeight="1">
      <c r="A113" s="450" t="s">
        <v>2704</v>
      </c>
      <c r="B113" s="1129">
        <f>FSFinalBOPrice1</f>
        <v>0</v>
      </c>
      <c r="C113" s="1129">
        <f>FSFinalBOPrice2</f>
        <v>0</v>
      </c>
      <c r="D113" s="1129">
        <f>FSFinalBOPrice3</f>
        <v>0</v>
      </c>
      <c r="E113" s="1129">
        <f>FSFinalBOPrice4</f>
        <v>0</v>
      </c>
      <c r="F113" s="1129">
        <f>FSFinalBOPrice5</f>
        <v>0</v>
      </c>
      <c r="H113" s="1129">
        <f>FSFinalBOPrice6</f>
        <v>0</v>
      </c>
      <c r="I113" s="1129">
        <f>FSFinalBOPrice7</f>
        <v>0</v>
      </c>
      <c r="J113" s="1129">
        <f>FSFinalBOPrice8</f>
        <v>0</v>
      </c>
      <c r="K113" s="1129">
        <f>FSFinalBOPrice9</f>
        <v>0</v>
      </c>
      <c r="L113" s="1129">
        <f>FSFinalBOPrice10</f>
        <v>0</v>
      </c>
    </row>
    <row r="114" spans="1:14" ht="13.9" customHeight="1">
      <c r="A114" s="19" t="s">
        <v>1649</v>
      </c>
      <c r="B114" s="1128">
        <f>FSFinalPressCost1</f>
        <v>17.219387755102041</v>
      </c>
      <c r="C114" s="1128">
        <f>FSFinalPressCost2</f>
        <v>0</v>
      </c>
      <c r="D114" s="1128">
        <f>FSFinalPressCost3</f>
        <v>0</v>
      </c>
      <c r="E114" s="1128">
        <f>FSFinalPressCost4</f>
        <v>0</v>
      </c>
      <c r="F114" s="1128">
        <f>FSFinalPressCost5</f>
        <v>0</v>
      </c>
      <c r="G114" s="18"/>
      <c r="H114" s="1128">
        <f>FSFinalPressCost6</f>
        <v>0</v>
      </c>
      <c r="I114" s="1128">
        <f>FSFinalPressCost7</f>
        <v>0</v>
      </c>
      <c r="J114" s="1128">
        <f>FSFinalPressCost8</f>
        <v>0</v>
      </c>
      <c r="K114" s="1128">
        <f>FSFinalPressCost9</f>
        <v>0</v>
      </c>
      <c r="L114" s="1128">
        <f>FSFinalPressCost10</f>
        <v>0</v>
      </c>
      <c r="N114" s="21" t="s">
        <v>5068</v>
      </c>
    </row>
    <row r="115" spans="1:14" ht="13.9" customHeight="1">
      <c r="A115" s="21" t="s">
        <v>1650</v>
      </c>
      <c r="B115" s="1128">
        <f>FSFinalPressPrice1</f>
        <v>22.95344387755102</v>
      </c>
      <c r="C115" s="1128">
        <f>FSFinalPressPrice2</f>
        <v>0</v>
      </c>
      <c r="D115" s="1128">
        <f>FSFinalPressPrice3</f>
        <v>0</v>
      </c>
      <c r="E115" s="1128">
        <f>FSFinalPressPrice4</f>
        <v>0</v>
      </c>
      <c r="F115" s="1128">
        <f>FSFinalPressPrice5</f>
        <v>0</v>
      </c>
      <c r="G115" s="18"/>
      <c r="H115" s="1128">
        <f>FSFinalPressPrice6</f>
        <v>0</v>
      </c>
      <c r="I115" s="1128">
        <f>FSFinalPressPrice7</f>
        <v>0</v>
      </c>
      <c r="J115" s="1128">
        <f>FSFinalPressPrice8</f>
        <v>0</v>
      </c>
      <c r="K115" s="1128">
        <f>FSFinalPressPrice9</f>
        <v>0</v>
      </c>
      <c r="L115" s="1128">
        <f>FSFinalPressPrice10</f>
        <v>0</v>
      </c>
      <c r="N115" s="432" t="s">
        <v>1060</v>
      </c>
    </row>
    <row r="116" spans="1:14" ht="13.9" customHeight="1">
      <c r="A116" s="19" t="s">
        <v>295</v>
      </c>
      <c r="B116" s="1128">
        <f>FSFinTMCost1</f>
        <v>1.5943877551020409</v>
      </c>
      <c r="C116" s="1128">
        <f>FSFinTMCost2</f>
        <v>0</v>
      </c>
      <c r="D116" s="1128">
        <f>FSFinTMCost3</f>
        <v>0</v>
      </c>
      <c r="E116" s="1128">
        <f>FSFinTMCost4</f>
        <v>0</v>
      </c>
      <c r="F116" s="1128">
        <f>FSFinTMCost5</f>
        <v>0</v>
      </c>
      <c r="G116" s="18"/>
      <c r="H116" s="1128">
        <f>FSFinTMCost6</f>
        <v>0</v>
      </c>
      <c r="I116" s="1128">
        <f>FSFinTMCost7</f>
        <v>0</v>
      </c>
      <c r="J116" s="1128">
        <f>FSFinTMCost8</f>
        <v>0</v>
      </c>
      <c r="K116" s="1128">
        <f>FSFinTMCost9</f>
        <v>0</v>
      </c>
      <c r="L116" s="1128">
        <f>FSFinTMCost10</f>
        <v>0</v>
      </c>
      <c r="N116" s="433" t="s">
        <v>4840</v>
      </c>
    </row>
    <row r="117" spans="1:14" ht="13.9" customHeight="1">
      <c r="A117" s="21" t="s">
        <v>2760</v>
      </c>
      <c r="B117" s="1128">
        <f>FSFinTMPrice1</f>
        <v>2.1253188775510203</v>
      </c>
      <c r="C117" s="1128">
        <f>FSFinTMPrice2</f>
        <v>0</v>
      </c>
      <c r="D117" s="1128">
        <f>FSFinTMPrice3</f>
        <v>0</v>
      </c>
      <c r="E117" s="1128">
        <f>FSFinTMPrice4</f>
        <v>0</v>
      </c>
      <c r="F117" s="1128">
        <f>FSFinTMPrice5</f>
        <v>0</v>
      </c>
      <c r="G117" s="18"/>
      <c r="H117" s="1128">
        <f>FSFinTMPrice6</f>
        <v>0</v>
      </c>
      <c r="I117" s="1128">
        <f>FSFinTMPrice7</f>
        <v>0</v>
      </c>
      <c r="J117" s="1128">
        <f>FSFinTMPrice8</f>
        <v>0</v>
      </c>
      <c r="K117" s="1128">
        <f>FSFinTMPrice9</f>
        <v>0</v>
      </c>
      <c r="L117" s="1128">
        <f>FSFinTMPrice10</f>
        <v>0</v>
      </c>
      <c r="N117" s="433" t="s">
        <v>5553</v>
      </c>
    </row>
    <row r="118" spans="1:14" ht="13.9" customHeight="1">
      <c r="A118" s="19" t="s">
        <v>1265</v>
      </c>
      <c r="B118" s="1128">
        <f>FSLaborCost1</f>
        <v>2.3738424744897961</v>
      </c>
      <c r="C118" s="1128">
        <f>FSLaborCost2</f>
        <v>0</v>
      </c>
      <c r="D118" s="1128">
        <f>FSLaborCost3</f>
        <v>0</v>
      </c>
      <c r="E118" s="1128">
        <f>FSLaborCost4</f>
        <v>0</v>
      </c>
      <c r="F118" s="1128">
        <f>FSLaborCost5</f>
        <v>0</v>
      </c>
      <c r="G118" s="18"/>
      <c r="H118" s="1128">
        <f>FSLaborCost6</f>
        <v>0</v>
      </c>
      <c r="I118" s="1128">
        <f>FSLaborCost7</f>
        <v>0</v>
      </c>
      <c r="J118" s="1128">
        <f>FSLaborCost8</f>
        <v>0</v>
      </c>
      <c r="K118" s="1128">
        <f>FSLaborCost9</f>
        <v>0</v>
      </c>
      <c r="L118" s="1128">
        <f>FSLaborCost10</f>
        <v>0</v>
      </c>
      <c r="N118" s="433" t="s">
        <v>849</v>
      </c>
    </row>
    <row r="119" spans="1:14" ht="13.9" customHeight="1" thickBot="1">
      <c r="A119" s="21" t="s">
        <v>16</v>
      </c>
      <c r="B119" s="1130">
        <f>FSLaborPrice1</f>
        <v>3.164332018494898</v>
      </c>
      <c r="C119" s="1130">
        <f>FSLaborPrice2</f>
        <v>0</v>
      </c>
      <c r="D119" s="1130">
        <f>FSLaborPrice3</f>
        <v>0</v>
      </c>
      <c r="E119" s="1130">
        <f>FSLaborPrice4</f>
        <v>0</v>
      </c>
      <c r="F119" s="1130">
        <f>FSLaborPrice5</f>
        <v>0</v>
      </c>
      <c r="G119" s="18"/>
      <c r="H119" s="1130">
        <f>FSLaborPrice6</f>
        <v>0</v>
      </c>
      <c r="I119" s="1130">
        <f>FSLaborPrice7</f>
        <v>0</v>
      </c>
      <c r="J119" s="1130">
        <f>FSLaborPrice8</f>
        <v>0</v>
      </c>
      <c r="K119" s="1130">
        <f>FSLaborPrice9</f>
        <v>0</v>
      </c>
      <c r="L119" s="1130">
        <f>FSLaborPrice10</f>
        <v>0</v>
      </c>
      <c r="N119" s="433" t="s">
        <v>1656</v>
      </c>
    </row>
    <row r="120" spans="1:14" ht="13.9" customHeight="1" thickBot="1">
      <c r="A120" s="21" t="s">
        <v>5030</v>
      </c>
      <c r="B120" s="1225">
        <v>6</v>
      </c>
      <c r="C120" s="1225"/>
      <c r="D120" s="1225"/>
      <c r="E120" s="1225"/>
      <c r="F120" s="1225"/>
      <c r="G120" s="805"/>
      <c r="H120" s="1225">
        <f>IF(Quantity6&gt;0, QESetUp1,0)</f>
        <v>0</v>
      </c>
      <c r="I120" s="1225">
        <f>IF(Quantity7&gt;0, QESetUp2,0)</f>
        <v>0</v>
      </c>
      <c r="J120" s="1225">
        <f>IF(Quantity8&gt;0, QESetUp3,0)</f>
        <v>0</v>
      </c>
      <c r="K120" s="1225">
        <f>IF(Quantity9&gt;0, QESetUp4,0)</f>
        <v>0</v>
      </c>
      <c r="L120" s="1225">
        <f>IF(Quantity10&gt;0, QESetUp5,0)</f>
        <v>0</v>
      </c>
      <c r="N120" s="433" t="s">
        <v>1600</v>
      </c>
    </row>
    <row r="121" spans="1:14" ht="13.9" customHeight="1">
      <c r="A121" s="19" t="s">
        <v>5422</v>
      </c>
      <c r="B121" s="1131">
        <f>FSMinCost1</f>
        <v>3.4375</v>
      </c>
      <c r="C121" s="1131">
        <f>FSMinCost2</f>
        <v>0</v>
      </c>
      <c r="D121" s="1131">
        <f>FSMinCost3</f>
        <v>0</v>
      </c>
      <c r="E121" s="1131">
        <f>FSMinCost4</f>
        <v>0</v>
      </c>
      <c r="F121" s="1131">
        <f>FSMinCost5</f>
        <v>0</v>
      </c>
      <c r="G121" s="1132"/>
      <c r="H121" s="1131">
        <f>FSMinCost6</f>
        <v>0</v>
      </c>
      <c r="I121" s="1131">
        <f>FSMinCost7</f>
        <v>0</v>
      </c>
      <c r="J121" s="1131">
        <f>FSMinCost8</f>
        <v>0</v>
      </c>
      <c r="K121" s="1131">
        <f>FSMinCost9</f>
        <v>0</v>
      </c>
      <c r="L121" s="1131">
        <f>FSMinCost10</f>
        <v>0</v>
      </c>
      <c r="N121" s="434" t="s">
        <v>1946</v>
      </c>
    </row>
    <row r="122" spans="1:14" ht="13.9" customHeight="1">
      <c r="A122" s="21" t="s">
        <v>3399</v>
      </c>
      <c r="B122" s="1128">
        <f>FSMinPrice1</f>
        <v>4.5821874999999999</v>
      </c>
      <c r="C122" s="1128">
        <f>FSMinPrice2</f>
        <v>0</v>
      </c>
      <c r="D122" s="1128">
        <f>FSMinPrice3</f>
        <v>0</v>
      </c>
      <c r="E122" s="1128">
        <f>FSMinPrice4</f>
        <v>0</v>
      </c>
      <c r="F122" s="1128">
        <f>FSMinPrice5</f>
        <v>0</v>
      </c>
      <c r="G122" s="1132"/>
      <c r="H122" s="1128">
        <f>FSMinPrice6</f>
        <v>0</v>
      </c>
      <c r="I122" s="1128">
        <f>FSMinPrice7</f>
        <v>0</v>
      </c>
      <c r="J122" s="1128">
        <f>FSMinPrice8</f>
        <v>0</v>
      </c>
      <c r="K122" s="1128">
        <f>FSMinPrice9</f>
        <v>0</v>
      </c>
      <c r="L122" s="1128">
        <f>FSMinPrice10</f>
        <v>0</v>
      </c>
      <c r="N122" s="435">
        <v>1</v>
      </c>
    </row>
    <row r="123" spans="1:14" ht="13.9" customHeight="1">
      <c r="A123" s="711" t="s">
        <v>5428</v>
      </c>
      <c r="B123" s="1128">
        <f>FSMaintCost1</f>
        <v>0</v>
      </c>
      <c r="C123" s="1128">
        <f>FSMaintCost2</f>
        <v>0</v>
      </c>
      <c r="D123" s="1128">
        <f>FSMaintCost3</f>
        <v>0</v>
      </c>
      <c r="E123" s="1128">
        <f>FSMaintCost4</f>
        <v>0</v>
      </c>
      <c r="F123" s="1128">
        <f>FSMaintCost5</f>
        <v>0</v>
      </c>
      <c r="G123" s="1132"/>
      <c r="H123" s="1128">
        <f>FSMaintCost6</f>
        <v>0</v>
      </c>
      <c r="I123" s="1128">
        <f>FSMaintCost7</f>
        <v>0</v>
      </c>
      <c r="J123" s="1128">
        <f>FSMaintCost8</f>
        <v>0</v>
      </c>
      <c r="K123" s="1128">
        <f>FSMaintCost9</f>
        <v>0</v>
      </c>
      <c r="L123" s="1128">
        <f>FSMaintCost10</f>
        <v>0</v>
      </c>
      <c r="N123" s="434" t="s">
        <v>1977</v>
      </c>
    </row>
    <row r="124" spans="1:14" ht="13.9" customHeight="1">
      <c r="A124" s="577" t="s">
        <v>5429</v>
      </c>
      <c r="B124" s="1128">
        <f>FSMaintPrice1</f>
        <v>0</v>
      </c>
      <c r="C124" s="1128">
        <f>FSMaintPrice2</f>
        <v>0</v>
      </c>
      <c r="D124" s="1128">
        <f>FSMaintPrice3</f>
        <v>0</v>
      </c>
      <c r="E124" s="1128">
        <f>FSMaintPrice4</f>
        <v>0</v>
      </c>
      <c r="F124" s="1128">
        <f>FSMaintPrice5</f>
        <v>0</v>
      </c>
      <c r="G124" s="1132"/>
      <c r="H124" s="1128">
        <f>FSMaintPrice6</f>
        <v>0</v>
      </c>
      <c r="I124" s="1128">
        <f>FSMaintPrice7</f>
        <v>0</v>
      </c>
      <c r="J124" s="1128">
        <f>FSMaintPrice8</f>
        <v>0</v>
      </c>
      <c r="K124" s="1128">
        <f>FSMaintPrice9</f>
        <v>0</v>
      </c>
      <c r="L124" s="1128">
        <f>FSMaintPrice10</f>
        <v>0</v>
      </c>
      <c r="N124" s="435">
        <v>1</v>
      </c>
    </row>
    <row r="125" spans="1:14" ht="13.9" customHeight="1">
      <c r="A125" s="712" t="s">
        <v>1967</v>
      </c>
      <c r="B125" s="1128">
        <f>FSRobotCost1</f>
        <v>0</v>
      </c>
      <c r="C125" s="1128">
        <f>FSRobotCost2</f>
        <v>0</v>
      </c>
      <c r="D125" s="1128">
        <f>FSRobotCost3</f>
        <v>0</v>
      </c>
      <c r="E125" s="1128">
        <f>FSRobotCost4</f>
        <v>0</v>
      </c>
      <c r="F125" s="1128">
        <f>FSRobotCost5</f>
        <v>0</v>
      </c>
      <c r="G125" s="1132"/>
      <c r="H125" s="1128">
        <f>FSRobotCost6</f>
        <v>0</v>
      </c>
      <c r="I125" s="1128">
        <f>FSRobotCost7</f>
        <v>0</v>
      </c>
      <c r="J125" s="1128">
        <f>FSRobotCost8</f>
        <v>0</v>
      </c>
      <c r="K125" s="1128">
        <f>FSRobotCost9</f>
        <v>0</v>
      </c>
      <c r="L125" s="1128">
        <f>FSRobotCost10</f>
        <v>0</v>
      </c>
    </row>
    <row r="126" spans="1:14" ht="13.9" customHeight="1">
      <c r="A126" s="578" t="s">
        <v>1968</v>
      </c>
      <c r="B126" s="1128">
        <f>FSRobotPrice1</f>
        <v>0</v>
      </c>
      <c r="C126" s="1128">
        <f>FSRobotPrice2</f>
        <v>0</v>
      </c>
      <c r="D126" s="1128">
        <f>FSRobotPrice3</f>
        <v>0</v>
      </c>
      <c r="E126" s="1128">
        <f>FSRobotPrice4</f>
        <v>0</v>
      </c>
      <c r="F126" s="1128">
        <f>FSRobotPrice5</f>
        <v>0</v>
      </c>
      <c r="G126" s="1132"/>
      <c r="H126" s="1128">
        <f>FSRobotPrice6</f>
        <v>0</v>
      </c>
      <c r="I126" s="1128">
        <f>FSRobotPrice7</f>
        <v>0</v>
      </c>
      <c r="J126" s="1128">
        <f>FSRobotPrice8</f>
        <v>0</v>
      </c>
      <c r="K126" s="1128">
        <f>FSRobotPrice9</f>
        <v>0</v>
      </c>
      <c r="L126" s="1128">
        <f>FSRobotPrice10</f>
        <v>0</v>
      </c>
    </row>
    <row r="127" spans="1:14" ht="13.9" customHeight="1">
      <c r="A127" s="19" t="s">
        <v>3623</v>
      </c>
      <c r="B127" s="1128">
        <f>FSPackCost1</f>
        <v>0</v>
      </c>
      <c r="C127" s="1128">
        <f>FSPackCost2</f>
        <v>0</v>
      </c>
      <c r="D127" s="1128">
        <f>FSPackCost3</f>
        <v>0</v>
      </c>
      <c r="E127" s="1128">
        <f>FSPackCost4</f>
        <v>0</v>
      </c>
      <c r="F127" s="1128">
        <f>FSPackCost5</f>
        <v>0</v>
      </c>
      <c r="G127" s="1132"/>
      <c r="H127" s="1128">
        <f>FSPackCost6</f>
        <v>0</v>
      </c>
      <c r="I127" s="1128">
        <f>FSPackCost7</f>
        <v>0</v>
      </c>
      <c r="J127" s="1128">
        <f>FSPackCost8</f>
        <v>0</v>
      </c>
      <c r="K127" s="1128">
        <f>FSPackCost9</f>
        <v>0</v>
      </c>
      <c r="L127" s="1128">
        <f>FSPackCost10</f>
        <v>0</v>
      </c>
    </row>
    <row r="128" spans="1:14" ht="13.9" customHeight="1" thickBot="1">
      <c r="A128" s="21" t="s">
        <v>619</v>
      </c>
      <c r="B128" s="1130">
        <f>FSPackPrice1</f>
        <v>0</v>
      </c>
      <c r="C128" s="1130">
        <f>FSPackPrice2</f>
        <v>0</v>
      </c>
      <c r="D128" s="1130">
        <f>FSPackPrice3</f>
        <v>0</v>
      </c>
      <c r="E128" s="1130">
        <f>FSPackPrice4</f>
        <v>0</v>
      </c>
      <c r="F128" s="1130">
        <f>FSPackPrice5</f>
        <v>0</v>
      </c>
      <c r="G128" s="1132"/>
      <c r="H128" s="1130">
        <f>FSPackPrice6</f>
        <v>0</v>
      </c>
      <c r="I128" s="1130">
        <f>FSPackPrice7</f>
        <v>0</v>
      </c>
      <c r="J128" s="1130">
        <f>FSPackPrice8</f>
        <v>0</v>
      </c>
      <c r="K128" s="1130">
        <f>FSPackPrice9</f>
        <v>0</v>
      </c>
      <c r="L128" s="1130">
        <f>FSPackPrice10</f>
        <v>0</v>
      </c>
    </row>
    <row r="129" spans="1:12" ht="13.9" customHeight="1" thickBot="1">
      <c r="A129" s="19" t="s">
        <v>3288</v>
      </c>
      <c r="B129" s="1226"/>
      <c r="C129" s="1226">
        <f>IF(Quantity2&gt;0, CostAdjuster1,0)</f>
        <v>0</v>
      </c>
      <c r="D129" s="1226">
        <f>IF(Quantity3&gt;0, CostAdjuster1,0)</f>
        <v>0</v>
      </c>
      <c r="E129" s="1226">
        <f>IF(Quantity4&gt;0, CostAdjuster1,0)</f>
        <v>0</v>
      </c>
      <c r="F129" s="1226">
        <f>IF(Quantity5&gt;0, CostAdjuster1,0)</f>
        <v>0</v>
      </c>
      <c r="G129" s="1133"/>
      <c r="H129" s="1226"/>
      <c r="I129" s="1226">
        <f>IF(Quantity2&gt;0, CostAdjuster2,0)</f>
        <v>0</v>
      </c>
      <c r="J129" s="1226">
        <f>IF(Quantity3&gt;0, CostAdjuster2,0)</f>
        <v>0</v>
      </c>
      <c r="K129" s="1226">
        <f>IF(Quantity4&gt;0, CostAdjuster2,0)</f>
        <v>0</v>
      </c>
      <c r="L129" s="1226">
        <f>IF(Quantity5&gt;0, CostAdjuster2,0)</f>
        <v>0</v>
      </c>
    </row>
    <row r="130" spans="1:12" ht="13.9" customHeight="1" thickBot="1">
      <c r="A130" s="21" t="s">
        <v>3016</v>
      </c>
      <c r="B130" s="1134">
        <f>FSMfgCost1</f>
        <v>36.67653698979592</v>
      </c>
      <c r="C130" s="1134">
        <f>FSMfgCost2</f>
        <v>0</v>
      </c>
      <c r="D130" s="1134">
        <f>FSMfgCost3</f>
        <v>0</v>
      </c>
      <c r="E130" s="1134">
        <f>FSMfgCost4</f>
        <v>0</v>
      </c>
      <c r="F130" s="1134">
        <f>FSMfgCost5</f>
        <v>0</v>
      </c>
      <c r="G130" s="1133"/>
      <c r="H130" s="1134">
        <f>FSMfgCost6</f>
        <v>0</v>
      </c>
      <c r="I130" s="1134">
        <f>FSMfgCost7</f>
        <v>0</v>
      </c>
      <c r="J130" s="1134">
        <f>FSMfgCost8</f>
        <v>0</v>
      </c>
      <c r="K130" s="1134">
        <f>FSMfgCost9</f>
        <v>0</v>
      </c>
      <c r="L130" s="1134">
        <f>FSMfgCost10</f>
        <v>0</v>
      </c>
    </row>
    <row r="131" spans="1:12" ht="13.9" customHeight="1" thickBot="1">
      <c r="A131" s="19" t="s">
        <v>2826</v>
      </c>
      <c r="B131" s="1227"/>
      <c r="C131" s="1227">
        <f>IF(Quantity2 &gt;0, PriceAdjuster1,0)</f>
        <v>0</v>
      </c>
      <c r="D131" s="1227">
        <f>IF(Quantity3 &gt;0, PriceAdjuster1,0)</f>
        <v>0</v>
      </c>
      <c r="E131" s="1227">
        <f>IF(Quantity4 &gt;0, PriceAdjuster1,0)</f>
        <v>0</v>
      </c>
      <c r="F131" s="1227">
        <f>IF(Quantity5 &gt;0, PriceAdjuster1,0)</f>
        <v>0</v>
      </c>
      <c r="G131" s="1135"/>
      <c r="H131" s="1227"/>
      <c r="I131" s="1227">
        <f>IF(Quantity2 &gt;0, PriceAdjuster2,0)</f>
        <v>0</v>
      </c>
      <c r="J131" s="1227">
        <f>IF(Quantity3 &gt;0, PriceAdjuster2,0)</f>
        <v>0</v>
      </c>
      <c r="K131" s="1227">
        <f>IF(Quantity4 &gt;0, PriceAdjuster2,0)</f>
        <v>0</v>
      </c>
      <c r="L131" s="1227">
        <f>IF(Quantity5 &gt;0, PriceAdjuster2,0)</f>
        <v>0</v>
      </c>
    </row>
    <row r="132" spans="1:12" s="30" customFormat="1" ht="13.9" customHeight="1">
      <c r="A132" s="21" t="s">
        <v>3015</v>
      </c>
      <c r="B132" s="1136">
        <f>FSPrice1</f>
        <v>50.058811450892847</v>
      </c>
      <c r="C132" s="1136">
        <f>FSPrice2</f>
        <v>0</v>
      </c>
      <c r="D132" s="1136">
        <f>FSPrice3</f>
        <v>0</v>
      </c>
      <c r="E132" s="1136">
        <f>FSPrice4</f>
        <v>0</v>
      </c>
      <c r="F132" s="1136">
        <f>FSPrice5</f>
        <v>0</v>
      </c>
      <c r="G132" s="1133"/>
      <c r="H132" s="1136">
        <f>FSPrice6</f>
        <v>0</v>
      </c>
      <c r="I132" s="1136">
        <f>FSPrice7</f>
        <v>0</v>
      </c>
      <c r="J132" s="1136">
        <f>FSPrice8</f>
        <v>0</v>
      </c>
      <c r="K132" s="1136">
        <f>FSPrice9</f>
        <v>0</v>
      </c>
      <c r="L132" s="1136">
        <f>FSPrice10</f>
        <v>0</v>
      </c>
    </row>
    <row r="133" spans="1:12" ht="13.9" customHeight="1">
      <c r="A133" s="19" t="s">
        <v>1625</v>
      </c>
      <c r="B133" s="108">
        <f>IF(QETargetMar1&gt;0,  "", FSRevMargin1)</f>
        <v>0.26733104668745067</v>
      </c>
      <c r="C133" s="108">
        <f>IF(QETargetMar2&gt;0,  "", FSRevMargin2)</f>
        <v>0</v>
      </c>
      <c r="D133" s="108">
        <f>IF(QETargetMar3&gt;0,  "", FSRevMargin3)</f>
        <v>0</v>
      </c>
      <c r="E133" s="108">
        <f>IF(QETargetMar4&gt;0,  "", FSRevMargin4)</f>
        <v>0</v>
      </c>
      <c r="F133" s="108">
        <f>IF(QETargetMar5&gt;0,  "", FSRevMargin5)</f>
        <v>0</v>
      </c>
      <c r="G133" s="30"/>
      <c r="H133" s="108">
        <f>IF(QETargetMar6&gt;0,  "", FSRevMargin6)</f>
        <v>0</v>
      </c>
      <c r="I133" s="108">
        <f>IF(QETargetMar7&gt;0,  "", FSRevMargin7)</f>
        <v>0</v>
      </c>
      <c r="J133" s="108">
        <f>IF(QETargetMar8&gt;0,  "", FSRevMargin8)</f>
        <v>0</v>
      </c>
      <c r="K133" s="108">
        <f>IF(QETargetMar9&gt;0,  "", FSRevMargin9)</f>
        <v>0</v>
      </c>
      <c r="L133" s="108">
        <f>IF(QETargetMar10&gt;0,  "", FSRevMargin10)</f>
        <v>0</v>
      </c>
    </row>
    <row r="134" spans="1:12" ht="13.9" customHeight="1">
      <c r="A134" s="19" t="s">
        <v>1626</v>
      </c>
      <c r="B134" s="594">
        <v>0</v>
      </c>
      <c r="C134" s="594"/>
      <c r="D134" s="594"/>
      <c r="E134" s="594"/>
      <c r="F134" s="594"/>
      <c r="G134" s="30"/>
      <c r="H134" s="594"/>
      <c r="I134" s="594"/>
      <c r="J134" s="594"/>
      <c r="K134" s="594"/>
      <c r="L134" s="594"/>
    </row>
    <row r="135" spans="1:12" ht="13.9" customHeight="1">
      <c r="A135" s="19" t="s">
        <v>4473</v>
      </c>
      <c r="B135" s="1137">
        <f>FSCommVal1</f>
        <v>2.6346742868890978</v>
      </c>
      <c r="C135" s="1137">
        <f>FSCommVal2</f>
        <v>0</v>
      </c>
      <c r="D135" s="1137">
        <f>FSCommVal3</f>
        <v>0</v>
      </c>
      <c r="E135" s="1137">
        <f>FSCommVal4</f>
        <v>0</v>
      </c>
      <c r="F135" s="1137">
        <f>FSCommVal5</f>
        <v>0</v>
      </c>
      <c r="G135" s="1132"/>
      <c r="H135" s="1137">
        <f>FSCommVal6</f>
        <v>0</v>
      </c>
      <c r="I135" s="1137">
        <f>FSCommVal7</f>
        <v>0</v>
      </c>
      <c r="J135" s="1137">
        <f>FSCommVal8</f>
        <v>0</v>
      </c>
      <c r="K135" s="1137">
        <f>FSCommVal9</f>
        <v>0</v>
      </c>
      <c r="L135" s="1137">
        <f>FSCommVal10</f>
        <v>0</v>
      </c>
    </row>
    <row r="136" spans="1:12" ht="13.9" customHeight="1">
      <c r="A136" s="21" t="s">
        <v>3843</v>
      </c>
      <c r="B136" s="436">
        <f>FSRevisedFinalPrice1</f>
        <v>52.693485737781941</v>
      </c>
      <c r="C136" s="436">
        <f>FSRevisedFinalPrice2</f>
        <v>0</v>
      </c>
      <c r="D136" s="436">
        <f>FSRevisedFinalPrice3</f>
        <v>0</v>
      </c>
      <c r="E136" s="436">
        <f>FSRevisedFinalPrice4</f>
        <v>0</v>
      </c>
      <c r="F136" s="436">
        <f>FSRevisedFinalPrice5</f>
        <v>0</v>
      </c>
      <c r="H136" s="436">
        <f>FSRevisedFinalPrice6</f>
        <v>0</v>
      </c>
      <c r="I136" s="436">
        <f>FSRevisedFinalPrice7</f>
        <v>0</v>
      </c>
      <c r="J136" s="436">
        <f>FSRevisedFinalPrice8</f>
        <v>0</v>
      </c>
      <c r="K136" s="436">
        <f>FSRevisedFinalPrice9</f>
        <v>0</v>
      </c>
      <c r="L136" s="436">
        <f>FSRevisedFinalPrice10</f>
        <v>0</v>
      </c>
    </row>
    <row r="137" spans="1:12">
      <c r="A137" s="19" t="s">
        <v>1328</v>
      </c>
      <c r="B137" s="563"/>
      <c r="C137" s="563"/>
      <c r="D137" s="563"/>
      <c r="E137" s="563"/>
      <c r="F137" s="563"/>
      <c r="H137" s="563"/>
      <c r="I137" s="563"/>
      <c r="J137" s="563"/>
      <c r="K137" s="563"/>
      <c r="L137" s="563"/>
    </row>
    <row r="138" spans="1:12" ht="13.9" customHeight="1">
      <c r="A138" s="19" t="s">
        <v>4</v>
      </c>
      <c r="B138" s="1194">
        <f>FSGrossProfit1</f>
        <v>6423.4917413265248</v>
      </c>
      <c r="C138" s="1194" t="str">
        <f>FSGrossProfit2</f>
        <v/>
      </c>
      <c r="D138" s="1194" t="str">
        <f>FSGrossProfit3</f>
        <v/>
      </c>
      <c r="E138" s="1194" t="str">
        <f>FSGrossProfit4</f>
        <v/>
      </c>
      <c r="F138" s="1194" t="str">
        <f>FSGrossProfit5</f>
        <v/>
      </c>
      <c r="H138" s="1122" t="str">
        <f>FSGrossProfit6</f>
        <v/>
      </c>
      <c r="I138" s="1122" t="str">
        <f>FSGrossProfit7</f>
        <v/>
      </c>
      <c r="J138" s="1122" t="str">
        <f>FSGrossProfit8</f>
        <v/>
      </c>
      <c r="K138" s="1122" t="str">
        <f>FSGrossProfit9</f>
        <v/>
      </c>
      <c r="L138" s="1122" t="str">
        <f>FSGrossProfit10</f>
        <v/>
      </c>
    </row>
    <row r="139" spans="1:12" ht="13.9" customHeight="1">
      <c r="A139" s="19" t="s">
        <v>5705</v>
      </c>
      <c r="B139" s="1121">
        <f>FSVAHour1</f>
        <v>31.475109532499971</v>
      </c>
      <c r="C139" s="1121">
        <f>FSVAHour2</f>
        <v>0</v>
      </c>
      <c r="D139" s="1121">
        <f>FSVAHour3</f>
        <v>0</v>
      </c>
      <c r="E139" s="1121">
        <f>FSVAHour4</f>
        <v>0</v>
      </c>
      <c r="F139" s="1121">
        <f>FSVAHour5</f>
        <v>0</v>
      </c>
      <c r="G139" s="25"/>
      <c r="H139" s="1121">
        <f>FSVAHour6</f>
        <v>0</v>
      </c>
      <c r="I139" s="1121">
        <f>FSVAHour7</f>
        <v>0</v>
      </c>
      <c r="J139" s="1121">
        <f>FSVAHour8</f>
        <v>0</v>
      </c>
      <c r="K139" s="1121">
        <f>FSVAHour9</f>
        <v>0</v>
      </c>
      <c r="L139" s="1121">
        <f>FSVAHour10</f>
        <v>0</v>
      </c>
    </row>
    <row r="140" spans="1:12" ht="13.9" customHeight="1">
      <c r="A140" s="1120" t="s">
        <v>2250</v>
      </c>
      <c r="B140" s="1122">
        <f>FSResSales1</f>
        <v>8272.0940051020407</v>
      </c>
      <c r="C140" s="1122">
        <f>FSResSales2</f>
        <v>0</v>
      </c>
      <c r="D140" s="1122">
        <f>FSResSales3</f>
        <v>0</v>
      </c>
      <c r="E140" s="1122">
        <f>FSResSales4</f>
        <v>0</v>
      </c>
      <c r="F140" s="1122">
        <f>FSResSales5</f>
        <v>0</v>
      </c>
      <c r="G140" s="25"/>
      <c r="H140" s="1122">
        <f>FSResSales6</f>
        <v>0</v>
      </c>
      <c r="I140" s="1122">
        <f>FSResSales7</f>
        <v>0</v>
      </c>
      <c r="J140" s="1122">
        <f>FSResSales8</f>
        <v>0</v>
      </c>
      <c r="K140" s="1122">
        <f>FSResSales9</f>
        <v>0</v>
      </c>
      <c r="L140" s="1122">
        <f>FSResSales10</f>
        <v>0</v>
      </c>
    </row>
    <row r="141" spans="1:12" ht="13.9" customHeight="1">
      <c r="A141" s="1120" t="s">
        <v>2251</v>
      </c>
      <c r="B141" s="1122">
        <f>FSBOSales1</f>
        <v>0</v>
      </c>
      <c r="C141" s="1122">
        <f>FSBOSales2</f>
        <v>0</v>
      </c>
      <c r="D141" s="1122">
        <f>FSBOSales3</f>
        <v>0</v>
      </c>
      <c r="E141" s="1122">
        <f>FSBOSales4</f>
        <v>0</v>
      </c>
      <c r="F141" s="1122">
        <f>FSBOSales5</f>
        <v>0</v>
      </c>
      <c r="G141" s="25"/>
      <c r="H141" s="1122">
        <f>FSBOSales6</f>
        <v>0</v>
      </c>
      <c r="I141" s="1122">
        <f>FSBOSales7</f>
        <v>0</v>
      </c>
      <c r="J141" s="1122">
        <f>FSBOSales8</f>
        <v>0</v>
      </c>
      <c r="K141" s="1122">
        <f>FSBOSales9</f>
        <v>0</v>
      </c>
      <c r="L141" s="1122">
        <f>FSBOSales10</f>
        <v>0</v>
      </c>
    </row>
    <row r="142" spans="1:12" ht="13.9" customHeight="1">
      <c r="A142" s="1120" t="s">
        <v>2252</v>
      </c>
      <c r="B142" s="1122">
        <f>FSPressSales1</f>
        <v>15756.135491326531</v>
      </c>
      <c r="C142" s="1122">
        <f>FSPressSales2</f>
        <v>0</v>
      </c>
      <c r="D142" s="1122">
        <f>FSPressSales3</f>
        <v>0</v>
      </c>
      <c r="E142" s="1122">
        <f>FSPressSales4</f>
        <v>0</v>
      </c>
      <c r="F142" s="1122">
        <f>FSPressSales5</f>
        <v>0</v>
      </c>
      <c r="G142" s="25"/>
      <c r="H142" s="1122">
        <f>FSPressSales6</f>
        <v>0</v>
      </c>
      <c r="I142" s="1122">
        <f>FSPressSales7</f>
        <v>0</v>
      </c>
      <c r="J142" s="1122">
        <f>FSPressSales8</f>
        <v>0</v>
      </c>
      <c r="K142" s="1122">
        <f>FSPressSales9</f>
        <v>0</v>
      </c>
      <c r="L142" s="1122">
        <f>FSPressSales10</f>
        <v>0</v>
      </c>
    </row>
    <row r="143" spans="1:12" ht="13.9" customHeight="1">
      <c r="A143" s="19" t="s">
        <v>2102</v>
      </c>
      <c r="B143" s="1122">
        <f>FSAnnSale1</f>
        <v>25292.873154135334</v>
      </c>
      <c r="C143" s="1122">
        <f>FSAnnSale2</f>
        <v>0</v>
      </c>
      <c r="D143" s="1122">
        <f>FSAnnSale3</f>
        <v>0</v>
      </c>
      <c r="E143" s="1122">
        <f>FSAnnSale4</f>
        <v>0</v>
      </c>
      <c r="F143" s="1122">
        <f>FSAnnSale5</f>
        <v>0</v>
      </c>
      <c r="G143" s="25"/>
      <c r="H143" s="1123">
        <f>FSAnnSale6</f>
        <v>0</v>
      </c>
      <c r="I143" s="1123">
        <f>FSAnnSale7</f>
        <v>0</v>
      </c>
      <c r="J143" s="1123">
        <f>FSAnnSale8</f>
        <v>0</v>
      </c>
      <c r="K143" s="1123">
        <f>FSAnnSale9</f>
        <v>0</v>
      </c>
      <c r="L143" s="1123">
        <f>FSAnnSale10</f>
        <v>0</v>
      </c>
    </row>
    <row r="144" spans="1:12" ht="13.9" customHeight="1">
      <c r="A144" s="19" t="s">
        <v>2952</v>
      </c>
      <c r="B144" s="1122">
        <f>FSAnnSaleTool1</f>
        <v>25292.873154135334</v>
      </c>
      <c r="C144" s="1122" t="str">
        <f>FSAnnSaleTool2</f>
        <v/>
      </c>
      <c r="D144" s="1122" t="str">
        <f>FSAnnSaleTool3</f>
        <v/>
      </c>
      <c r="E144" s="1122" t="str">
        <f>FSAnnSaleTool4</f>
        <v/>
      </c>
      <c r="F144" s="1122" t="str">
        <f>FSAnnSaleTool5</f>
        <v/>
      </c>
      <c r="G144" s="25"/>
      <c r="H144" s="1123" t="str">
        <f>FSAnnSaleTool6</f>
        <v/>
      </c>
      <c r="I144" s="1123" t="str">
        <f>FSAnnSaleTool7</f>
        <v/>
      </c>
      <c r="J144" s="1123" t="str">
        <f>FSAnnSaleTool8</f>
        <v/>
      </c>
      <c r="K144" s="1123" t="str">
        <f>FSAnnSaleTool9</f>
        <v/>
      </c>
      <c r="L144" s="1123" t="str">
        <f>FSAnnSaleTool10</f>
        <v/>
      </c>
    </row>
    <row r="145" spans="1:12" ht="13.5" thickBot="1">
      <c r="A145" s="19" t="s">
        <v>2281</v>
      </c>
      <c r="B145" s="431">
        <f>IF(CavityScr1&gt;0,FSAmortDol1,0)</f>
        <v>0</v>
      </c>
      <c r="C145" s="431">
        <f>IF(CavityScr1&gt;0,FSAmortDol2,0)</f>
        <v>0</v>
      </c>
      <c r="D145" s="431">
        <f>IF(CavityScr1&gt;0,FSAmortDol3,0)</f>
        <v>0</v>
      </c>
      <c r="E145" s="431">
        <f>IF(CavityScr1&gt;0,FSAmortDol4,0)</f>
        <v>0</v>
      </c>
      <c r="F145" s="431">
        <f>IF(CavityScr1&gt;0,FSAmortDol5,0)</f>
        <v>0</v>
      </c>
      <c r="H145" s="431">
        <f>IF(CavityScr2&gt;0,FSAmortDol6,0)</f>
        <v>0</v>
      </c>
      <c r="I145" s="431">
        <f>IF(CavityScr2&gt;0,FSAmortDol7,0)</f>
        <v>0</v>
      </c>
      <c r="J145" s="431">
        <f>IF(CavityScr2&gt;0,FSAmortDol8,0)</f>
        <v>0</v>
      </c>
      <c r="K145" s="431">
        <f>IF(CavityScr2&gt;0,FSAmortDol9,0)</f>
        <v>0</v>
      </c>
      <c r="L145" s="431">
        <f>IF(CavityScr2&gt;0,FSAmortDol10,0)</f>
        <v>0</v>
      </c>
    </row>
    <row r="146" spans="1:12" ht="13.9" customHeight="1" thickBot="1">
      <c r="A146" s="19" t="s">
        <v>6297</v>
      </c>
      <c r="B146" s="1228"/>
      <c r="C146" s="1228"/>
      <c r="D146" s="1228"/>
      <c r="E146" s="1228"/>
      <c r="F146" s="1228"/>
      <c r="G146" s="30"/>
      <c r="H146" s="1228"/>
      <c r="I146" s="1228"/>
      <c r="J146" s="1228"/>
      <c r="K146" s="1228"/>
      <c r="L146" s="1228"/>
    </row>
    <row r="147" spans="1:12">
      <c r="A147" s="19" t="s">
        <v>235</v>
      </c>
      <c r="B147" s="447">
        <f>FSRatio1</f>
        <v>0</v>
      </c>
      <c r="C147" s="447">
        <f>FSRatio2</f>
        <v>0</v>
      </c>
      <c r="D147" s="447">
        <f>FSRatio3</f>
        <v>0</v>
      </c>
      <c r="E147" s="447">
        <f>FSRatio4</f>
        <v>0</v>
      </c>
      <c r="F147" s="447">
        <f>FSRatio5</f>
        <v>0</v>
      </c>
      <c r="G147" s="107"/>
      <c r="H147" s="447">
        <f>FSRatio6</f>
        <v>0</v>
      </c>
      <c r="I147" s="447">
        <f>FSRatio7</f>
        <v>0</v>
      </c>
      <c r="J147" s="447">
        <f>FSRatio8</f>
        <v>0</v>
      </c>
      <c r="K147" s="447">
        <f>FSRatio9</f>
        <v>0</v>
      </c>
      <c r="L147" s="447">
        <f>FSRatio10</f>
        <v>0</v>
      </c>
    </row>
    <row r="148" spans="1:12" ht="13.9" hidden="1" customHeight="1">
      <c r="A148" s="22" t="s">
        <v>3847</v>
      </c>
      <c r="B148" s="428">
        <f>FSResinCostPercentage11</f>
        <v>0.26500249926457953</v>
      </c>
      <c r="C148" s="428">
        <f>FSResinCostPercentage12</f>
        <v>0</v>
      </c>
      <c r="D148" s="428">
        <f>FSResinCostPercentage13</f>
        <v>0</v>
      </c>
      <c r="E148" s="428">
        <f>FSResinCostPercentage14</f>
        <v>0</v>
      </c>
      <c r="F148" s="428">
        <f>FSResinCostPercentage15</f>
        <v>0</v>
      </c>
      <c r="H148" s="428">
        <f>FSResinCostPercentage21</f>
        <v>0</v>
      </c>
      <c r="I148" s="428">
        <f>FSResinCostPercentage22</f>
        <v>0</v>
      </c>
      <c r="J148" s="428">
        <f>FSResinCostPercentage23</f>
        <v>0</v>
      </c>
      <c r="K148" s="428">
        <f>FSResinCostPercentage24</f>
        <v>0</v>
      </c>
      <c r="L148" s="428">
        <f>FSResinCostPercentage25</f>
        <v>0</v>
      </c>
    </row>
    <row r="149" spans="1:12" hidden="1">
      <c r="A149" s="22" t="s">
        <v>649</v>
      </c>
      <c r="B149" s="428">
        <f>FSBOCostPercentage11</f>
        <v>0</v>
      </c>
      <c r="C149" s="428">
        <f>FSBOCostPercentage12</f>
        <v>0</v>
      </c>
      <c r="D149" s="428">
        <f>FSBOCostPercentage13</f>
        <v>0</v>
      </c>
      <c r="E149" s="428">
        <f>FSBOCostPercentage14</f>
        <v>0</v>
      </c>
      <c r="F149" s="428">
        <f>FSBOCostPercentage15</f>
        <v>0</v>
      </c>
      <c r="H149" s="428">
        <f>FSBOCostPercentage21</f>
        <v>0</v>
      </c>
      <c r="I149" s="428">
        <f>FSBOCostPercentage22</f>
        <v>0</v>
      </c>
      <c r="J149" s="428">
        <f>FSBOCostPercentage23</f>
        <v>0</v>
      </c>
      <c r="K149" s="428">
        <f>FSBOCostPercentage24</f>
        <v>0</v>
      </c>
      <c r="L149" s="428">
        <f>FSBOCostPercentage25</f>
        <v>0</v>
      </c>
    </row>
    <row r="150" spans="1:12" hidden="1">
      <c r="A150" s="22" t="s">
        <v>3632</v>
      </c>
      <c r="B150" s="428">
        <f>FSPressCostPercentage11</f>
        <v>0.3786426137018461</v>
      </c>
      <c r="C150" s="428">
        <f>FSPressCostPercentage12</f>
        <v>0</v>
      </c>
      <c r="D150" s="428">
        <f>FSPressCostPercentage13</f>
        <v>0</v>
      </c>
      <c r="E150" s="428">
        <f>FSPressCostPercentage14</f>
        <v>0</v>
      </c>
      <c r="F150" s="428">
        <f>FSPressCostPercentage15</f>
        <v>0</v>
      </c>
      <c r="H150" s="428">
        <f>FSPressCostPercentage21</f>
        <v>0</v>
      </c>
      <c r="I150" s="428">
        <f>FSPressCostPercentage22</f>
        <v>0</v>
      </c>
      <c r="J150" s="428">
        <f>FSPressCostPercentage23</f>
        <v>0</v>
      </c>
      <c r="K150" s="428">
        <f>FSPressCostPercentage24</f>
        <v>0</v>
      </c>
      <c r="L150" s="428">
        <f>FSPressCostPercentage25</f>
        <v>0</v>
      </c>
    </row>
    <row r="151" spans="1:12" hidden="1">
      <c r="A151" s="22" t="s">
        <v>3633</v>
      </c>
      <c r="B151" s="428">
        <f>FStmCostPercentage11</f>
        <v>3.5059501268689452E-2</v>
      </c>
      <c r="C151" s="428">
        <f>FStmCostPercentage12</f>
        <v>0</v>
      </c>
      <c r="D151" s="428">
        <f>FStmCostPercentage13</f>
        <v>0</v>
      </c>
      <c r="E151" s="428">
        <f>FStmCostPercentage14</f>
        <v>0</v>
      </c>
      <c r="F151" s="428">
        <f>FStmCostPercentage15</f>
        <v>0</v>
      </c>
      <c r="H151" s="428">
        <f>FStmCostPercentage21</f>
        <v>0</v>
      </c>
      <c r="I151" s="428">
        <f>FStmCostPercentage22</f>
        <v>0</v>
      </c>
      <c r="J151" s="428">
        <f>FStmCostPercentage23</f>
        <v>0</v>
      </c>
      <c r="K151" s="428">
        <f>FStmCostPercentage24</f>
        <v>0</v>
      </c>
      <c r="L151" s="428">
        <f>FStmCostPercentage25</f>
        <v>0</v>
      </c>
    </row>
    <row r="152" spans="1:12" hidden="1">
      <c r="A152" s="22" t="s">
        <v>3634</v>
      </c>
      <c r="B152" s="428">
        <f>FSLaborCostPercentage11</f>
        <v>5.2199179891918746E-2</v>
      </c>
      <c r="C152" s="428">
        <f>FSLaborCostPercentage12</f>
        <v>0</v>
      </c>
      <c r="D152" s="428">
        <f>FSLaborCostPercentage13</f>
        <v>0</v>
      </c>
      <c r="E152" s="428">
        <f>FSLaborCostPercentage14</f>
        <v>0</v>
      </c>
      <c r="F152" s="428">
        <f>FSLaborCostPercentage15</f>
        <v>0</v>
      </c>
      <c r="H152" s="428">
        <f>FSLaborCostPercentage21</f>
        <v>0</v>
      </c>
      <c r="I152" s="428">
        <f>FSLaborCostPercentage22</f>
        <v>0</v>
      </c>
      <c r="J152" s="428">
        <f>FSLaborCostPercentage23</f>
        <v>0</v>
      </c>
      <c r="K152" s="428">
        <f>FSLaborCostPercentage24</f>
        <v>0</v>
      </c>
      <c r="L152" s="428">
        <f>FSLaborCostPercentage25</f>
        <v>0</v>
      </c>
    </row>
    <row r="153" spans="1:12" hidden="1">
      <c r="A153" s="22" t="s">
        <v>1147</v>
      </c>
      <c r="B153" s="428">
        <f>FSMinCostPercentage11</f>
        <v>7.5588284735294456E-2</v>
      </c>
      <c r="C153" s="428">
        <f>FSMinCostPercentage12</f>
        <v>0</v>
      </c>
      <c r="D153" s="428">
        <f>FSMinCostPercentage13</f>
        <v>0</v>
      </c>
      <c r="E153" s="428">
        <f>FSMinCostPercentage14</f>
        <v>0</v>
      </c>
      <c r="F153" s="428">
        <f>FSMinCostPercentage15</f>
        <v>0</v>
      </c>
      <c r="H153" s="428">
        <f>FSMinCostPercentage21</f>
        <v>0</v>
      </c>
      <c r="I153" s="428">
        <f>FSMinCostPercentage22</f>
        <v>0</v>
      </c>
      <c r="J153" s="428">
        <f>FSMinCostPercentage23</f>
        <v>0</v>
      </c>
      <c r="K153" s="428">
        <f>FSMinCostPercentage24</f>
        <v>0</v>
      </c>
      <c r="L153" s="428">
        <f>FSMinCostPercentage25</f>
        <v>0</v>
      </c>
    </row>
    <row r="154" spans="1:12" hidden="1">
      <c r="A154" s="22" t="s">
        <v>5431</v>
      </c>
      <c r="B154" s="428">
        <f>FSGFLCostPercentage11</f>
        <v>0</v>
      </c>
      <c r="C154" s="428">
        <f>FSGFLCostPercentage12</f>
        <v>0</v>
      </c>
      <c r="D154" s="428">
        <f>FSGFLCostPercentage13</f>
        <v>0</v>
      </c>
      <c r="E154" s="428">
        <f>FSGFLCostPercentage14</f>
        <v>0</v>
      </c>
      <c r="F154" s="428">
        <f>FSGFLCostPercentage15</f>
        <v>0</v>
      </c>
      <c r="H154" s="428">
        <f>FSGFLCostPercentage21</f>
        <v>0</v>
      </c>
      <c r="I154" s="428">
        <f>FSGFLCostPercentage22</f>
        <v>0</v>
      </c>
      <c r="J154" s="428">
        <f>FSGFLCostPercentage23</f>
        <v>0</v>
      </c>
      <c r="K154" s="428">
        <f>FSGFLCostPercentage24</f>
        <v>0</v>
      </c>
      <c r="L154" s="428">
        <f>FSGFLCostPercentage25</f>
        <v>0</v>
      </c>
    </row>
    <row r="155" spans="1:12" hidden="1">
      <c r="A155" s="22" t="s">
        <v>5430</v>
      </c>
      <c r="B155" s="428">
        <f>FSRobotCostPercentage11</f>
        <v>0</v>
      </c>
      <c r="C155" s="428">
        <f>FSRobotCostPercentage12</f>
        <v>0</v>
      </c>
      <c r="D155" s="428">
        <f>FSRobotCostPercentage13</f>
        <v>0</v>
      </c>
      <c r="E155" s="428">
        <f>FSRobotCostPercentage14</f>
        <v>0</v>
      </c>
      <c r="F155" s="428">
        <f>FSRobotCostPercentage15</f>
        <v>0</v>
      </c>
      <c r="H155" s="428">
        <f>FSRobotCostPercentage21</f>
        <v>0</v>
      </c>
      <c r="I155" s="428">
        <f>FSRobotCostPercentage22</f>
        <v>0</v>
      </c>
      <c r="J155" s="428">
        <f>FSRobotCostPercentage23</f>
        <v>0</v>
      </c>
      <c r="K155" s="428">
        <f>FSRobotCostPercentage24</f>
        <v>0</v>
      </c>
      <c r="L155" s="428">
        <f>FSRobotCostPercentage25</f>
        <v>0</v>
      </c>
    </row>
    <row r="156" spans="1:12" hidden="1">
      <c r="A156" s="22" t="s">
        <v>1148</v>
      </c>
      <c r="B156" s="428">
        <f>FSPackCostPercentage11</f>
        <v>0</v>
      </c>
      <c r="C156" s="428">
        <f>FSPackCostPercentage12</f>
        <v>0</v>
      </c>
      <c r="D156" s="428">
        <f>FSPackCostPercentage13</f>
        <v>0</v>
      </c>
      <c r="E156" s="428">
        <f>FSPackCostPercentage14</f>
        <v>0</v>
      </c>
      <c r="F156" s="428">
        <f>FSPackCostPercentage15</f>
        <v>0</v>
      </c>
      <c r="H156" s="428">
        <f>FSPackCostPercentage21</f>
        <v>0</v>
      </c>
      <c r="I156" s="428">
        <f>FSPackCostPercentage22</f>
        <v>0</v>
      </c>
      <c r="J156" s="428">
        <f>FSPackCostPercentage23</f>
        <v>0</v>
      </c>
      <c r="K156" s="428">
        <f>FSPackCostPercentage24</f>
        <v>0</v>
      </c>
      <c r="L156" s="428">
        <f>FSPackCostPercentage25</f>
        <v>0</v>
      </c>
    </row>
    <row r="157" spans="1:12">
      <c r="A157" s="449" t="s">
        <v>1654</v>
      </c>
      <c r="B157" s="1124">
        <f>IF(QEMinRelFlag=1,QEMinRel1,0)</f>
        <v>80000</v>
      </c>
      <c r="C157" s="1124">
        <f>IF(QEMinRelFlag=1,QEMinRel2,0)</f>
        <v>0</v>
      </c>
      <c r="D157" s="1124">
        <f>IF(QEMinRelFlag=1,QEMinRel3,0)</f>
        <v>0</v>
      </c>
      <c r="E157" s="1124">
        <f>IF(QEMinRelFlag=1,QEMinRel4,0)</f>
        <v>0</v>
      </c>
      <c r="F157" s="1124">
        <f>IF(QEMinRelFlag=1,QEMinRel5,0)</f>
        <v>0</v>
      </c>
      <c r="G157" s="1125"/>
      <c r="H157" s="1124">
        <f>IF(QEMinRelFlag=1,QEMinRel6,0)</f>
        <v>0</v>
      </c>
      <c r="I157" s="1124">
        <f>IF(QEMinRelFlag=1,QEMinRel7,0)</f>
        <v>0</v>
      </c>
      <c r="J157" s="1124">
        <f>IF(QEMinRelFlag=1,QEMinRel8,0)</f>
        <v>0</v>
      </c>
      <c r="K157" s="1124">
        <f>IF(QEMinRelFlag=1,QEMinRel9,0)</f>
        <v>0</v>
      </c>
      <c r="L157" s="1124">
        <f>IF(QEMinRelFlag=1,QEMinRel10,0)</f>
        <v>0</v>
      </c>
    </row>
    <row r="158" spans="1:12">
      <c r="A158" s="449" t="s">
        <v>1655</v>
      </c>
      <c r="B158" s="1124">
        <v>40000</v>
      </c>
      <c r="C158" s="1124">
        <f>IF(QEMinShipFlag=1,QEFinMinShip2,0)</f>
        <v>0</v>
      </c>
      <c r="D158" s="1124">
        <f>IF(QEMinShipFlag=1,QEFinMinShip3,0)</f>
        <v>0</v>
      </c>
      <c r="E158" s="1124">
        <f>IF(QEMinShipFlag=1,QEFinMinShip4,0)</f>
        <v>0</v>
      </c>
      <c r="F158" s="1124">
        <f>IF(QEMinShipFlag=1,QEFinMinShip5,0)</f>
        <v>0</v>
      </c>
      <c r="G158" s="1125"/>
      <c r="H158" s="1124">
        <f>IF(QEMinShipFlag=1,QEFinMinShip6,0)</f>
        <v>0</v>
      </c>
      <c r="I158" s="1124">
        <f>IF(QEMinShipFlag=1,QEFinMinShip7,0)</f>
        <v>0</v>
      </c>
      <c r="J158" s="1124">
        <f>IF(QEMinShipFlag=1,QEFinMinShip8,0)</f>
        <v>0</v>
      </c>
      <c r="K158" s="1124">
        <f>IF(QEMinShipFlag=1,QEFinMinShip9,0)</f>
        <v>0</v>
      </c>
      <c r="L158" s="1124">
        <f>IF(QEMinShipFlag=1,QEFinMinShip10,0)</f>
        <v>0</v>
      </c>
    </row>
    <row r="161" spans="1:14" ht="15.75">
      <c r="A161" s="239" t="s">
        <v>1180</v>
      </c>
      <c r="B161" s="21">
        <v>10</v>
      </c>
      <c r="C161" s="474" t="s">
        <v>5733</v>
      </c>
      <c r="D161" s="334"/>
      <c r="E161" s="334"/>
      <c r="F161" s="334"/>
      <c r="G161" s="451"/>
      <c r="H161" s="334"/>
      <c r="I161" s="334"/>
      <c r="J161" s="334"/>
      <c r="K161" s="334"/>
      <c r="L161" s="335"/>
      <c r="M161" s="27"/>
      <c r="N161" s="27"/>
    </row>
    <row r="162" spans="1:14">
      <c r="B162" s="21">
        <v>20</v>
      </c>
      <c r="C162" s="334" t="s">
        <v>5735</v>
      </c>
      <c r="D162" s="334"/>
      <c r="E162" s="334"/>
      <c r="F162" s="334"/>
      <c r="G162" s="451"/>
      <c r="H162" s="334"/>
      <c r="I162" s="334"/>
      <c r="J162" s="334"/>
      <c r="K162" s="334"/>
      <c r="L162" s="335"/>
      <c r="M162" s="27"/>
      <c r="N162" s="27"/>
    </row>
    <row r="163" spans="1:14">
      <c r="B163" s="21">
        <v>30</v>
      </c>
      <c r="C163" s="437" t="s">
        <v>685</v>
      </c>
      <c r="D163" s="437"/>
      <c r="E163" s="437"/>
      <c r="F163" s="438"/>
      <c r="G163" s="438"/>
      <c r="H163" s="334"/>
      <c r="I163" s="334"/>
      <c r="J163" s="334"/>
      <c r="K163" s="334"/>
      <c r="L163" s="335"/>
      <c r="M163" s="27"/>
      <c r="N163" s="27"/>
    </row>
    <row r="164" spans="1:14">
      <c r="B164" s="21">
        <v>40</v>
      </c>
      <c r="C164" s="437"/>
      <c r="D164" s="437"/>
      <c r="E164" s="437"/>
      <c r="F164" s="438"/>
      <c r="G164" s="438"/>
      <c r="H164" s="334"/>
      <c r="I164" s="334"/>
      <c r="J164" s="334"/>
      <c r="K164" s="334"/>
      <c r="L164" s="335"/>
      <c r="M164" s="27"/>
      <c r="N164" s="27"/>
    </row>
    <row r="165" spans="1:14">
      <c r="B165" s="21">
        <v>50</v>
      </c>
      <c r="C165" s="437"/>
      <c r="D165" s="437"/>
      <c r="E165" s="437"/>
      <c r="F165" s="438"/>
      <c r="G165" s="438"/>
      <c r="H165" s="334"/>
      <c r="I165" s="334"/>
      <c r="J165" s="334"/>
      <c r="K165" s="334"/>
      <c r="L165" s="335"/>
      <c r="M165" s="27"/>
      <c r="N165" s="27"/>
    </row>
    <row r="166" spans="1:14">
      <c r="B166" s="21">
        <v>60</v>
      </c>
      <c r="C166" s="334"/>
      <c r="D166" s="437"/>
      <c r="E166" s="437"/>
      <c r="F166" s="438"/>
      <c r="G166" s="438"/>
      <c r="H166" s="334"/>
      <c r="I166" s="334"/>
      <c r="J166" s="334"/>
      <c r="K166" s="334"/>
      <c r="L166" s="335"/>
      <c r="M166" s="27"/>
      <c r="N166" s="27"/>
    </row>
    <row r="167" spans="1:14">
      <c r="B167" s="21">
        <v>70</v>
      </c>
      <c r="C167" s="334"/>
      <c r="D167" s="437"/>
      <c r="E167" s="437"/>
      <c r="F167" s="438"/>
      <c r="G167" s="438"/>
      <c r="H167" s="334"/>
      <c r="I167" s="334"/>
      <c r="J167" s="334"/>
      <c r="K167" s="334"/>
      <c r="L167" s="335"/>
      <c r="M167" s="27"/>
      <c r="N167" s="27"/>
    </row>
    <row r="168" spans="1:14">
      <c r="B168" s="21">
        <v>80</v>
      </c>
      <c r="C168" s="334"/>
      <c r="D168" s="437"/>
      <c r="E168" s="437"/>
      <c r="F168" s="438"/>
      <c r="G168" s="438"/>
      <c r="H168" s="334"/>
      <c r="I168" s="334"/>
      <c r="J168" s="334"/>
      <c r="K168" s="334"/>
      <c r="L168" s="335"/>
      <c r="M168" s="27"/>
      <c r="N168" s="27"/>
    </row>
    <row r="169" spans="1:14">
      <c r="B169" s="21">
        <v>90</v>
      </c>
      <c r="C169" s="437"/>
      <c r="D169" s="1176"/>
      <c r="E169" s="1177"/>
      <c r="F169" s="1177"/>
      <c r="G169" s="27"/>
      <c r="H169" s="334"/>
      <c r="I169" s="334"/>
      <c r="J169" s="334"/>
      <c r="K169" s="334"/>
      <c r="L169" s="335"/>
      <c r="M169" s="27"/>
      <c r="N169" s="27"/>
    </row>
    <row r="170" spans="1:14">
      <c r="B170" s="21">
        <v>100</v>
      </c>
      <c r="C170" s="334"/>
      <c r="D170" s="1176"/>
      <c r="E170" s="1177"/>
      <c r="F170" s="1178"/>
      <c r="G170" s="440"/>
      <c r="H170" s="334"/>
      <c r="I170" s="334"/>
      <c r="J170" s="334"/>
      <c r="K170" s="334"/>
      <c r="L170" s="335"/>
      <c r="M170" s="27"/>
      <c r="N170" s="27"/>
    </row>
    <row r="171" spans="1:14">
      <c r="B171" s="21">
        <v>110</v>
      </c>
      <c r="C171" s="334"/>
      <c r="D171" s="1176"/>
      <c r="E171" s="1177"/>
      <c r="F171" s="1178"/>
      <c r="G171" s="440"/>
      <c r="H171" s="334"/>
      <c r="I171" s="334"/>
      <c r="J171" s="334"/>
      <c r="K171" s="334"/>
      <c r="L171" s="335"/>
      <c r="M171" s="27"/>
      <c r="N171" s="27"/>
    </row>
    <row r="172" spans="1:14">
      <c r="B172" s="21">
        <v>120</v>
      </c>
      <c r="C172" s="334"/>
      <c r="D172" s="1176"/>
      <c r="E172" s="1177"/>
      <c r="F172" s="1178"/>
      <c r="G172" s="440"/>
      <c r="H172" s="334"/>
      <c r="I172" s="334"/>
      <c r="J172" s="334"/>
      <c r="K172" s="334"/>
      <c r="L172" s="335"/>
      <c r="M172" s="27"/>
      <c r="N172" s="27"/>
    </row>
    <row r="173" spans="1:14">
      <c r="B173" s="21">
        <v>130</v>
      </c>
      <c r="C173" s="334"/>
      <c r="D173" s="1176"/>
      <c r="E173" s="1177"/>
      <c r="F173" s="1178"/>
      <c r="G173" s="440"/>
      <c r="H173" s="334"/>
      <c r="I173" s="334"/>
      <c r="J173" s="334"/>
      <c r="K173" s="334"/>
      <c r="L173" s="335"/>
      <c r="M173" s="27"/>
      <c r="N173" s="27"/>
    </row>
    <row r="174" spans="1:14">
      <c r="B174" s="21">
        <v>140</v>
      </c>
      <c r="C174" s="334"/>
      <c r="D174" s="1176"/>
      <c r="E174" s="1177"/>
      <c r="F174" s="1178"/>
      <c r="G174" s="440"/>
      <c r="H174" s="334"/>
      <c r="I174" s="334"/>
      <c r="J174" s="334"/>
      <c r="K174" s="334"/>
      <c r="L174" s="335"/>
      <c r="M174" s="27"/>
      <c r="N174" s="27"/>
    </row>
    <row r="175" spans="1:14">
      <c r="B175" s="21">
        <v>150</v>
      </c>
      <c r="C175" s="334"/>
      <c r="D175" s="1176"/>
      <c r="E175" s="1177"/>
      <c r="F175" s="1178"/>
      <c r="G175" s="440"/>
      <c r="H175" s="334"/>
      <c r="I175" s="334"/>
      <c r="J175" s="334"/>
      <c r="K175" s="334"/>
      <c r="L175" s="335"/>
      <c r="M175" s="27"/>
      <c r="N175" s="27"/>
    </row>
    <row r="176" spans="1:14">
      <c r="B176" s="21">
        <v>160</v>
      </c>
      <c r="C176" s="334"/>
      <c r="D176" s="1176"/>
      <c r="E176" s="1177"/>
      <c r="F176" s="1178"/>
      <c r="G176" s="440"/>
      <c r="H176" s="334"/>
      <c r="I176" s="334"/>
      <c r="J176" s="334"/>
      <c r="K176" s="334"/>
      <c r="L176" s="335"/>
      <c r="M176" s="27"/>
      <c r="N176" s="27"/>
    </row>
    <row r="177" spans="1:14">
      <c r="B177" s="21">
        <v>170</v>
      </c>
      <c r="C177" s="334"/>
      <c r="D177" s="1176"/>
      <c r="E177" s="1177"/>
      <c r="F177" s="1178"/>
      <c r="G177" s="440"/>
      <c r="H177" s="334"/>
      <c r="I177" s="334"/>
      <c r="J177" s="334"/>
      <c r="K177" s="334"/>
      <c r="L177" s="335"/>
      <c r="M177" s="27"/>
      <c r="N177" s="27"/>
    </row>
    <row r="178" spans="1:14">
      <c r="B178" s="21">
        <v>180</v>
      </c>
      <c r="C178" s="334"/>
      <c r="D178" s="1176"/>
      <c r="E178" s="1177"/>
      <c r="F178" s="1178"/>
      <c r="G178" s="440"/>
      <c r="H178" s="334"/>
      <c r="I178" s="334"/>
      <c r="J178" s="334"/>
      <c r="K178" s="334"/>
      <c r="L178" s="335"/>
      <c r="M178" s="27"/>
      <c r="N178" s="27"/>
    </row>
    <row r="179" spans="1:14">
      <c r="B179" s="21">
        <v>190</v>
      </c>
      <c r="C179" s="334"/>
      <c r="D179" s="1176"/>
      <c r="E179" s="1176"/>
      <c r="F179" s="1179"/>
      <c r="G179" s="441"/>
      <c r="H179" s="334"/>
      <c r="I179" s="334"/>
      <c r="J179" s="334"/>
      <c r="K179" s="334"/>
      <c r="L179" s="335"/>
      <c r="M179" s="27"/>
      <c r="N179" s="27"/>
    </row>
    <row r="180" spans="1:14">
      <c r="B180" s="21">
        <v>200</v>
      </c>
      <c r="C180" s="334"/>
      <c r="D180" s="1176"/>
      <c r="E180" s="1176"/>
      <c r="F180" s="1176"/>
      <c r="G180" s="439"/>
      <c r="H180" s="334"/>
      <c r="I180" s="334"/>
      <c r="J180" s="334"/>
      <c r="K180" s="334"/>
      <c r="L180" s="335"/>
      <c r="M180" s="27"/>
      <c r="N180" s="27"/>
    </row>
    <row r="181" spans="1:14">
      <c r="B181" s="21">
        <v>210</v>
      </c>
      <c r="C181" s="334"/>
      <c r="D181" s="334"/>
      <c r="E181" s="334"/>
      <c r="F181" s="334"/>
      <c r="G181" s="334"/>
      <c r="H181" s="334"/>
      <c r="I181" s="334"/>
      <c r="J181" s="334"/>
      <c r="K181" s="334"/>
      <c r="L181" s="335"/>
      <c r="M181" s="27"/>
      <c r="N181" s="27"/>
    </row>
    <row r="182" spans="1:14">
      <c r="B182" s="21">
        <v>220</v>
      </c>
      <c r="C182" s="334"/>
      <c r="D182" s="334"/>
      <c r="E182" s="334"/>
      <c r="F182" s="334"/>
      <c r="G182" s="334"/>
      <c r="H182" s="334"/>
      <c r="I182" s="334"/>
      <c r="J182" s="334"/>
      <c r="K182" s="334"/>
      <c r="L182" s="335"/>
      <c r="M182" s="27"/>
      <c r="N182" s="27"/>
    </row>
    <row r="183" spans="1:14">
      <c r="B183" s="21">
        <v>230</v>
      </c>
      <c r="C183" s="334"/>
      <c r="D183" s="334"/>
      <c r="E183" s="334"/>
      <c r="F183" s="334"/>
      <c r="G183" s="334"/>
      <c r="H183" s="334"/>
      <c r="I183" s="334"/>
      <c r="J183" s="334"/>
      <c r="K183" s="334"/>
      <c r="L183" s="335"/>
      <c r="M183" s="27"/>
      <c r="N183" s="27"/>
    </row>
    <row r="184" spans="1:14">
      <c r="B184" s="21">
        <v>240</v>
      </c>
      <c r="C184" s="334"/>
      <c r="D184" s="334"/>
      <c r="E184" s="334"/>
      <c r="F184" s="334"/>
      <c r="G184" s="334"/>
      <c r="H184" s="334"/>
      <c r="I184" s="334"/>
      <c r="J184" s="334"/>
      <c r="K184" s="334"/>
      <c r="L184" s="335"/>
      <c r="M184" s="27"/>
      <c r="N184" s="27"/>
    </row>
    <row r="185" spans="1:14">
      <c r="B185" s="21">
        <v>250</v>
      </c>
      <c r="C185" s="334"/>
      <c r="D185" s="334"/>
      <c r="E185" s="334"/>
      <c r="F185" s="334"/>
      <c r="G185" s="334"/>
      <c r="H185" s="334"/>
      <c r="I185" s="334"/>
      <c r="J185" s="334"/>
      <c r="K185" s="334"/>
      <c r="L185" s="335"/>
      <c r="M185" s="27"/>
      <c r="N185" s="27"/>
    </row>
    <row r="186" spans="1:14" ht="13.5" thickBot="1">
      <c r="A186" s="32"/>
      <c r="B186" s="33"/>
      <c r="C186" s="448" t="s">
        <v>379</v>
      </c>
      <c r="D186" s="327"/>
      <c r="E186" s="327"/>
      <c r="F186" s="327"/>
      <c r="G186" s="327"/>
      <c r="H186" s="327"/>
      <c r="I186" s="327"/>
      <c r="J186" s="327"/>
      <c r="K186" s="327"/>
      <c r="L186" s="351"/>
      <c r="M186" s="27"/>
      <c r="N186" s="27"/>
    </row>
    <row r="187" spans="1:14">
      <c r="C187" s="334"/>
      <c r="D187" s="334"/>
      <c r="E187" s="334"/>
      <c r="F187" s="334"/>
      <c r="G187" s="334"/>
      <c r="H187" s="334"/>
      <c r="I187" s="334"/>
      <c r="J187" s="334"/>
      <c r="K187" s="334"/>
      <c r="L187" s="335"/>
      <c r="M187" s="27"/>
      <c r="N187" s="27"/>
    </row>
    <row r="188" spans="1:14" ht="15.75">
      <c r="A188" s="239" t="s">
        <v>288</v>
      </c>
      <c r="B188" s="21">
        <v>10</v>
      </c>
      <c r="C188" s="474" t="s">
        <v>5735</v>
      </c>
      <c r="D188" s="334"/>
      <c r="E188" s="334"/>
      <c r="F188" s="334"/>
      <c r="G188" s="334"/>
      <c r="H188" s="334"/>
      <c r="I188" s="334"/>
      <c r="J188" s="334"/>
      <c r="K188" s="334"/>
      <c r="L188" s="335"/>
      <c r="M188" s="27"/>
      <c r="N188" s="27"/>
    </row>
    <row r="189" spans="1:14">
      <c r="B189" s="21">
        <v>20</v>
      </c>
      <c r="C189" s="333" t="s">
        <v>164</v>
      </c>
      <c r="D189" s="334"/>
      <c r="E189" s="334"/>
      <c r="F189" s="334"/>
      <c r="G189" s="334"/>
      <c r="H189" s="334"/>
      <c r="I189" s="334"/>
      <c r="J189" s="334"/>
      <c r="K189" s="334"/>
      <c r="L189" s="335"/>
      <c r="M189" s="27"/>
      <c r="N189" s="27"/>
    </row>
    <row r="190" spans="1:14">
      <c r="B190" s="21">
        <v>30</v>
      </c>
      <c r="C190" s="333" t="s">
        <v>1945</v>
      </c>
      <c r="D190" s="334"/>
      <c r="E190" s="334"/>
      <c r="F190" s="334"/>
      <c r="G190" s="334"/>
      <c r="H190" s="334"/>
      <c r="I190" s="334"/>
      <c r="J190" s="334"/>
      <c r="K190" s="334"/>
      <c r="L190" s="335"/>
      <c r="M190" s="27"/>
      <c r="N190" s="27"/>
    </row>
    <row r="191" spans="1:14">
      <c r="B191" s="21">
        <v>40</v>
      </c>
      <c r="C191" s="333" t="s">
        <v>2276</v>
      </c>
      <c r="D191" s="334"/>
      <c r="E191" s="334"/>
      <c r="F191" s="334"/>
      <c r="G191" s="334"/>
      <c r="H191" s="334"/>
      <c r="I191" s="334"/>
      <c r="J191" s="334"/>
      <c r="K191" s="334"/>
      <c r="L191" s="335"/>
      <c r="M191" s="27"/>
      <c r="N191" s="27"/>
    </row>
    <row r="192" spans="1:14">
      <c r="B192" s="21">
        <v>50</v>
      </c>
      <c r="C192" s="474"/>
      <c r="D192" s="334"/>
      <c r="E192" s="334"/>
      <c r="F192" s="334"/>
      <c r="G192" s="334"/>
      <c r="H192" s="334"/>
      <c r="I192" s="334"/>
      <c r="J192" s="334"/>
      <c r="K192" s="334"/>
      <c r="L192" s="335"/>
      <c r="M192" s="27"/>
      <c r="N192" s="27"/>
    </row>
    <row r="193" spans="1:14">
      <c r="B193" s="21">
        <v>60</v>
      </c>
      <c r="C193" s="474"/>
      <c r="D193" s="334"/>
      <c r="E193" s="334"/>
      <c r="F193" s="334"/>
      <c r="G193" s="334"/>
      <c r="H193" s="334"/>
      <c r="I193" s="334"/>
      <c r="J193" s="334"/>
      <c r="K193" s="334"/>
      <c r="L193" s="335"/>
      <c r="M193" s="27"/>
      <c r="N193" s="27"/>
    </row>
    <row r="194" spans="1:14">
      <c r="B194" s="21">
        <v>70</v>
      </c>
      <c r="C194" s="474"/>
      <c r="D194" s="334"/>
      <c r="E194" s="334"/>
      <c r="F194" s="334"/>
      <c r="G194" s="334"/>
      <c r="H194" s="334"/>
      <c r="I194" s="334"/>
      <c r="J194" s="334"/>
      <c r="K194" s="334"/>
      <c r="L194" s="335"/>
      <c r="M194" s="27"/>
      <c r="N194" s="27"/>
    </row>
    <row r="195" spans="1:14">
      <c r="B195" s="21">
        <v>80</v>
      </c>
      <c r="C195" s="474"/>
      <c r="D195" s="334"/>
      <c r="E195" s="334"/>
      <c r="F195" s="334"/>
      <c r="G195" s="334"/>
      <c r="H195" s="334"/>
      <c r="I195" s="334"/>
      <c r="J195" s="334"/>
      <c r="K195" s="334"/>
      <c r="L195" s="335"/>
      <c r="M195" s="27"/>
      <c r="N195" s="27"/>
    </row>
    <row r="196" spans="1:14">
      <c r="B196" s="21">
        <v>90</v>
      </c>
      <c r="C196" s="474"/>
      <c r="D196" s="334"/>
      <c r="E196" s="334"/>
      <c r="F196" s="334"/>
      <c r="G196" s="334"/>
      <c r="H196" s="334"/>
      <c r="I196" s="334"/>
      <c r="J196" s="334"/>
      <c r="K196" s="334"/>
      <c r="L196" s="335"/>
      <c r="M196" s="27"/>
      <c r="N196" s="27"/>
    </row>
    <row r="197" spans="1:14">
      <c r="B197" s="21">
        <v>100</v>
      </c>
      <c r="C197" s="474"/>
      <c r="D197" s="334"/>
      <c r="E197" s="334"/>
      <c r="F197" s="334"/>
      <c r="G197" s="334"/>
      <c r="H197" s="334"/>
      <c r="I197" s="334"/>
      <c r="J197" s="334"/>
      <c r="K197" s="334"/>
      <c r="L197" s="335"/>
      <c r="M197" s="27"/>
      <c r="N197" s="27"/>
    </row>
    <row r="198" spans="1:14">
      <c r="B198" s="21">
        <v>110</v>
      </c>
      <c r="C198" s="474"/>
      <c r="D198" s="334"/>
      <c r="E198" s="334"/>
      <c r="F198" s="334"/>
      <c r="G198" s="334"/>
      <c r="H198" s="334"/>
      <c r="I198" s="334"/>
      <c r="J198" s="334"/>
      <c r="K198" s="334"/>
      <c r="L198" s="335"/>
      <c r="M198" s="27"/>
      <c r="N198" s="27"/>
    </row>
    <row r="199" spans="1:14">
      <c r="B199" s="21">
        <v>120</v>
      </c>
      <c r="C199" s="474"/>
      <c r="D199" s="334"/>
      <c r="E199" s="334"/>
      <c r="F199" s="334"/>
      <c r="G199" s="334"/>
      <c r="H199" s="334"/>
      <c r="I199" s="334"/>
      <c r="J199" s="334"/>
      <c r="K199" s="334"/>
      <c r="L199" s="335"/>
      <c r="M199" s="27"/>
      <c r="N199" s="27"/>
    </row>
    <row r="200" spans="1:14">
      <c r="B200" s="21">
        <v>130</v>
      </c>
      <c r="C200" s="474"/>
      <c r="D200" s="334"/>
      <c r="E200" s="334"/>
      <c r="F200" s="334"/>
      <c r="G200" s="334"/>
      <c r="H200" s="334"/>
      <c r="I200" s="334"/>
      <c r="J200" s="334"/>
      <c r="K200" s="334"/>
      <c r="L200" s="335"/>
      <c r="M200" s="27"/>
      <c r="N200" s="27"/>
    </row>
    <row r="201" spans="1:14">
      <c r="B201" s="21">
        <v>140</v>
      </c>
      <c r="C201" s="474"/>
      <c r="D201" s="334"/>
      <c r="E201" s="334"/>
      <c r="F201" s="334"/>
      <c r="G201" s="334"/>
      <c r="H201" s="334"/>
      <c r="I201" s="334"/>
      <c r="J201" s="334"/>
      <c r="K201" s="334"/>
      <c r="L201" s="335"/>
      <c r="M201" s="27"/>
      <c r="N201" s="27"/>
    </row>
    <row r="202" spans="1:14">
      <c r="B202" s="21">
        <v>150</v>
      </c>
      <c r="C202" s="474"/>
      <c r="D202" s="334"/>
      <c r="E202" s="334"/>
      <c r="F202" s="334"/>
      <c r="G202" s="334"/>
      <c r="H202" s="334"/>
      <c r="I202" s="334"/>
      <c r="J202" s="334"/>
      <c r="K202" s="334"/>
      <c r="L202" s="335"/>
      <c r="M202" s="27"/>
      <c r="N202" s="27"/>
    </row>
    <row r="203" spans="1:14">
      <c r="B203" s="21">
        <v>160</v>
      </c>
      <c r="C203" s="716"/>
      <c r="D203" s="334"/>
      <c r="E203" s="334"/>
      <c r="F203" s="334"/>
      <c r="G203" s="334"/>
      <c r="H203" s="334"/>
      <c r="I203" s="334"/>
      <c r="J203" s="334"/>
      <c r="K203" s="334"/>
      <c r="L203" s="335"/>
      <c r="M203" s="27"/>
      <c r="N203" s="27"/>
    </row>
    <row r="204" spans="1:14">
      <c r="B204" s="21">
        <v>170</v>
      </c>
      <c r="C204" s="716"/>
      <c r="D204" s="334"/>
      <c r="E204" s="334"/>
      <c r="F204" s="334"/>
      <c r="G204" s="334"/>
      <c r="H204" s="334"/>
      <c r="I204" s="334"/>
      <c r="J204" s="334"/>
      <c r="K204" s="334"/>
      <c r="L204" s="335"/>
      <c r="M204" s="27"/>
      <c r="N204" s="27"/>
    </row>
    <row r="205" spans="1:14">
      <c r="B205" s="21">
        <v>180</v>
      </c>
      <c r="C205" s="474"/>
      <c r="D205" s="334"/>
      <c r="E205" s="334"/>
      <c r="F205" s="334"/>
      <c r="G205" s="334"/>
      <c r="H205" s="334"/>
      <c r="I205" s="334"/>
      <c r="J205" s="334"/>
      <c r="K205" s="334"/>
      <c r="L205" s="335"/>
      <c r="M205" s="27"/>
      <c r="N205" s="27"/>
    </row>
    <row r="206" spans="1:14">
      <c r="B206" s="21">
        <v>190</v>
      </c>
      <c r="C206" s="474"/>
      <c r="D206" s="334"/>
      <c r="E206" s="334"/>
      <c r="F206" s="334"/>
      <c r="G206" s="334"/>
      <c r="H206" s="334"/>
      <c r="I206" s="334"/>
      <c r="J206" s="334"/>
      <c r="K206" s="334"/>
      <c r="L206" s="335"/>
      <c r="M206" s="27"/>
      <c r="N206" s="27"/>
    </row>
    <row r="207" spans="1:14">
      <c r="A207" s="16"/>
      <c r="B207" s="21">
        <v>200</v>
      </c>
      <c r="C207" s="474"/>
      <c r="D207" s="27"/>
      <c r="E207" s="27"/>
      <c r="F207" s="27"/>
      <c r="G207" s="27"/>
      <c r="H207" s="27"/>
      <c r="I207" s="27"/>
      <c r="J207" s="27"/>
      <c r="K207" s="27"/>
      <c r="L207" s="353"/>
    </row>
    <row r="208" spans="1:14">
      <c r="A208" s="16"/>
      <c r="B208" s="21">
        <v>210</v>
      </c>
      <c r="C208" s="474"/>
      <c r="D208" s="27"/>
      <c r="E208" s="27"/>
      <c r="F208" s="27"/>
      <c r="G208" s="27"/>
      <c r="H208" s="27"/>
      <c r="I208" s="27"/>
      <c r="J208" s="27"/>
      <c r="K208" s="27"/>
      <c r="L208" s="353"/>
    </row>
    <row r="209" spans="1:15" s="30" customFormat="1">
      <c r="B209" s="21">
        <v>220</v>
      </c>
      <c r="C209" s="474"/>
      <c r="D209" s="352"/>
      <c r="E209" s="352"/>
      <c r="F209" s="352"/>
      <c r="G209" s="352"/>
      <c r="H209" s="352"/>
      <c r="I209" s="352"/>
      <c r="J209" s="352"/>
      <c r="K209" s="352"/>
      <c r="L209" s="354"/>
    </row>
    <row r="210" spans="1:15" s="30" customFormat="1">
      <c r="B210" s="21">
        <v>230</v>
      </c>
      <c r="C210" s="437"/>
      <c r="D210" s="352"/>
      <c r="E210" s="352"/>
      <c r="F210" s="352"/>
      <c r="G210" s="352"/>
      <c r="H210" s="352"/>
      <c r="I210" s="352"/>
      <c r="J210" s="352"/>
      <c r="K210" s="352"/>
      <c r="L210" s="354"/>
    </row>
    <row r="211" spans="1:15" s="30" customFormat="1">
      <c r="A211" s="19"/>
      <c r="B211" s="21">
        <v>240</v>
      </c>
      <c r="C211" s="437"/>
      <c r="D211" s="334"/>
      <c r="E211" s="334"/>
      <c r="F211" s="334"/>
      <c r="G211" s="334"/>
      <c r="H211" s="334"/>
      <c r="I211" s="334"/>
      <c r="J211" s="334"/>
      <c r="K211" s="334"/>
      <c r="L211" s="335"/>
      <c r="M211" s="27"/>
      <c r="N211" s="27"/>
      <c r="O211" s="16"/>
    </row>
    <row r="212" spans="1:15" s="30" customFormat="1">
      <c r="A212" s="19"/>
      <c r="B212" s="21"/>
      <c r="C212" s="480" t="s">
        <v>379</v>
      </c>
      <c r="D212" s="174"/>
      <c r="E212" s="174"/>
      <c r="F212" s="174"/>
      <c r="G212" s="174"/>
      <c r="H212" s="174"/>
      <c r="I212" s="174"/>
      <c r="J212" s="16"/>
      <c r="K212" s="16"/>
      <c r="L212" s="16"/>
      <c r="M212" s="16"/>
      <c r="N212" s="16"/>
      <c r="O212" s="16"/>
    </row>
    <row r="213" spans="1:15" s="30" customFormat="1" ht="15.75">
      <c r="A213" s="239"/>
      <c r="B213" s="239" t="s">
        <v>2536</v>
      </c>
      <c r="C213" s="28"/>
      <c r="D213" s="325"/>
      <c r="E213" s="326"/>
      <c r="F213" s="28"/>
      <c r="G213" s="28"/>
      <c r="H213" s="322"/>
      <c r="I213" s="323"/>
      <c r="J213" s="324"/>
    </row>
    <row r="214" spans="1:15" s="30" customFormat="1" ht="15.75">
      <c r="A214" s="239"/>
      <c r="B214" s="239"/>
      <c r="C214" s="28">
        <v>23275</v>
      </c>
      <c r="D214" s="325">
        <v>37943</v>
      </c>
      <c r="E214" s="326">
        <v>0.60873842592592597</v>
      </c>
      <c r="F214" s="28" t="s">
        <v>1182</v>
      </c>
      <c r="G214" s="28"/>
      <c r="H214" s="322"/>
      <c r="I214" s="323"/>
      <c r="J214" s="324"/>
    </row>
    <row r="215" spans="1:15" s="30" customFormat="1" ht="15.75">
      <c r="A215" s="239"/>
      <c r="B215" s="239"/>
      <c r="C215" s="28">
        <v>23275</v>
      </c>
      <c r="D215" s="325">
        <v>37943</v>
      </c>
      <c r="E215" s="326">
        <v>0.62115740740740744</v>
      </c>
      <c r="F215" s="28" t="s">
        <v>1182</v>
      </c>
      <c r="G215" s="28"/>
      <c r="H215" s="322"/>
      <c r="I215" s="323"/>
      <c r="J215" s="324"/>
    </row>
    <row r="216" spans="1:15" s="30" customFormat="1" ht="15.75">
      <c r="A216" s="239"/>
      <c r="B216" s="239"/>
      <c r="C216" s="28">
        <v>23275</v>
      </c>
      <c r="D216" s="325">
        <v>37943</v>
      </c>
      <c r="E216" s="326">
        <v>0.6257638888888889</v>
      </c>
      <c r="F216" s="28" t="s">
        <v>1182</v>
      </c>
      <c r="G216" s="28"/>
      <c r="H216" s="322"/>
      <c r="I216" s="323"/>
      <c r="J216" s="324"/>
    </row>
    <row r="217" spans="1:15" s="30" customFormat="1" ht="15.75">
      <c r="A217" s="239"/>
      <c r="B217" s="239"/>
      <c r="C217" s="28">
        <v>23276</v>
      </c>
      <c r="D217" s="325">
        <v>37943</v>
      </c>
      <c r="E217" s="326">
        <v>0.62858796296296293</v>
      </c>
      <c r="F217" s="28" t="s">
        <v>1182</v>
      </c>
      <c r="G217" s="28"/>
      <c r="H217" s="322"/>
      <c r="I217" s="323"/>
      <c r="J217" s="324"/>
    </row>
    <row r="218" spans="1:15" s="30" customFormat="1" ht="15.75">
      <c r="A218" s="239"/>
      <c r="B218" s="239"/>
      <c r="C218" s="28">
        <v>23276</v>
      </c>
      <c r="D218" s="325">
        <v>37949</v>
      </c>
      <c r="E218" s="326">
        <v>0.54342592592592587</v>
      </c>
      <c r="F218" s="28" t="s">
        <v>1182</v>
      </c>
      <c r="G218" s="28"/>
      <c r="H218" s="322"/>
      <c r="I218" s="323"/>
      <c r="J218" s="324"/>
    </row>
    <row r="219" spans="1:15" s="30" customFormat="1" ht="15.75">
      <c r="A219" s="239"/>
      <c r="B219" s="239"/>
      <c r="C219" s="28">
        <v>23276</v>
      </c>
      <c r="D219" s="325">
        <v>37957</v>
      </c>
      <c r="E219" s="326">
        <v>0.40780092592592593</v>
      </c>
      <c r="F219" s="28" t="s">
        <v>1182</v>
      </c>
      <c r="G219" s="28"/>
      <c r="H219" s="322"/>
      <c r="I219" s="323"/>
      <c r="J219" s="324"/>
    </row>
    <row r="220" spans="1:15" s="30" customFormat="1" ht="15.75">
      <c r="A220" s="239"/>
      <c r="B220" s="239"/>
      <c r="C220" s="28" t="s">
        <v>6273</v>
      </c>
      <c r="D220" s="325">
        <v>37958</v>
      </c>
      <c r="E220" s="326">
        <v>0.38439814814814816</v>
      </c>
      <c r="F220" s="28" t="s">
        <v>1182</v>
      </c>
      <c r="G220" s="28"/>
      <c r="H220" s="322"/>
      <c r="I220" s="323"/>
      <c r="J220" s="324"/>
    </row>
    <row r="221" spans="1:15" s="30" customFormat="1" ht="15.75">
      <c r="A221" s="239"/>
      <c r="B221" s="239"/>
      <c r="C221" s="28" t="s">
        <v>5848</v>
      </c>
      <c r="D221" s="325">
        <v>38532</v>
      </c>
      <c r="E221" s="326">
        <v>0.42493055555555559</v>
      </c>
      <c r="F221" s="28" t="s">
        <v>1182</v>
      </c>
      <c r="G221" s="28"/>
      <c r="H221" s="322"/>
      <c r="I221" s="323"/>
      <c r="J221" s="324"/>
    </row>
    <row r="222" spans="1:15" s="30" customFormat="1" ht="15.75">
      <c r="A222" s="239"/>
      <c r="B222" s="239"/>
      <c r="C222" s="28" t="s">
        <v>684</v>
      </c>
      <c r="D222" s="325">
        <v>38611</v>
      </c>
      <c r="E222" s="326">
        <v>0.35290509259259256</v>
      </c>
      <c r="F222" s="28" t="s">
        <v>2833</v>
      </c>
      <c r="G222" s="28"/>
      <c r="H222" s="322"/>
      <c r="I222" s="323"/>
      <c r="J222" s="324"/>
    </row>
    <row r="223" spans="1:15" s="30" customFormat="1" ht="15.75">
      <c r="A223" s="239"/>
      <c r="B223" s="239"/>
      <c r="C223" s="28"/>
      <c r="D223" s="325"/>
      <c r="E223" s="326"/>
      <c r="F223" s="28"/>
      <c r="G223" s="28"/>
      <c r="H223" s="322"/>
      <c r="I223" s="323"/>
      <c r="J223" s="324"/>
    </row>
    <row r="224" spans="1:15" s="30" customFormat="1" ht="15.75">
      <c r="A224" s="239"/>
      <c r="B224" s="239"/>
      <c r="C224" s="28"/>
      <c r="D224" s="325"/>
      <c r="E224" s="326"/>
      <c r="F224" s="28"/>
      <c r="G224" s="28"/>
      <c r="H224" s="322"/>
      <c r="I224" s="323"/>
      <c r="J224" s="324"/>
    </row>
    <row r="225" spans="1:15" s="30" customFormat="1" ht="15.75">
      <c r="A225" s="239"/>
      <c r="B225" s="239"/>
      <c r="C225" s="28"/>
      <c r="D225" s="325"/>
      <c r="E225" s="326"/>
      <c r="F225" s="28"/>
      <c r="G225" s="28"/>
      <c r="H225" s="322"/>
      <c r="I225" s="323"/>
      <c r="J225" s="324"/>
    </row>
    <row r="226" spans="1:15" s="30" customFormat="1" ht="15.75">
      <c r="A226" s="239"/>
      <c r="B226" s="239"/>
      <c r="C226" s="28"/>
      <c r="D226" s="325"/>
      <c r="E226" s="326"/>
      <c r="F226" s="28"/>
      <c r="G226" s="28"/>
      <c r="H226" s="322"/>
      <c r="I226" s="323"/>
      <c r="J226" s="324"/>
      <c r="O226" s="28"/>
    </row>
    <row r="227" spans="1:15" s="30" customFormat="1" ht="15.75">
      <c r="A227" s="239"/>
      <c r="B227" s="239"/>
      <c r="C227" s="28"/>
      <c r="D227" s="325"/>
      <c r="E227" s="326"/>
      <c r="F227" s="28"/>
      <c r="G227" s="28"/>
      <c r="H227" s="322"/>
      <c r="I227" s="323"/>
      <c r="J227" s="324"/>
    </row>
    <row r="228" spans="1:15" s="30" customFormat="1" ht="15.75">
      <c r="A228" s="239"/>
      <c r="B228" s="239"/>
      <c r="C228" s="28"/>
      <c r="D228" s="325"/>
      <c r="E228" s="326"/>
      <c r="F228" s="28"/>
      <c r="G228" s="28"/>
      <c r="H228" s="322"/>
      <c r="I228" s="323"/>
      <c r="J228" s="324"/>
    </row>
    <row r="229" spans="1:15" s="30" customFormat="1" ht="15.75">
      <c r="A229" s="239"/>
      <c r="B229" s="239"/>
      <c r="C229" s="28"/>
      <c r="D229" s="325"/>
      <c r="E229" s="326"/>
      <c r="F229" s="28"/>
      <c r="G229" s="28"/>
      <c r="H229" s="322"/>
      <c r="I229" s="323"/>
      <c r="J229" s="324"/>
    </row>
    <row r="230" spans="1:15" s="30" customFormat="1" ht="15.75">
      <c r="A230" s="239"/>
      <c r="B230" s="239"/>
      <c r="C230" s="28"/>
      <c r="D230" s="325"/>
      <c r="E230" s="326"/>
      <c r="F230" s="28"/>
      <c r="G230" s="28"/>
      <c r="H230" s="322"/>
      <c r="I230" s="323"/>
      <c r="J230" s="324"/>
    </row>
    <row r="231" spans="1:15" s="30" customFormat="1" ht="15.75">
      <c r="A231" s="239"/>
      <c r="B231" s="239"/>
      <c r="C231" s="28"/>
      <c r="D231" s="325"/>
      <c r="E231" s="326"/>
      <c r="F231" s="28"/>
      <c r="G231" s="28"/>
      <c r="H231" s="322"/>
      <c r="I231" s="323"/>
      <c r="J231" s="324"/>
    </row>
    <row r="232" spans="1:15" s="30" customFormat="1" ht="15.75">
      <c r="A232" s="239"/>
      <c r="B232" s="239"/>
    </row>
    <row r="233" spans="1:15" s="30" customFormat="1" ht="15.75">
      <c r="A233" s="239"/>
      <c r="B233" s="239"/>
    </row>
    <row r="234" spans="1:15" s="30" customFormat="1" ht="15.75">
      <c r="A234" s="239"/>
      <c r="B234" s="239"/>
    </row>
    <row r="235" spans="1:15" s="30" customFormat="1" ht="15.75">
      <c r="A235" s="239"/>
      <c r="B235" s="239"/>
    </row>
    <row r="236" spans="1:15" s="30" customFormat="1" ht="15.75">
      <c r="A236" s="239"/>
      <c r="B236" s="239"/>
    </row>
    <row r="237" spans="1:15" s="30" customFormat="1" ht="15.75">
      <c r="A237" s="239"/>
      <c r="B237" s="239"/>
    </row>
    <row r="238" spans="1:15" s="30" customFormat="1" ht="15.75">
      <c r="A238" s="239"/>
      <c r="B238" s="239"/>
    </row>
    <row r="239" spans="1:15" s="30" customFormat="1" ht="15.75">
      <c r="A239" s="239"/>
      <c r="B239" s="239"/>
    </row>
    <row r="240" spans="1:15" s="30" customFormat="1" ht="15.75">
      <c r="A240" s="239"/>
      <c r="B240" s="239"/>
    </row>
    <row r="241" spans="1:10" s="30" customFormat="1" ht="15.75">
      <c r="A241" s="239"/>
      <c r="B241" s="239"/>
    </row>
    <row r="242" spans="1:10" s="30" customFormat="1" ht="15.75">
      <c r="A242" s="239"/>
      <c r="B242" s="239"/>
    </row>
    <row r="243" spans="1:10" s="30" customFormat="1" ht="15.75">
      <c r="A243" s="239"/>
      <c r="B243" s="239"/>
    </row>
    <row r="244" spans="1:10" s="30" customFormat="1" ht="15.75">
      <c r="A244" s="239"/>
      <c r="B244" s="239"/>
      <c r="C244" s="28"/>
      <c r="D244" s="325"/>
      <c r="E244" s="326"/>
      <c r="F244" s="28"/>
      <c r="G244" s="28"/>
      <c r="H244" s="322"/>
      <c r="I244" s="323"/>
      <c r="J244" s="324"/>
    </row>
    <row r="245" spans="1:10" s="30" customFormat="1" ht="15.75">
      <c r="A245" s="239"/>
      <c r="B245" s="239"/>
      <c r="C245" s="28"/>
      <c r="D245" s="325"/>
      <c r="E245" s="326"/>
      <c r="F245" s="28"/>
      <c r="G245" s="28"/>
      <c r="H245" s="322"/>
      <c r="I245" s="323"/>
      <c r="J245" s="324"/>
    </row>
    <row r="246" spans="1:10" s="30" customFormat="1" ht="15.75">
      <c r="A246" s="239"/>
      <c r="B246" s="239"/>
      <c r="C246" s="28"/>
      <c r="D246" s="325"/>
      <c r="E246" s="326"/>
      <c r="F246" s="28"/>
      <c r="G246" s="28"/>
      <c r="H246" s="322"/>
      <c r="I246" s="323"/>
      <c r="J246" s="324"/>
    </row>
    <row r="247" spans="1:10" s="30" customFormat="1" ht="15.75">
      <c r="A247" s="239"/>
      <c r="B247" s="239"/>
      <c r="C247" s="28"/>
      <c r="D247" s="325"/>
      <c r="E247" s="326"/>
      <c r="F247" s="28"/>
      <c r="G247" s="28"/>
      <c r="H247" s="322"/>
      <c r="I247" s="323"/>
      <c r="J247" s="324"/>
    </row>
    <row r="248" spans="1:10" s="30" customFormat="1" ht="15.75">
      <c r="A248" s="239"/>
      <c r="B248" s="239"/>
      <c r="C248" s="28"/>
      <c r="D248" s="325"/>
      <c r="E248" s="326"/>
      <c r="F248" s="28"/>
      <c r="G248" s="28"/>
      <c r="H248" s="322"/>
      <c r="I248" s="323"/>
      <c r="J248" s="324"/>
    </row>
    <row r="249" spans="1:10" s="30" customFormat="1" ht="15.75">
      <c r="A249" s="239"/>
      <c r="B249" s="239"/>
      <c r="C249" s="28"/>
      <c r="D249" s="325"/>
      <c r="E249" s="326"/>
      <c r="F249" s="28"/>
      <c r="G249" s="28"/>
      <c r="H249" s="322"/>
      <c r="I249" s="323"/>
      <c r="J249" s="324"/>
    </row>
    <row r="250" spans="1:10" s="30" customFormat="1" ht="15.75">
      <c r="A250" s="239"/>
      <c r="B250" s="239"/>
      <c r="C250" s="28"/>
      <c r="D250" s="325"/>
      <c r="E250" s="326"/>
      <c r="F250" s="28"/>
      <c r="G250" s="28"/>
      <c r="H250" s="322"/>
      <c r="I250" s="323"/>
      <c r="J250" s="324"/>
    </row>
    <row r="251" spans="1:10" s="30" customFormat="1" ht="15.75">
      <c r="A251" s="239"/>
      <c r="B251" s="239"/>
      <c r="C251" s="28"/>
      <c r="D251" s="325"/>
      <c r="E251" s="326"/>
      <c r="F251" s="28"/>
      <c r="G251" s="28"/>
      <c r="H251" s="322"/>
      <c r="I251" s="323"/>
      <c r="J251" s="324"/>
    </row>
    <row r="252" spans="1:10" s="30" customFormat="1" ht="15.75">
      <c r="A252" s="239"/>
      <c r="B252" s="239"/>
      <c r="C252" s="28"/>
      <c r="D252" s="325"/>
      <c r="E252" s="326"/>
      <c r="F252" s="28"/>
      <c r="G252" s="28"/>
      <c r="H252" s="322"/>
      <c r="I252" s="323"/>
      <c r="J252" s="324"/>
    </row>
    <row r="253" spans="1:10" s="30" customFormat="1" ht="15.75">
      <c r="A253" s="239"/>
      <c r="B253" s="239"/>
      <c r="C253" s="28"/>
      <c r="D253" s="325"/>
      <c r="E253" s="326"/>
      <c r="F253" s="28"/>
      <c r="G253" s="28"/>
      <c r="H253" s="322"/>
      <c r="I253" s="323"/>
      <c r="J253" s="324"/>
    </row>
    <row r="254" spans="1:10" s="30" customFormat="1" ht="15.75">
      <c r="A254" s="239"/>
      <c r="B254" s="239"/>
      <c r="C254" s="325"/>
      <c r="D254" s="326"/>
      <c r="G254" s="28"/>
      <c r="H254" s="322"/>
      <c r="I254" s="323"/>
      <c r="J254" s="324"/>
    </row>
    <row r="255" spans="1:10" s="30" customFormat="1" ht="15.75">
      <c r="A255" s="239"/>
      <c r="B255" s="239"/>
      <c r="G255" s="28"/>
      <c r="H255" s="322"/>
      <c r="I255" s="323"/>
      <c r="J255" s="324"/>
    </row>
    <row r="256" spans="1:10" s="30" customFormat="1" ht="15.75">
      <c r="A256" s="239"/>
      <c r="B256" s="239"/>
      <c r="G256" s="28"/>
      <c r="H256" s="322"/>
      <c r="I256" s="323"/>
      <c r="J256" s="324"/>
    </row>
    <row r="257" spans="1:15" s="30" customFormat="1" ht="15.75">
      <c r="A257" s="239"/>
      <c r="B257" s="239"/>
      <c r="G257" s="28"/>
      <c r="H257" s="322"/>
      <c r="I257" s="323"/>
      <c r="J257" s="324"/>
    </row>
    <row r="258" spans="1:15" s="30" customFormat="1" ht="15.75">
      <c r="A258" s="239"/>
      <c r="B258" s="239"/>
      <c r="G258" s="28"/>
      <c r="H258" s="322"/>
      <c r="I258" s="323"/>
      <c r="J258" s="324"/>
    </row>
    <row r="259" spans="1:15" s="30" customFormat="1" ht="15.75">
      <c r="A259" s="239"/>
      <c r="B259" s="239"/>
      <c r="G259" s="28"/>
      <c r="H259" s="322"/>
      <c r="I259" s="323"/>
      <c r="J259" s="324"/>
    </row>
    <row r="260" spans="1:15" s="30" customFormat="1" ht="15.75">
      <c r="A260" s="239"/>
      <c r="B260" s="239"/>
      <c r="G260" s="28"/>
      <c r="H260" s="322"/>
      <c r="I260" s="323"/>
      <c r="J260" s="324"/>
    </row>
    <row r="261" spans="1:15" s="30" customFormat="1" ht="15.75">
      <c r="A261" s="239"/>
      <c r="B261" s="239"/>
      <c r="G261" s="28"/>
      <c r="H261" s="322"/>
      <c r="I261" s="323"/>
      <c r="J261" s="324"/>
    </row>
    <row r="262" spans="1:15" s="30" customFormat="1" ht="15.75">
      <c r="A262" s="239"/>
      <c r="B262" s="239"/>
      <c r="G262" s="28"/>
      <c r="H262" s="322"/>
      <c r="I262" s="323"/>
      <c r="J262" s="324"/>
    </row>
    <row r="263" spans="1:15" s="30" customFormat="1" ht="15.75">
      <c r="A263" s="239"/>
      <c r="B263" s="239"/>
      <c r="G263" s="28"/>
      <c r="H263" s="322"/>
      <c r="I263" s="323"/>
      <c r="J263" s="324"/>
    </row>
    <row r="264" spans="1:15" s="30" customFormat="1" ht="15.75">
      <c r="A264" s="239"/>
      <c r="B264" s="239"/>
      <c r="G264" s="28"/>
      <c r="H264" s="322"/>
      <c r="I264" s="323"/>
      <c r="J264" s="324"/>
    </row>
    <row r="265" spans="1:15" s="30" customFormat="1" ht="15.75">
      <c r="A265" s="239"/>
      <c r="B265" s="239"/>
      <c r="G265" s="28"/>
      <c r="H265" s="322"/>
      <c r="I265" s="323"/>
      <c r="J265" s="324"/>
    </row>
    <row r="266" spans="1:15" s="30" customFormat="1" ht="15.75">
      <c r="A266" s="239"/>
      <c r="B266" s="239"/>
      <c r="F266" s="28"/>
      <c r="G266" s="28"/>
      <c r="H266" s="322"/>
      <c r="I266" s="323"/>
      <c r="J266" s="324"/>
    </row>
    <row r="267" spans="1:15" s="30" customFormat="1" ht="15.75">
      <c r="A267" s="239"/>
      <c r="B267" s="239"/>
      <c r="C267" s="28"/>
      <c r="D267" s="325"/>
      <c r="E267" s="326"/>
      <c r="F267" s="28"/>
      <c r="G267" s="28"/>
      <c r="H267" s="322"/>
      <c r="I267" s="323"/>
      <c r="J267" s="324"/>
    </row>
    <row r="268" spans="1:15" s="30" customFormat="1" ht="15.75">
      <c r="A268" s="239"/>
      <c r="B268" s="239"/>
      <c r="F268" s="28"/>
      <c r="G268" s="28"/>
      <c r="H268" s="322"/>
      <c r="I268" s="323"/>
      <c r="J268" s="324"/>
    </row>
    <row r="269" spans="1:15" s="30" customFormat="1" ht="15.75">
      <c r="A269" s="239"/>
      <c r="B269" s="239"/>
      <c r="C269" s="28"/>
      <c r="D269" s="325"/>
      <c r="E269" s="326"/>
      <c r="F269" s="28"/>
      <c r="G269" s="28"/>
      <c r="H269" s="322"/>
      <c r="I269" s="323"/>
      <c r="J269" s="324"/>
    </row>
    <row r="270" spans="1:15" s="28" customFormat="1" ht="15.75">
      <c r="A270" s="239"/>
      <c r="B270" s="239"/>
      <c r="D270" s="325"/>
      <c r="E270" s="326"/>
      <c r="H270" s="322"/>
      <c r="I270" s="323"/>
      <c r="J270" s="324"/>
      <c r="K270" s="30"/>
      <c r="L270" s="30"/>
      <c r="M270" s="30"/>
      <c r="N270" s="30"/>
      <c r="O270" s="30"/>
    </row>
    <row r="271" spans="1:15" s="28" customFormat="1" ht="15.75">
      <c r="A271" s="239"/>
      <c r="B271" s="239"/>
      <c r="C271" s="30"/>
      <c r="D271" s="30"/>
      <c r="E271" s="30"/>
      <c r="H271" s="322"/>
      <c r="I271" s="323"/>
      <c r="J271" s="324"/>
      <c r="K271" s="30"/>
      <c r="L271" s="30"/>
      <c r="M271" s="30"/>
      <c r="N271" s="30"/>
      <c r="O271" s="30"/>
    </row>
    <row r="272" spans="1:15" s="28" customFormat="1" ht="15.75">
      <c r="A272" s="239"/>
      <c r="B272" s="239"/>
      <c r="C272" s="30"/>
      <c r="D272" s="30"/>
      <c r="E272" s="30"/>
      <c r="H272" s="322"/>
      <c r="I272" s="323"/>
      <c r="J272" s="324"/>
      <c r="K272" s="30"/>
      <c r="L272" s="30"/>
      <c r="M272" s="30"/>
      <c r="N272" s="30"/>
      <c r="O272" s="30"/>
    </row>
    <row r="273" spans="1:15" s="28" customFormat="1" ht="15.75">
      <c r="A273" s="239"/>
      <c r="B273" s="239"/>
      <c r="D273" s="326"/>
      <c r="H273" s="322"/>
      <c r="I273" s="323"/>
      <c r="J273" s="324"/>
      <c r="K273" s="30"/>
      <c r="L273" s="30"/>
      <c r="M273" s="30"/>
      <c r="N273" s="30"/>
      <c r="O273" s="30"/>
    </row>
    <row r="274" spans="1:15" s="28" customFormat="1">
      <c r="A274" s="19"/>
      <c r="B274" s="321"/>
      <c r="H274" s="322"/>
      <c r="I274" s="322"/>
      <c r="J274" s="321"/>
    </row>
    <row r="275" spans="1:15" s="28" customFormat="1">
      <c r="A275" s="19"/>
      <c r="B275" s="321"/>
      <c r="C275" s="325"/>
      <c r="D275" s="326"/>
      <c r="H275" s="322"/>
      <c r="I275" s="322"/>
      <c r="J275" s="321"/>
    </row>
    <row r="276" spans="1:15" s="28" customFormat="1">
      <c r="A276" s="19"/>
      <c r="B276" s="321"/>
      <c r="H276" s="322"/>
      <c r="I276" s="322"/>
      <c r="J276" s="321"/>
    </row>
    <row r="277" spans="1:15" s="28" customFormat="1">
      <c r="A277" s="19"/>
      <c r="B277" s="321"/>
      <c r="H277" s="322"/>
      <c r="I277" s="322"/>
      <c r="J277" s="321"/>
    </row>
    <row r="278" spans="1:15" s="28" customFormat="1">
      <c r="A278" s="19"/>
      <c r="B278" s="321"/>
      <c r="H278" s="322"/>
      <c r="I278" s="322"/>
      <c r="J278" s="321"/>
    </row>
    <row r="279" spans="1:15" s="28" customFormat="1">
      <c r="B279" s="321"/>
      <c r="H279" s="322"/>
      <c r="I279" s="322"/>
      <c r="J279" s="322"/>
    </row>
    <row r="280" spans="1:15" s="28" customFormat="1">
      <c r="B280" s="321"/>
      <c r="H280" s="322"/>
      <c r="I280" s="322"/>
      <c r="J280" s="322"/>
    </row>
    <row r="281" spans="1:15">
      <c r="B281" s="321"/>
      <c r="C281" s="28"/>
      <c r="D281" s="28"/>
      <c r="E281" s="28"/>
      <c r="F281" s="28"/>
      <c r="G281" s="28"/>
      <c r="H281" s="322"/>
      <c r="I281" s="322"/>
      <c r="J281" s="321"/>
    </row>
    <row r="282" spans="1:15">
      <c r="B282" s="321"/>
      <c r="C282" s="28"/>
      <c r="D282" s="28"/>
      <c r="E282" s="28"/>
      <c r="F282" s="28"/>
      <c r="G282" s="28"/>
      <c r="H282" s="322"/>
      <c r="I282" s="322"/>
      <c r="J282" s="321"/>
    </row>
    <row r="283" spans="1:15">
      <c r="B283" s="321"/>
      <c r="C283" s="28"/>
      <c r="D283" s="28"/>
      <c r="E283" s="28"/>
      <c r="F283" s="28"/>
      <c r="G283" s="28"/>
      <c r="H283" s="322"/>
      <c r="I283" s="322"/>
      <c r="J283" s="321"/>
    </row>
    <row r="284" spans="1:15">
      <c r="B284" s="321"/>
      <c r="C284" s="28"/>
      <c r="D284" s="28"/>
      <c r="E284" s="28"/>
      <c r="F284" s="28"/>
      <c r="G284" s="28"/>
      <c r="H284" s="322"/>
      <c r="I284" s="322"/>
      <c r="J284" s="321"/>
    </row>
    <row r="285" spans="1:15">
      <c r="B285" s="321"/>
      <c r="C285" s="28"/>
      <c r="D285" s="28"/>
      <c r="E285" s="28"/>
      <c r="F285" s="28"/>
      <c r="G285" s="28"/>
      <c r="H285" s="322"/>
      <c r="I285" s="322"/>
      <c r="J285" s="321"/>
    </row>
    <row r="286" spans="1:15">
      <c r="B286" s="321"/>
      <c r="C286" s="28"/>
      <c r="D286" s="28"/>
      <c r="E286" s="28"/>
      <c r="F286" s="28"/>
      <c r="G286" s="28"/>
      <c r="H286" s="322"/>
      <c r="I286" s="322"/>
      <c r="J286" s="321"/>
    </row>
    <row r="287" spans="1:15">
      <c r="B287" s="321"/>
      <c r="C287" s="28"/>
      <c r="D287" s="28"/>
      <c r="E287" s="28"/>
      <c r="F287" s="28"/>
      <c r="G287" s="28"/>
      <c r="H287" s="322"/>
      <c r="I287" s="322"/>
      <c r="J287" s="321"/>
    </row>
    <row r="288" spans="1:15">
      <c r="B288" s="321"/>
      <c r="C288" s="28"/>
      <c r="D288" s="28"/>
      <c r="E288" s="28"/>
      <c r="F288" s="28"/>
      <c r="G288" s="28"/>
      <c r="H288" s="322"/>
      <c r="I288" s="322"/>
      <c r="J288" s="321"/>
    </row>
    <row r="289" spans="2:10">
      <c r="B289" s="321"/>
      <c r="C289" s="28"/>
      <c r="D289" s="28"/>
      <c r="E289" s="28"/>
      <c r="F289" s="28"/>
      <c r="G289" s="28"/>
      <c r="H289" s="322"/>
      <c r="I289" s="322"/>
      <c r="J289" s="321"/>
    </row>
    <row r="290" spans="2:10">
      <c r="B290" s="321"/>
      <c r="C290" s="28"/>
      <c r="D290" s="28"/>
      <c r="E290" s="28"/>
      <c r="F290" s="28"/>
      <c r="G290" s="28"/>
      <c r="H290" s="322"/>
      <c r="I290" s="322"/>
      <c r="J290" s="321"/>
    </row>
    <row r="291" spans="2:10">
      <c r="B291" s="321"/>
      <c r="C291" s="28"/>
      <c r="D291" s="28"/>
      <c r="E291" s="28"/>
      <c r="F291" s="28"/>
      <c r="G291" s="28"/>
      <c r="H291" s="322"/>
      <c r="I291" s="322"/>
      <c r="J291" s="321"/>
    </row>
    <row r="292" spans="2:10">
      <c r="B292" s="321"/>
      <c r="C292" s="28"/>
      <c r="D292" s="28"/>
      <c r="E292" s="28"/>
      <c r="F292" s="28"/>
      <c r="G292" s="28"/>
      <c r="H292" s="322"/>
      <c r="I292" s="322"/>
      <c r="J292" s="321"/>
    </row>
    <row r="293" spans="2:10">
      <c r="B293" s="321"/>
      <c r="C293" s="28"/>
      <c r="D293" s="28"/>
      <c r="E293" s="28"/>
      <c r="F293" s="28"/>
      <c r="G293" s="28"/>
      <c r="H293" s="322"/>
      <c r="I293" s="322"/>
      <c r="J293" s="321"/>
    </row>
    <row r="294" spans="2:10">
      <c r="B294" s="321"/>
      <c r="C294" s="28"/>
      <c r="D294" s="28"/>
      <c r="E294" s="28"/>
      <c r="F294" s="28"/>
      <c r="G294" s="28"/>
      <c r="H294" s="322"/>
      <c r="I294" s="322"/>
      <c r="J294" s="321"/>
    </row>
    <row r="295" spans="2:10">
      <c r="B295" s="321"/>
      <c r="C295" s="28"/>
      <c r="D295" s="28"/>
      <c r="E295" s="28"/>
      <c r="F295" s="28"/>
      <c r="G295" s="28"/>
      <c r="H295" s="322"/>
      <c r="I295" s="322"/>
      <c r="J295" s="321"/>
    </row>
    <row r="296" spans="2:10">
      <c r="B296" s="321"/>
      <c r="C296" s="322"/>
      <c r="D296" s="322"/>
      <c r="E296" s="322"/>
      <c r="F296" s="322"/>
      <c r="G296" s="322"/>
      <c r="H296" s="322"/>
      <c r="I296" s="322"/>
      <c r="J296" s="321"/>
    </row>
    <row r="297" spans="2:10">
      <c r="B297" s="321"/>
      <c r="C297" s="322"/>
      <c r="D297" s="322"/>
      <c r="E297" s="322"/>
      <c r="F297" s="322"/>
      <c r="G297" s="322"/>
      <c r="H297" s="322"/>
      <c r="I297" s="322"/>
      <c r="J297" s="321"/>
    </row>
    <row r="298" spans="2:10">
      <c r="B298" s="321"/>
      <c r="C298" s="322"/>
      <c r="D298" s="322"/>
      <c r="E298" s="322"/>
      <c r="F298" s="322"/>
      <c r="G298" s="322"/>
      <c r="H298" s="322"/>
      <c r="I298" s="322"/>
      <c r="J298" s="321"/>
    </row>
    <row r="299" spans="2:10">
      <c r="B299" s="321"/>
      <c r="C299" s="322"/>
      <c r="D299" s="322"/>
      <c r="E299" s="322"/>
      <c r="F299" s="322"/>
      <c r="G299" s="322"/>
      <c r="H299" s="322"/>
      <c r="I299" s="322"/>
      <c r="J299" s="321"/>
    </row>
    <row r="300" spans="2:10">
      <c r="B300" s="321"/>
      <c r="C300" s="322"/>
      <c r="D300" s="322"/>
      <c r="E300" s="322"/>
      <c r="F300" s="322"/>
      <c r="G300" s="322"/>
      <c r="H300" s="322"/>
      <c r="I300" s="322"/>
      <c r="J300" s="321"/>
    </row>
    <row r="301" spans="2:10">
      <c r="B301" s="321"/>
      <c r="C301" s="322"/>
      <c r="D301" s="322"/>
      <c r="E301" s="322"/>
      <c r="F301" s="322"/>
      <c r="G301" s="322"/>
      <c r="H301" s="322"/>
      <c r="I301" s="322"/>
      <c r="J301" s="321"/>
    </row>
    <row r="302" spans="2:10">
      <c r="B302" s="321"/>
      <c r="C302" s="322"/>
      <c r="D302" s="322"/>
      <c r="E302" s="322"/>
      <c r="F302" s="322"/>
      <c r="G302" s="322"/>
      <c r="H302" s="322"/>
      <c r="I302" s="322"/>
      <c r="J302" s="321"/>
    </row>
    <row r="303" spans="2:10">
      <c r="B303" s="321"/>
      <c r="C303" s="322"/>
      <c r="D303" s="322"/>
      <c r="E303" s="322"/>
      <c r="F303" s="322"/>
      <c r="G303" s="322"/>
      <c r="H303" s="322"/>
      <c r="I303" s="322"/>
      <c r="J303" s="321"/>
    </row>
    <row r="304" spans="2:10">
      <c r="B304" s="321"/>
      <c r="C304" s="322"/>
      <c r="D304" s="322"/>
      <c r="E304" s="322"/>
      <c r="F304" s="322"/>
      <c r="G304" s="322"/>
      <c r="H304" s="322"/>
      <c r="I304" s="322"/>
      <c r="J304" s="321"/>
    </row>
    <row r="305" spans="2:10">
      <c r="B305" s="321"/>
      <c r="C305" s="322"/>
      <c r="D305" s="322"/>
      <c r="E305" s="322"/>
      <c r="F305" s="322"/>
      <c r="G305" s="322"/>
      <c r="H305" s="322"/>
      <c r="I305" s="322"/>
      <c r="J305" s="321"/>
    </row>
    <row r="306" spans="2:10">
      <c r="B306" s="321"/>
      <c r="C306" s="322"/>
      <c r="D306" s="322"/>
      <c r="E306" s="322"/>
      <c r="F306" s="322"/>
      <c r="G306" s="322"/>
      <c r="H306" s="322"/>
      <c r="I306" s="322"/>
      <c r="J306" s="321"/>
    </row>
    <row r="307" spans="2:10">
      <c r="B307" s="321"/>
      <c r="C307" s="322"/>
      <c r="D307" s="322"/>
      <c r="E307" s="322"/>
      <c r="F307" s="322"/>
      <c r="G307" s="322"/>
      <c r="H307" s="322"/>
      <c r="I307" s="322"/>
      <c r="J307" s="321"/>
    </row>
    <row r="308" spans="2:10">
      <c r="B308" s="321"/>
      <c r="C308" s="322"/>
      <c r="D308" s="322"/>
      <c r="E308" s="322"/>
      <c r="F308" s="322"/>
      <c r="G308" s="322"/>
      <c r="H308" s="322"/>
      <c r="I308" s="322"/>
      <c r="J308" s="321"/>
    </row>
    <row r="309" spans="2:10">
      <c r="B309" s="321"/>
      <c r="C309" s="322"/>
      <c r="D309" s="322"/>
      <c r="E309" s="322"/>
      <c r="F309" s="322"/>
      <c r="G309" s="322"/>
      <c r="H309" s="322"/>
      <c r="I309" s="322"/>
      <c r="J309" s="321"/>
    </row>
    <row r="310" spans="2:10">
      <c r="B310" s="321"/>
      <c r="C310" s="322"/>
      <c r="D310" s="322"/>
      <c r="E310" s="322"/>
      <c r="F310" s="322"/>
      <c r="G310" s="322"/>
      <c r="H310" s="322"/>
      <c r="I310" s="322"/>
      <c r="J310" s="321"/>
    </row>
    <row r="311" spans="2:10">
      <c r="B311" s="321"/>
      <c r="C311" s="322"/>
      <c r="D311" s="322"/>
      <c r="E311" s="322"/>
      <c r="F311" s="322"/>
      <c r="G311" s="322"/>
      <c r="H311" s="322"/>
      <c r="I311" s="322"/>
      <c r="J311" s="321"/>
    </row>
    <row r="312" spans="2:10">
      <c r="B312" s="321"/>
      <c r="C312" s="322"/>
      <c r="D312" s="322"/>
      <c r="E312" s="322"/>
      <c r="F312" s="322"/>
      <c r="G312" s="322"/>
      <c r="H312" s="322"/>
      <c r="I312" s="322"/>
      <c r="J312" s="321"/>
    </row>
    <row r="313" spans="2:10">
      <c r="B313" s="321"/>
      <c r="C313" s="322"/>
      <c r="D313" s="322"/>
      <c r="E313" s="322"/>
      <c r="F313" s="322"/>
      <c r="G313" s="322"/>
      <c r="H313" s="322"/>
      <c r="I313" s="322"/>
      <c r="J313" s="321"/>
    </row>
    <row r="314" spans="2:10">
      <c r="B314" s="321"/>
      <c r="C314" s="322"/>
      <c r="D314" s="322"/>
      <c r="E314" s="322"/>
      <c r="F314" s="322"/>
      <c r="G314" s="322"/>
      <c r="H314" s="322"/>
      <c r="I314" s="322"/>
      <c r="J314" s="321"/>
    </row>
    <row r="315" spans="2:10">
      <c r="B315" s="321"/>
      <c r="C315" s="322"/>
      <c r="D315" s="322"/>
      <c r="E315" s="322"/>
      <c r="F315" s="322"/>
      <c r="G315" s="322"/>
      <c r="H315" s="322"/>
      <c r="I315" s="322"/>
      <c r="J315" s="321"/>
    </row>
    <row r="316" spans="2:10">
      <c r="B316" s="321"/>
      <c r="C316" s="322"/>
      <c r="D316" s="322"/>
      <c r="E316" s="322"/>
      <c r="F316" s="322"/>
      <c r="G316" s="322"/>
      <c r="H316" s="322"/>
      <c r="I316" s="322"/>
      <c r="J316" s="321"/>
    </row>
    <row r="317" spans="2:10">
      <c r="B317" s="321"/>
      <c r="C317" s="322"/>
      <c r="D317" s="322"/>
      <c r="E317" s="322"/>
      <c r="F317" s="322"/>
      <c r="G317" s="322"/>
      <c r="H317" s="322"/>
      <c r="I317" s="322"/>
      <c r="J317" s="321"/>
    </row>
    <row r="318" spans="2:10">
      <c r="B318" s="321"/>
      <c r="C318" s="322"/>
      <c r="D318" s="322"/>
      <c r="E318" s="322"/>
      <c r="F318" s="322"/>
      <c r="G318" s="322"/>
      <c r="H318" s="322"/>
      <c r="I318" s="322"/>
      <c r="J318" s="321"/>
    </row>
    <row r="319" spans="2:10">
      <c r="B319" s="321"/>
      <c r="C319" s="322"/>
      <c r="D319" s="322"/>
      <c r="E319" s="322"/>
      <c r="F319" s="322"/>
      <c r="G319" s="322"/>
      <c r="H319" s="322"/>
      <c r="I319" s="322"/>
      <c r="J319" s="321"/>
    </row>
    <row r="320" spans="2:10">
      <c r="B320" s="321"/>
      <c r="C320" s="322"/>
      <c r="D320" s="322"/>
      <c r="E320" s="322"/>
      <c r="F320" s="322"/>
      <c r="G320" s="322"/>
      <c r="H320" s="322"/>
      <c r="I320" s="322"/>
      <c r="J320" s="321"/>
    </row>
    <row r="321" spans="2:10">
      <c r="B321" s="321"/>
      <c r="C321" s="322"/>
      <c r="D321" s="322"/>
      <c r="E321" s="322"/>
      <c r="F321" s="322"/>
      <c r="G321" s="322"/>
      <c r="H321" s="322"/>
      <c r="I321" s="322"/>
      <c r="J321" s="321"/>
    </row>
    <row r="322" spans="2:10">
      <c r="B322" s="321"/>
      <c r="C322" s="322"/>
      <c r="D322" s="322"/>
      <c r="E322" s="322"/>
      <c r="F322" s="322"/>
      <c r="G322" s="322"/>
      <c r="H322" s="322"/>
      <c r="I322" s="322"/>
      <c r="J322" s="321"/>
    </row>
    <row r="323" spans="2:10">
      <c r="B323" s="321"/>
      <c r="C323" s="322"/>
      <c r="D323" s="322"/>
      <c r="E323" s="322"/>
      <c r="F323" s="322"/>
      <c r="G323" s="322"/>
      <c r="H323" s="322"/>
      <c r="I323" s="322"/>
      <c r="J323" s="321"/>
    </row>
    <row r="324" spans="2:10">
      <c r="B324" s="321"/>
      <c r="C324" s="322"/>
      <c r="D324" s="322"/>
      <c r="E324" s="322"/>
      <c r="F324" s="322"/>
      <c r="G324" s="322"/>
      <c r="H324" s="322"/>
      <c r="I324" s="322"/>
      <c r="J324" s="321"/>
    </row>
    <row r="325" spans="2:10">
      <c r="B325" s="321"/>
      <c r="C325" s="322"/>
      <c r="D325" s="322"/>
      <c r="E325" s="322"/>
      <c r="F325" s="322"/>
      <c r="G325" s="322"/>
      <c r="H325" s="322"/>
      <c r="I325" s="322"/>
      <c r="J325" s="321"/>
    </row>
    <row r="326" spans="2:10">
      <c r="B326" s="321"/>
      <c r="C326" s="322"/>
      <c r="D326" s="322"/>
      <c r="E326" s="322"/>
      <c r="F326" s="322"/>
      <c r="G326" s="322"/>
      <c r="H326" s="322"/>
      <c r="I326" s="322"/>
      <c r="J326" s="321"/>
    </row>
    <row r="327" spans="2:10">
      <c r="B327" s="321"/>
      <c r="C327" s="322"/>
      <c r="D327" s="322"/>
      <c r="E327" s="322"/>
      <c r="F327" s="322"/>
      <c r="G327" s="322"/>
      <c r="H327" s="322"/>
      <c r="I327" s="322"/>
      <c r="J327" s="321"/>
    </row>
    <row r="328" spans="2:10">
      <c r="B328" s="321"/>
      <c r="C328" s="322"/>
      <c r="D328" s="322"/>
      <c r="E328" s="322"/>
      <c r="F328" s="322"/>
      <c r="G328" s="322"/>
      <c r="H328" s="322"/>
      <c r="I328" s="322"/>
      <c r="J328" s="321"/>
    </row>
    <row r="329" spans="2:10">
      <c r="B329" s="321"/>
      <c r="C329" s="322"/>
      <c r="D329" s="322"/>
      <c r="E329" s="322"/>
      <c r="F329" s="322"/>
      <c r="G329" s="322"/>
      <c r="H329" s="322"/>
      <c r="I329" s="322"/>
      <c r="J329" s="321"/>
    </row>
    <row r="330" spans="2:10">
      <c r="B330" s="321"/>
      <c r="C330" s="322"/>
      <c r="D330" s="322"/>
      <c r="E330" s="322"/>
      <c r="F330" s="322"/>
      <c r="G330" s="322"/>
      <c r="H330" s="322"/>
      <c r="I330" s="322"/>
      <c r="J330" s="321"/>
    </row>
    <row r="331" spans="2:10">
      <c r="B331" s="321"/>
      <c r="C331" s="322"/>
      <c r="D331" s="322"/>
      <c r="E331" s="322"/>
      <c r="F331" s="322"/>
      <c r="G331" s="322"/>
      <c r="H331" s="322"/>
      <c r="I331" s="322"/>
      <c r="J331" s="321"/>
    </row>
    <row r="332" spans="2:10">
      <c r="B332" s="321"/>
      <c r="C332" s="322"/>
      <c r="D332" s="322"/>
      <c r="E332" s="322"/>
      <c r="F332" s="322"/>
      <c r="G332" s="322"/>
      <c r="H332" s="322"/>
      <c r="I332" s="322"/>
      <c r="J332" s="321"/>
    </row>
    <row r="333" spans="2:10">
      <c r="B333" s="321"/>
      <c r="C333" s="322"/>
      <c r="D333" s="322"/>
      <c r="E333" s="322"/>
      <c r="F333" s="322"/>
      <c r="G333" s="322"/>
      <c r="H333" s="322"/>
      <c r="I333" s="322"/>
      <c r="J333" s="321"/>
    </row>
    <row r="334" spans="2:10">
      <c r="B334" s="321"/>
      <c r="C334" s="322"/>
      <c r="D334" s="322"/>
      <c r="E334" s="322"/>
      <c r="F334" s="322"/>
      <c r="G334" s="322"/>
      <c r="H334" s="322"/>
      <c r="I334" s="322"/>
      <c r="J334" s="321"/>
    </row>
    <row r="335" spans="2:10">
      <c r="B335" s="321"/>
      <c r="C335" s="322"/>
      <c r="D335" s="322"/>
      <c r="E335" s="322"/>
      <c r="F335" s="322"/>
      <c r="G335" s="322"/>
      <c r="H335" s="322"/>
      <c r="I335" s="322"/>
      <c r="J335" s="321"/>
    </row>
    <row r="336" spans="2:10">
      <c r="B336" s="321"/>
      <c r="C336" s="322"/>
      <c r="D336" s="322"/>
      <c r="E336" s="322"/>
      <c r="F336" s="322"/>
      <c r="G336" s="322"/>
      <c r="H336" s="322"/>
      <c r="I336" s="322"/>
      <c r="J336" s="321"/>
    </row>
    <row r="337" spans="2:10">
      <c r="B337" s="321"/>
      <c r="C337" s="322"/>
      <c r="D337" s="322"/>
      <c r="E337" s="322"/>
      <c r="F337" s="322"/>
      <c r="G337" s="322"/>
      <c r="H337" s="322"/>
      <c r="I337" s="322"/>
      <c r="J337" s="321"/>
    </row>
    <row r="338" spans="2:10">
      <c r="B338" s="321"/>
      <c r="C338" s="322"/>
      <c r="D338" s="322"/>
      <c r="E338" s="322"/>
      <c r="F338" s="322"/>
      <c r="G338" s="322"/>
      <c r="H338" s="322"/>
      <c r="I338" s="322"/>
      <c r="J338" s="321"/>
    </row>
    <row r="339" spans="2:10">
      <c r="B339" s="321"/>
      <c r="C339" s="322"/>
      <c r="D339" s="322"/>
      <c r="E339" s="322"/>
      <c r="F339" s="322"/>
      <c r="G339" s="322"/>
      <c r="H339" s="322"/>
      <c r="I339" s="322"/>
      <c r="J339" s="321"/>
    </row>
    <row r="340" spans="2:10">
      <c r="B340" s="321"/>
      <c r="C340" s="322"/>
      <c r="D340" s="322"/>
      <c r="E340" s="322"/>
      <c r="F340" s="322"/>
      <c r="G340" s="322"/>
      <c r="H340" s="322"/>
      <c r="I340" s="322"/>
      <c r="J340" s="321"/>
    </row>
    <row r="341" spans="2:10">
      <c r="B341" s="321"/>
      <c r="C341" s="322"/>
      <c r="D341" s="322"/>
      <c r="E341" s="322"/>
      <c r="F341" s="322"/>
      <c r="G341" s="322"/>
      <c r="H341" s="322"/>
      <c r="I341" s="322"/>
      <c r="J341" s="321"/>
    </row>
    <row r="342" spans="2:10">
      <c r="B342" s="321"/>
      <c r="C342" s="322"/>
      <c r="D342" s="322"/>
      <c r="E342" s="322"/>
      <c r="F342" s="322"/>
      <c r="G342" s="322"/>
      <c r="H342" s="322"/>
      <c r="I342" s="322"/>
      <c r="J342" s="321"/>
    </row>
    <row r="343" spans="2:10">
      <c r="B343" s="321"/>
      <c r="C343" s="322"/>
      <c r="D343" s="322"/>
      <c r="E343" s="322"/>
      <c r="F343" s="322"/>
      <c r="G343" s="322"/>
      <c r="H343" s="322"/>
      <c r="I343" s="322"/>
      <c r="J343" s="321"/>
    </row>
    <row r="344" spans="2:10">
      <c r="B344" s="321"/>
      <c r="C344" s="322"/>
      <c r="D344" s="322"/>
      <c r="E344" s="322"/>
      <c r="F344" s="322"/>
      <c r="G344" s="322"/>
      <c r="H344" s="322"/>
      <c r="I344" s="322"/>
      <c r="J344" s="321"/>
    </row>
    <row r="345" spans="2:10">
      <c r="B345" s="321"/>
      <c r="C345" s="322"/>
      <c r="D345" s="322"/>
      <c r="E345" s="322"/>
      <c r="F345" s="322"/>
      <c r="G345" s="322"/>
      <c r="H345" s="322"/>
      <c r="I345" s="322"/>
      <c r="J345" s="321"/>
    </row>
    <row r="346" spans="2:10">
      <c r="B346" s="321"/>
      <c r="C346" s="322"/>
      <c r="D346" s="322"/>
      <c r="E346" s="322"/>
      <c r="F346" s="322"/>
      <c r="G346" s="322"/>
      <c r="H346" s="322"/>
      <c r="I346" s="322"/>
      <c r="J346" s="321"/>
    </row>
    <row r="347" spans="2:10">
      <c r="B347" s="321"/>
      <c r="C347" s="322"/>
      <c r="D347" s="322"/>
      <c r="E347" s="322"/>
      <c r="F347" s="322"/>
      <c r="G347" s="322"/>
      <c r="H347" s="322"/>
      <c r="I347" s="322"/>
      <c r="J347" s="321"/>
    </row>
    <row r="348" spans="2:10">
      <c r="B348" s="321"/>
      <c r="C348" s="322"/>
      <c r="D348" s="322"/>
      <c r="E348" s="322"/>
      <c r="F348" s="322"/>
      <c r="G348" s="322"/>
      <c r="H348" s="322"/>
      <c r="I348" s="322"/>
      <c r="J348" s="321"/>
    </row>
    <row r="349" spans="2:10">
      <c r="B349" s="321"/>
      <c r="C349" s="322"/>
      <c r="D349" s="322"/>
      <c r="E349" s="322"/>
      <c r="F349" s="322"/>
      <c r="G349" s="322"/>
      <c r="H349" s="322"/>
      <c r="I349" s="322"/>
      <c r="J349" s="321"/>
    </row>
    <row r="350" spans="2:10">
      <c r="B350" s="321"/>
      <c r="C350" s="322"/>
      <c r="D350" s="322"/>
      <c r="E350" s="322"/>
      <c r="F350" s="322"/>
      <c r="G350" s="322"/>
      <c r="H350" s="322"/>
      <c r="I350" s="322"/>
      <c r="J350" s="321"/>
    </row>
    <row r="351" spans="2:10">
      <c r="B351" s="321"/>
      <c r="C351" s="322"/>
      <c r="D351" s="322"/>
      <c r="E351" s="322"/>
      <c r="F351" s="322"/>
      <c r="G351" s="322"/>
      <c r="H351" s="322"/>
      <c r="I351" s="322"/>
      <c r="J351" s="321"/>
    </row>
    <row r="352" spans="2:10">
      <c r="B352" s="321"/>
      <c r="C352" s="322"/>
      <c r="D352" s="322"/>
      <c r="E352" s="322"/>
      <c r="F352" s="322"/>
      <c r="G352" s="322"/>
      <c r="H352" s="322"/>
      <c r="I352" s="322"/>
      <c r="J352" s="321"/>
    </row>
    <row r="353" spans="2:10">
      <c r="B353" s="321"/>
      <c r="C353" s="322"/>
      <c r="D353" s="322"/>
      <c r="E353" s="322"/>
      <c r="F353" s="322"/>
      <c r="G353" s="322"/>
      <c r="H353" s="322"/>
      <c r="I353" s="322"/>
      <c r="J353" s="321"/>
    </row>
    <row r="354" spans="2:10">
      <c r="B354" s="321"/>
      <c r="C354" s="322"/>
      <c r="D354" s="322"/>
      <c r="E354" s="322"/>
      <c r="F354" s="322"/>
      <c r="G354" s="322"/>
      <c r="H354" s="322"/>
      <c r="I354" s="322"/>
      <c r="J354" s="321"/>
    </row>
    <row r="355" spans="2:10">
      <c r="B355" s="321"/>
      <c r="C355" s="322"/>
      <c r="D355" s="322"/>
      <c r="E355" s="322"/>
      <c r="F355" s="322"/>
      <c r="G355" s="322"/>
      <c r="H355" s="322"/>
      <c r="I355" s="322"/>
      <c r="J355" s="321"/>
    </row>
    <row r="356" spans="2:10">
      <c r="B356" s="321"/>
      <c r="C356" s="322"/>
      <c r="D356" s="322"/>
      <c r="E356" s="322"/>
      <c r="F356" s="322"/>
      <c r="G356" s="322"/>
      <c r="H356" s="322"/>
      <c r="I356" s="322"/>
      <c r="J356" s="321"/>
    </row>
    <row r="357" spans="2:10">
      <c r="B357" s="321"/>
      <c r="C357" s="322"/>
      <c r="D357" s="322"/>
      <c r="E357" s="322"/>
      <c r="F357" s="322"/>
      <c r="G357" s="322"/>
      <c r="H357" s="322"/>
      <c r="I357" s="322"/>
      <c r="J357" s="321"/>
    </row>
    <row r="358" spans="2:10">
      <c r="B358" s="321"/>
      <c r="C358" s="322"/>
      <c r="D358" s="322"/>
      <c r="E358" s="322"/>
      <c r="F358" s="322"/>
      <c r="G358" s="322"/>
      <c r="H358" s="322"/>
      <c r="I358" s="322"/>
      <c r="J358" s="321"/>
    </row>
    <row r="359" spans="2:10">
      <c r="B359" s="321"/>
      <c r="C359" s="322"/>
      <c r="D359" s="322"/>
      <c r="E359" s="322"/>
      <c r="F359" s="322"/>
      <c r="G359" s="322"/>
      <c r="H359" s="322"/>
      <c r="I359" s="322"/>
      <c r="J359" s="321"/>
    </row>
    <row r="360" spans="2:10">
      <c r="B360" s="321"/>
      <c r="C360" s="322"/>
      <c r="D360" s="322"/>
      <c r="E360" s="322"/>
      <c r="F360" s="322"/>
      <c r="G360" s="322"/>
      <c r="H360" s="322"/>
      <c r="I360" s="322"/>
      <c r="J360" s="321"/>
    </row>
    <row r="361" spans="2:10">
      <c r="B361" s="321"/>
      <c r="C361" s="322"/>
      <c r="D361" s="322"/>
      <c r="E361" s="322"/>
      <c r="F361" s="322"/>
      <c r="G361" s="322"/>
      <c r="H361" s="322"/>
      <c r="I361" s="322"/>
      <c r="J361" s="321"/>
    </row>
    <row r="362" spans="2:10">
      <c r="B362" s="321"/>
      <c r="C362" s="322"/>
      <c r="D362" s="322"/>
      <c r="E362" s="322"/>
      <c r="F362" s="322"/>
      <c r="G362" s="322"/>
      <c r="H362" s="322"/>
      <c r="I362" s="322"/>
      <c r="J362" s="321"/>
    </row>
    <row r="363" spans="2:10">
      <c r="B363" s="321"/>
      <c r="C363" s="322"/>
      <c r="D363" s="322"/>
      <c r="E363" s="322"/>
      <c r="F363" s="322"/>
      <c r="G363" s="322"/>
      <c r="H363" s="322"/>
      <c r="I363" s="322"/>
      <c r="J363" s="321"/>
    </row>
    <row r="364" spans="2:10">
      <c r="B364" s="321"/>
      <c r="C364" s="322"/>
      <c r="D364" s="322"/>
      <c r="E364" s="322"/>
      <c r="F364" s="322"/>
      <c r="G364" s="322"/>
      <c r="H364" s="322"/>
      <c r="I364" s="322"/>
      <c r="J364" s="321"/>
    </row>
    <row r="365" spans="2:10">
      <c r="B365" s="321"/>
      <c r="C365" s="322"/>
      <c r="D365" s="322"/>
      <c r="E365" s="322"/>
      <c r="F365" s="322"/>
      <c r="G365" s="322"/>
      <c r="H365" s="322"/>
      <c r="I365" s="322"/>
      <c r="J365" s="321"/>
    </row>
    <row r="366" spans="2:10">
      <c r="B366" s="321"/>
      <c r="C366" s="322"/>
      <c r="D366" s="322"/>
      <c r="E366" s="322"/>
      <c r="F366" s="322"/>
      <c r="G366" s="322"/>
      <c r="H366" s="322"/>
      <c r="I366" s="322"/>
      <c r="J366" s="321"/>
    </row>
    <row r="367" spans="2:10">
      <c r="B367" s="321"/>
      <c r="C367" s="322"/>
      <c r="D367" s="322"/>
      <c r="E367" s="322"/>
      <c r="F367" s="322"/>
      <c r="G367" s="322"/>
      <c r="H367" s="322"/>
      <c r="I367" s="322"/>
      <c r="J367" s="321"/>
    </row>
    <row r="368" spans="2:10">
      <c r="B368" s="321"/>
      <c r="C368" s="322"/>
      <c r="D368" s="322"/>
      <c r="E368" s="322"/>
      <c r="F368" s="322"/>
      <c r="G368" s="322"/>
      <c r="H368" s="322"/>
      <c r="I368" s="322"/>
      <c r="J368" s="321"/>
    </row>
    <row r="369" spans="2:10">
      <c r="B369" s="321"/>
      <c r="C369" s="322"/>
      <c r="D369" s="322"/>
      <c r="E369" s="322"/>
      <c r="F369" s="322"/>
      <c r="G369" s="322"/>
      <c r="H369" s="322"/>
      <c r="I369" s="322"/>
      <c r="J369" s="321"/>
    </row>
    <row r="370" spans="2:10">
      <c r="B370" s="321"/>
      <c r="C370" s="322"/>
      <c r="D370" s="322"/>
      <c r="E370" s="322"/>
      <c r="F370" s="322"/>
      <c r="G370" s="322"/>
      <c r="H370" s="322"/>
      <c r="I370" s="322"/>
      <c r="J370" s="321"/>
    </row>
    <row r="371" spans="2:10">
      <c r="B371" s="321"/>
      <c r="C371" s="322"/>
      <c r="D371" s="322"/>
      <c r="E371" s="322"/>
      <c r="F371" s="322"/>
      <c r="G371" s="322"/>
      <c r="H371" s="322"/>
      <c r="I371" s="322"/>
      <c r="J371" s="321"/>
    </row>
    <row r="372" spans="2:10">
      <c r="B372" s="321"/>
      <c r="C372" s="322"/>
      <c r="D372" s="322"/>
      <c r="E372" s="322"/>
      <c r="F372" s="322"/>
      <c r="G372" s="322"/>
      <c r="H372" s="322"/>
      <c r="I372" s="322"/>
      <c r="J372" s="321"/>
    </row>
    <row r="373" spans="2:10">
      <c r="B373" s="321"/>
      <c r="C373" s="322"/>
      <c r="D373" s="322"/>
      <c r="E373" s="322"/>
      <c r="F373" s="322"/>
      <c r="G373" s="322"/>
      <c r="H373" s="322"/>
      <c r="I373" s="322"/>
      <c r="J373" s="321"/>
    </row>
    <row r="374" spans="2:10">
      <c r="B374" s="321"/>
      <c r="C374" s="322"/>
      <c r="D374" s="322"/>
      <c r="E374" s="322"/>
      <c r="F374" s="322"/>
      <c r="G374" s="322"/>
      <c r="H374" s="322"/>
      <c r="I374" s="322"/>
      <c r="J374" s="321"/>
    </row>
    <row r="375" spans="2:10">
      <c r="B375" s="321"/>
      <c r="C375" s="322"/>
      <c r="D375" s="322"/>
      <c r="E375" s="322"/>
      <c r="F375" s="322"/>
      <c r="G375" s="322"/>
      <c r="H375" s="322"/>
      <c r="I375" s="322"/>
      <c r="J375" s="321"/>
    </row>
    <row r="376" spans="2:10">
      <c r="B376" s="321"/>
      <c r="C376" s="322"/>
      <c r="D376" s="322"/>
      <c r="E376" s="322"/>
      <c r="F376" s="322"/>
      <c r="G376" s="322"/>
      <c r="H376" s="322"/>
      <c r="I376" s="322"/>
      <c r="J376" s="321"/>
    </row>
    <row r="377" spans="2:10">
      <c r="B377" s="321"/>
      <c r="C377" s="322"/>
      <c r="D377" s="322"/>
      <c r="E377" s="322"/>
      <c r="F377" s="322"/>
      <c r="G377" s="322"/>
      <c r="H377" s="322"/>
      <c r="I377" s="322"/>
      <c r="J377" s="321"/>
    </row>
    <row r="378" spans="2:10">
      <c r="B378" s="321"/>
      <c r="C378" s="322"/>
      <c r="D378" s="322"/>
      <c r="E378" s="322"/>
      <c r="F378" s="322"/>
      <c r="G378" s="322"/>
      <c r="H378" s="322"/>
      <c r="I378" s="322"/>
      <c r="J378" s="321"/>
    </row>
    <row r="379" spans="2:10">
      <c r="B379" s="321"/>
      <c r="C379" s="322"/>
      <c r="D379" s="322"/>
      <c r="E379" s="322"/>
      <c r="F379" s="322"/>
      <c r="G379" s="322"/>
      <c r="H379" s="322"/>
      <c r="I379" s="322"/>
      <c r="J379" s="321"/>
    </row>
    <row r="380" spans="2:10">
      <c r="B380" s="321"/>
      <c r="C380" s="322"/>
      <c r="D380" s="322"/>
      <c r="E380" s="322"/>
      <c r="F380" s="322"/>
      <c r="G380" s="322"/>
      <c r="H380" s="322"/>
      <c r="I380" s="322"/>
      <c r="J380" s="321"/>
    </row>
    <row r="381" spans="2:10">
      <c r="B381" s="321"/>
      <c r="C381" s="322"/>
      <c r="D381" s="322"/>
      <c r="E381" s="322"/>
      <c r="F381" s="322"/>
      <c r="G381" s="322"/>
      <c r="H381" s="322"/>
      <c r="I381" s="322"/>
      <c r="J381" s="321"/>
    </row>
    <row r="382" spans="2:10">
      <c r="B382" s="321"/>
      <c r="C382" s="322"/>
      <c r="D382" s="322"/>
      <c r="E382" s="322"/>
      <c r="F382" s="322"/>
      <c r="G382" s="322"/>
      <c r="H382" s="322"/>
      <c r="I382" s="322"/>
      <c r="J382" s="321"/>
    </row>
    <row r="383" spans="2:10">
      <c r="B383" s="321"/>
      <c r="C383" s="322"/>
      <c r="D383" s="322"/>
      <c r="E383" s="322"/>
      <c r="F383" s="322"/>
      <c r="G383" s="322"/>
      <c r="H383" s="322"/>
      <c r="I383" s="322"/>
      <c r="J383" s="321"/>
    </row>
    <row r="384" spans="2:10">
      <c r="B384" s="321"/>
      <c r="C384" s="322"/>
      <c r="D384" s="322"/>
      <c r="E384" s="322"/>
      <c r="F384" s="322"/>
      <c r="G384" s="322"/>
      <c r="H384" s="322"/>
      <c r="I384" s="322"/>
      <c r="J384" s="321"/>
    </row>
    <row r="385" spans="2:10">
      <c r="B385" s="321"/>
      <c r="C385" s="322"/>
      <c r="D385" s="322"/>
      <c r="E385" s="322"/>
      <c r="F385" s="322"/>
      <c r="G385" s="322"/>
      <c r="H385" s="322"/>
      <c r="I385" s="322"/>
      <c r="J385" s="321"/>
    </row>
    <row r="386" spans="2:10">
      <c r="B386" s="321"/>
      <c r="C386" s="322"/>
      <c r="D386" s="322"/>
      <c r="E386" s="322"/>
      <c r="F386" s="322"/>
      <c r="G386" s="322"/>
      <c r="H386" s="322"/>
      <c r="I386" s="322"/>
      <c r="J386" s="321"/>
    </row>
    <row r="387" spans="2:10">
      <c r="B387" s="321"/>
      <c r="C387" s="322"/>
      <c r="D387" s="322"/>
      <c r="E387" s="322"/>
      <c r="F387" s="322"/>
      <c r="G387" s="322"/>
      <c r="H387" s="322"/>
      <c r="I387" s="322"/>
      <c r="J387" s="321"/>
    </row>
    <row r="388" spans="2:10">
      <c r="B388" s="321"/>
      <c r="C388" s="322"/>
      <c r="D388" s="322"/>
      <c r="E388" s="322"/>
      <c r="F388" s="322"/>
      <c r="G388" s="322"/>
      <c r="H388" s="322"/>
      <c r="I388" s="322"/>
      <c r="J388" s="321"/>
    </row>
    <row r="389" spans="2:10">
      <c r="B389" s="321"/>
      <c r="C389" s="322"/>
      <c r="D389" s="322"/>
      <c r="E389" s="322"/>
      <c r="F389" s="322"/>
      <c r="G389" s="322"/>
      <c r="H389" s="322"/>
      <c r="I389" s="322"/>
      <c r="J389" s="321"/>
    </row>
    <row r="390" spans="2:10">
      <c r="B390" s="321"/>
      <c r="C390" s="322"/>
      <c r="D390" s="322"/>
      <c r="E390" s="322"/>
      <c r="F390" s="322"/>
      <c r="G390" s="322"/>
      <c r="H390" s="322"/>
      <c r="I390" s="322"/>
      <c r="J390" s="321"/>
    </row>
    <row r="391" spans="2:10">
      <c r="B391" s="321"/>
      <c r="C391" s="322"/>
      <c r="D391" s="322"/>
      <c r="E391" s="322"/>
      <c r="F391" s="322"/>
      <c r="G391" s="322"/>
      <c r="H391" s="322"/>
      <c r="I391" s="322"/>
      <c r="J391" s="321"/>
    </row>
    <row r="392" spans="2:10">
      <c r="B392" s="321"/>
      <c r="C392" s="322"/>
      <c r="D392" s="322"/>
      <c r="E392" s="322"/>
      <c r="F392" s="322"/>
      <c r="G392" s="322"/>
      <c r="H392" s="322"/>
      <c r="I392" s="322"/>
      <c r="J392" s="321"/>
    </row>
    <row r="393" spans="2:10">
      <c r="B393" s="321"/>
      <c r="C393" s="322"/>
      <c r="D393" s="322"/>
      <c r="E393" s="322"/>
      <c r="F393" s="322"/>
      <c r="G393" s="322"/>
      <c r="H393" s="322"/>
      <c r="I393" s="322"/>
      <c r="J393" s="321"/>
    </row>
    <row r="394" spans="2:10">
      <c r="B394" s="321"/>
      <c r="C394" s="322"/>
      <c r="D394" s="322"/>
      <c r="E394" s="322"/>
      <c r="F394" s="322"/>
      <c r="G394" s="322"/>
      <c r="H394" s="322"/>
      <c r="I394" s="322"/>
      <c r="J394" s="321"/>
    </row>
    <row r="395" spans="2:10">
      <c r="B395" s="321"/>
      <c r="C395" s="322"/>
      <c r="D395" s="322"/>
      <c r="E395" s="322"/>
      <c r="F395" s="322"/>
      <c r="G395" s="322"/>
      <c r="H395" s="322"/>
      <c r="I395" s="322"/>
      <c r="J395" s="321"/>
    </row>
    <row r="396" spans="2:10">
      <c r="B396" s="321"/>
      <c r="C396" s="322"/>
      <c r="D396" s="322"/>
      <c r="E396" s="322"/>
      <c r="F396" s="322"/>
      <c r="G396" s="322"/>
      <c r="H396" s="322"/>
      <c r="I396" s="322"/>
      <c r="J396" s="321"/>
    </row>
    <row r="397" spans="2:10">
      <c r="B397" s="321"/>
      <c r="C397" s="322"/>
      <c r="D397" s="322"/>
      <c r="E397" s="322"/>
      <c r="F397" s="322"/>
      <c r="G397" s="322"/>
      <c r="H397" s="322"/>
      <c r="I397" s="322"/>
      <c r="J397" s="321"/>
    </row>
    <row r="398" spans="2:10">
      <c r="B398" s="321"/>
      <c r="C398" s="322"/>
      <c r="D398" s="322"/>
      <c r="E398" s="322"/>
      <c r="F398" s="322"/>
      <c r="G398" s="322"/>
      <c r="H398" s="322"/>
      <c r="I398" s="322"/>
      <c r="J398" s="321"/>
    </row>
    <row r="399" spans="2:10">
      <c r="B399" s="321"/>
      <c r="C399" s="322"/>
      <c r="D399" s="322"/>
      <c r="E399" s="322"/>
      <c r="F399" s="322"/>
      <c r="G399" s="322"/>
      <c r="H399" s="322"/>
      <c r="I399" s="322"/>
      <c r="J399" s="321"/>
    </row>
    <row r="400" spans="2:10">
      <c r="B400" s="321"/>
      <c r="C400" s="322"/>
      <c r="D400" s="322"/>
      <c r="E400" s="322"/>
      <c r="F400" s="322"/>
      <c r="G400" s="322"/>
      <c r="H400" s="322"/>
      <c r="I400" s="322"/>
      <c r="J400" s="321"/>
    </row>
    <row r="401" spans="2:10">
      <c r="B401" s="321"/>
      <c r="C401" s="322"/>
      <c r="D401" s="322"/>
      <c r="E401" s="322"/>
      <c r="F401" s="322"/>
      <c r="G401" s="322"/>
      <c r="H401" s="322"/>
      <c r="I401" s="322"/>
      <c r="J401" s="321"/>
    </row>
    <row r="402" spans="2:10">
      <c r="B402" s="321"/>
      <c r="C402" s="322"/>
      <c r="D402" s="322"/>
      <c r="E402" s="322"/>
      <c r="F402" s="322"/>
      <c r="G402" s="322"/>
      <c r="H402" s="322"/>
      <c r="I402" s="322"/>
      <c r="J402" s="321"/>
    </row>
    <row r="403" spans="2:10">
      <c r="B403" s="321"/>
      <c r="C403" s="322"/>
      <c r="D403" s="322"/>
      <c r="E403" s="322"/>
      <c r="F403" s="322"/>
      <c r="G403" s="322"/>
      <c r="H403" s="322"/>
      <c r="I403" s="322"/>
      <c r="J403" s="321"/>
    </row>
    <row r="404" spans="2:10">
      <c r="B404" s="321"/>
      <c r="C404" s="322"/>
      <c r="D404" s="322"/>
      <c r="E404" s="322"/>
      <c r="F404" s="322"/>
      <c r="G404" s="322"/>
      <c r="H404" s="322"/>
      <c r="I404" s="322"/>
      <c r="J404" s="321"/>
    </row>
    <row r="405" spans="2:10">
      <c r="B405" s="321"/>
      <c r="C405" s="322"/>
      <c r="D405" s="322"/>
      <c r="E405" s="322"/>
      <c r="F405" s="322"/>
      <c r="G405" s="322"/>
      <c r="H405" s="322"/>
      <c r="I405" s="322"/>
      <c r="J405" s="321"/>
    </row>
    <row r="406" spans="2:10">
      <c r="B406" s="321"/>
      <c r="C406" s="322"/>
      <c r="D406" s="322"/>
      <c r="E406" s="322"/>
      <c r="F406" s="322"/>
      <c r="G406" s="322"/>
      <c r="H406" s="322"/>
      <c r="I406" s="322"/>
      <c r="J406" s="321"/>
    </row>
    <row r="407" spans="2:10">
      <c r="B407" s="321"/>
      <c r="C407" s="322"/>
      <c r="D407" s="322"/>
      <c r="E407" s="322"/>
      <c r="F407" s="322"/>
      <c r="G407" s="322"/>
      <c r="H407" s="322"/>
      <c r="I407" s="322"/>
      <c r="J407" s="321"/>
    </row>
    <row r="408" spans="2:10">
      <c r="B408" s="321"/>
      <c r="C408" s="322"/>
      <c r="D408" s="322"/>
      <c r="E408" s="322"/>
      <c r="F408" s="322"/>
      <c r="G408" s="322"/>
      <c r="H408" s="322"/>
      <c r="I408" s="322"/>
      <c r="J408" s="321"/>
    </row>
    <row r="409" spans="2:10">
      <c r="B409" s="321"/>
      <c r="C409" s="322"/>
      <c r="D409" s="322"/>
      <c r="E409" s="322"/>
      <c r="F409" s="322"/>
      <c r="G409" s="322"/>
      <c r="H409" s="322"/>
      <c r="I409" s="322"/>
      <c r="J409" s="321"/>
    </row>
    <row r="410" spans="2:10">
      <c r="B410" s="321"/>
      <c r="C410" s="322"/>
      <c r="D410" s="322"/>
      <c r="E410" s="322"/>
      <c r="F410" s="322"/>
      <c r="G410" s="322"/>
      <c r="H410" s="322"/>
      <c r="I410" s="322"/>
      <c r="J410" s="321"/>
    </row>
    <row r="411" spans="2:10">
      <c r="B411" s="321"/>
      <c r="C411" s="322"/>
      <c r="D411" s="322"/>
      <c r="E411" s="322"/>
      <c r="F411" s="322"/>
      <c r="G411" s="322"/>
      <c r="H411" s="322"/>
      <c r="I411" s="322"/>
      <c r="J411" s="321"/>
    </row>
    <row r="412" spans="2:10">
      <c r="B412" s="321"/>
      <c r="C412" s="322"/>
      <c r="D412" s="322"/>
      <c r="E412" s="322"/>
      <c r="F412" s="322"/>
      <c r="G412" s="322"/>
      <c r="H412" s="322"/>
      <c r="I412" s="322"/>
      <c r="J412" s="321"/>
    </row>
    <row r="413" spans="2:10">
      <c r="B413" s="321"/>
      <c r="C413" s="322"/>
      <c r="D413" s="322"/>
      <c r="E413" s="322"/>
      <c r="F413" s="322"/>
      <c r="G413" s="322"/>
      <c r="H413" s="322"/>
      <c r="I413" s="322"/>
      <c r="J413" s="321"/>
    </row>
    <row r="414" spans="2:10">
      <c r="B414" s="321"/>
      <c r="C414" s="322"/>
      <c r="D414" s="322"/>
      <c r="E414" s="322"/>
      <c r="F414" s="322"/>
      <c r="G414" s="322"/>
      <c r="H414" s="322"/>
      <c r="I414" s="322"/>
      <c r="J414" s="321"/>
    </row>
    <row r="415" spans="2:10">
      <c r="B415" s="321"/>
      <c r="C415" s="322"/>
      <c r="D415" s="322"/>
      <c r="E415" s="322"/>
      <c r="F415" s="322"/>
      <c r="G415" s="322"/>
      <c r="H415" s="322"/>
      <c r="I415" s="322"/>
      <c r="J415" s="321"/>
    </row>
    <row r="416" spans="2:10">
      <c r="B416" s="321"/>
      <c r="C416" s="322"/>
      <c r="D416" s="322"/>
      <c r="E416" s="322"/>
      <c r="F416" s="322"/>
      <c r="G416" s="322"/>
      <c r="H416" s="322"/>
      <c r="I416" s="322"/>
      <c r="J416" s="321"/>
    </row>
    <row r="417" spans="2:10">
      <c r="B417" s="321"/>
      <c r="C417" s="322"/>
      <c r="D417" s="322"/>
      <c r="E417" s="322"/>
      <c r="F417" s="322"/>
      <c r="G417" s="322"/>
      <c r="H417" s="322"/>
      <c r="I417" s="322"/>
      <c r="J417" s="321"/>
    </row>
    <row r="418" spans="2:10">
      <c r="B418" s="321"/>
      <c r="C418" s="322"/>
      <c r="D418" s="322"/>
      <c r="E418" s="322"/>
      <c r="F418" s="322"/>
      <c r="G418" s="322"/>
      <c r="H418" s="322"/>
      <c r="I418" s="322"/>
      <c r="J418" s="321"/>
    </row>
    <row r="419" spans="2:10">
      <c r="B419" s="321"/>
      <c r="C419" s="322"/>
      <c r="D419" s="322"/>
      <c r="E419" s="322"/>
      <c r="F419" s="322"/>
      <c r="G419" s="322"/>
      <c r="H419" s="322"/>
      <c r="I419" s="322"/>
      <c r="J419" s="321"/>
    </row>
    <row r="420" spans="2:10">
      <c r="B420" s="321"/>
      <c r="C420" s="322"/>
      <c r="D420" s="322"/>
      <c r="E420" s="322"/>
      <c r="F420" s="322"/>
      <c r="G420" s="322"/>
      <c r="H420" s="322"/>
      <c r="I420" s="322"/>
      <c r="J420" s="321"/>
    </row>
    <row r="421" spans="2:10">
      <c r="B421" s="321"/>
      <c r="C421" s="322"/>
      <c r="D421" s="322"/>
      <c r="E421" s="322"/>
      <c r="F421" s="322"/>
      <c r="G421" s="322"/>
      <c r="H421" s="322"/>
      <c r="I421" s="322"/>
      <c r="J421" s="321"/>
    </row>
    <row r="422" spans="2:10">
      <c r="B422" s="321"/>
      <c r="C422" s="322"/>
      <c r="D422" s="322"/>
      <c r="E422" s="322"/>
      <c r="F422" s="322"/>
      <c r="G422" s="322"/>
      <c r="H422" s="322"/>
      <c r="I422" s="322"/>
      <c r="J422" s="321"/>
    </row>
    <row r="423" spans="2:10">
      <c r="B423" s="321"/>
      <c r="C423" s="322"/>
      <c r="D423" s="322"/>
      <c r="E423" s="322"/>
      <c r="F423" s="322"/>
      <c r="G423" s="322"/>
      <c r="H423" s="322"/>
      <c r="I423" s="322"/>
      <c r="J423" s="321"/>
    </row>
    <row r="424" spans="2:10">
      <c r="B424" s="321"/>
      <c r="C424" s="322"/>
      <c r="D424" s="322"/>
      <c r="E424" s="322"/>
      <c r="F424" s="322"/>
      <c r="G424" s="322"/>
      <c r="H424" s="322"/>
      <c r="I424" s="322"/>
      <c r="J424" s="321"/>
    </row>
    <row r="425" spans="2:10">
      <c r="B425" s="321"/>
      <c r="C425" s="322"/>
      <c r="D425" s="322"/>
      <c r="E425" s="322"/>
      <c r="F425" s="322"/>
      <c r="G425" s="322"/>
      <c r="H425" s="322"/>
      <c r="I425" s="322"/>
      <c r="J425" s="321"/>
    </row>
    <row r="426" spans="2:10">
      <c r="B426" s="321"/>
      <c r="C426" s="322"/>
      <c r="D426" s="322"/>
      <c r="E426" s="322"/>
      <c r="F426" s="322"/>
      <c r="G426" s="322"/>
      <c r="H426" s="322"/>
      <c r="I426" s="322"/>
      <c r="J426" s="321"/>
    </row>
    <row r="427" spans="2:10">
      <c r="B427" s="321"/>
      <c r="C427" s="322"/>
      <c r="D427" s="322"/>
      <c r="E427" s="322"/>
      <c r="F427" s="322"/>
      <c r="G427" s="322"/>
      <c r="H427" s="322"/>
      <c r="I427" s="322"/>
      <c r="J427" s="321"/>
    </row>
    <row r="428" spans="2:10">
      <c r="B428" s="321"/>
      <c r="C428" s="322"/>
      <c r="D428" s="322"/>
      <c r="E428" s="322"/>
      <c r="F428" s="322"/>
      <c r="G428" s="322"/>
      <c r="H428" s="322"/>
      <c r="I428" s="322"/>
      <c r="J428" s="321"/>
    </row>
    <row r="429" spans="2:10">
      <c r="B429" s="321"/>
      <c r="C429" s="322"/>
      <c r="D429" s="322"/>
      <c r="E429" s="322"/>
      <c r="F429" s="322"/>
      <c r="G429" s="322"/>
      <c r="H429" s="322"/>
      <c r="I429" s="322"/>
      <c r="J429" s="321"/>
    </row>
    <row r="430" spans="2:10">
      <c r="B430" s="321"/>
      <c r="C430" s="322"/>
      <c r="D430" s="322"/>
      <c r="E430" s="322"/>
      <c r="F430" s="322"/>
      <c r="G430" s="322"/>
      <c r="H430" s="322"/>
      <c r="I430" s="322"/>
      <c r="J430" s="321"/>
    </row>
    <row r="431" spans="2:10">
      <c r="B431" s="321"/>
      <c r="C431" s="322"/>
      <c r="D431" s="322"/>
      <c r="E431" s="322"/>
      <c r="F431" s="322"/>
      <c r="G431" s="322"/>
      <c r="H431" s="322"/>
      <c r="I431" s="322"/>
      <c r="J431" s="321"/>
    </row>
    <row r="432" spans="2:10">
      <c r="B432" s="321"/>
      <c r="C432" s="322"/>
      <c r="D432" s="322"/>
      <c r="E432" s="322"/>
      <c r="F432" s="322"/>
      <c r="G432" s="322"/>
      <c r="H432" s="322"/>
      <c r="I432" s="322"/>
      <c r="J432" s="321"/>
    </row>
    <row r="433" spans="2:10">
      <c r="B433" s="321"/>
      <c r="C433" s="322"/>
      <c r="D433" s="322"/>
      <c r="E433" s="322"/>
      <c r="F433" s="322"/>
      <c r="G433" s="322"/>
      <c r="H433" s="322"/>
      <c r="I433" s="322"/>
      <c r="J433" s="321"/>
    </row>
    <row r="434" spans="2:10">
      <c r="B434" s="321"/>
      <c r="C434" s="322"/>
      <c r="D434" s="322"/>
      <c r="E434" s="322"/>
      <c r="F434" s="322"/>
      <c r="G434" s="322"/>
      <c r="H434" s="322"/>
      <c r="I434" s="322"/>
      <c r="J434" s="321"/>
    </row>
    <row r="435" spans="2:10">
      <c r="B435" s="321"/>
      <c r="C435" s="322"/>
      <c r="D435" s="322"/>
      <c r="E435" s="322"/>
      <c r="F435" s="322"/>
      <c r="G435" s="322"/>
      <c r="H435" s="322"/>
      <c r="I435" s="322"/>
      <c r="J435" s="321"/>
    </row>
    <row r="436" spans="2:10">
      <c r="B436" s="321"/>
      <c r="C436" s="322"/>
      <c r="D436" s="322"/>
      <c r="E436" s="322"/>
      <c r="F436" s="322"/>
      <c r="G436" s="322"/>
      <c r="H436" s="322"/>
      <c r="I436" s="322"/>
      <c r="J436" s="321"/>
    </row>
    <row r="437" spans="2:10">
      <c r="B437" s="321"/>
      <c r="C437" s="322"/>
      <c r="D437" s="322"/>
      <c r="E437" s="322"/>
      <c r="F437" s="322"/>
      <c r="G437" s="322"/>
      <c r="H437" s="322"/>
      <c r="I437" s="322"/>
      <c r="J437" s="321"/>
    </row>
    <row r="438" spans="2:10">
      <c r="B438" s="321"/>
      <c r="C438" s="322"/>
      <c r="D438" s="322"/>
      <c r="E438" s="322"/>
      <c r="F438" s="322"/>
      <c r="G438" s="322"/>
      <c r="H438" s="322"/>
      <c r="I438" s="322"/>
      <c r="J438" s="321"/>
    </row>
    <row r="439" spans="2:10">
      <c r="B439" s="321"/>
      <c r="C439" s="322"/>
      <c r="D439" s="322"/>
      <c r="E439" s="322"/>
      <c r="F439" s="322"/>
      <c r="G439" s="322"/>
      <c r="H439" s="322"/>
      <c r="I439" s="322"/>
      <c r="J439" s="321"/>
    </row>
    <row r="440" spans="2:10">
      <c r="B440" s="321"/>
      <c r="C440" s="322"/>
      <c r="D440" s="322"/>
      <c r="E440" s="322"/>
      <c r="F440" s="322"/>
      <c r="G440" s="322"/>
      <c r="H440" s="322"/>
      <c r="I440" s="322"/>
      <c r="J440" s="321"/>
    </row>
    <row r="441" spans="2:10">
      <c r="B441" s="321"/>
      <c r="C441" s="322"/>
      <c r="D441" s="322"/>
      <c r="E441" s="322"/>
      <c r="F441" s="322"/>
      <c r="G441" s="322"/>
      <c r="H441" s="322"/>
      <c r="I441" s="322"/>
      <c r="J441" s="321"/>
    </row>
    <row r="442" spans="2:10">
      <c r="B442" s="321"/>
      <c r="C442" s="322"/>
      <c r="D442" s="322"/>
      <c r="E442" s="322"/>
      <c r="F442" s="322"/>
      <c r="G442" s="322"/>
      <c r="H442" s="322"/>
      <c r="I442" s="322"/>
      <c r="J442" s="321"/>
    </row>
    <row r="443" spans="2:10">
      <c r="B443" s="321"/>
      <c r="C443" s="322"/>
      <c r="D443" s="322"/>
      <c r="E443" s="322"/>
      <c r="F443" s="322"/>
      <c r="G443" s="322"/>
      <c r="H443" s="322"/>
      <c r="I443" s="322"/>
      <c r="J443" s="321"/>
    </row>
    <row r="444" spans="2:10">
      <c r="B444" s="321"/>
      <c r="C444" s="322"/>
      <c r="D444" s="322"/>
      <c r="E444" s="322"/>
      <c r="F444" s="322"/>
      <c r="G444" s="322"/>
      <c r="H444" s="322"/>
      <c r="I444" s="322"/>
      <c r="J444" s="321"/>
    </row>
    <row r="445" spans="2:10">
      <c r="B445" s="321"/>
      <c r="C445" s="322"/>
      <c r="D445" s="322"/>
      <c r="E445" s="322"/>
      <c r="F445" s="322"/>
      <c r="G445" s="322"/>
      <c r="H445" s="322"/>
      <c r="I445" s="322"/>
      <c r="J445" s="321"/>
    </row>
    <row r="446" spans="2:10">
      <c r="B446" s="321"/>
      <c r="C446" s="322"/>
      <c r="D446" s="322"/>
      <c r="E446" s="322"/>
      <c r="F446" s="322"/>
      <c r="G446" s="322"/>
      <c r="H446" s="322"/>
      <c r="I446" s="322"/>
      <c r="J446" s="321"/>
    </row>
    <row r="447" spans="2:10">
      <c r="B447" s="321"/>
      <c r="C447" s="322"/>
      <c r="D447" s="322"/>
      <c r="E447" s="322"/>
      <c r="F447" s="322"/>
      <c r="G447" s="322"/>
      <c r="H447" s="322"/>
      <c r="I447" s="322"/>
      <c r="J447" s="321"/>
    </row>
    <row r="448" spans="2:10">
      <c r="B448" s="321"/>
      <c r="C448" s="322"/>
      <c r="D448" s="322"/>
      <c r="E448" s="322"/>
      <c r="F448" s="322"/>
      <c r="G448" s="322"/>
      <c r="H448" s="322"/>
      <c r="I448" s="322"/>
      <c r="J448" s="321"/>
    </row>
    <row r="449" spans="2:10">
      <c r="B449" s="321"/>
      <c r="C449" s="322"/>
      <c r="D449" s="322"/>
      <c r="E449" s="322"/>
      <c r="F449" s="322"/>
      <c r="G449" s="322"/>
      <c r="H449" s="322"/>
      <c r="I449" s="322"/>
      <c r="J449" s="321"/>
    </row>
    <row r="450" spans="2:10">
      <c r="B450" s="321"/>
      <c r="C450" s="322"/>
      <c r="D450" s="322"/>
      <c r="E450" s="322"/>
      <c r="F450" s="322"/>
      <c r="G450" s="322"/>
      <c r="H450" s="322"/>
      <c r="I450" s="322"/>
      <c r="J450" s="321"/>
    </row>
    <row r="451" spans="2:10">
      <c r="B451" s="321"/>
      <c r="C451" s="322"/>
      <c r="D451" s="322"/>
      <c r="E451" s="322"/>
      <c r="F451" s="322"/>
      <c r="G451" s="322"/>
      <c r="H451" s="322"/>
      <c r="I451" s="322"/>
      <c r="J451" s="321"/>
    </row>
    <row r="452" spans="2:10">
      <c r="B452" s="321"/>
      <c r="C452" s="322"/>
      <c r="D452" s="322"/>
      <c r="E452" s="322"/>
      <c r="F452" s="322"/>
      <c r="G452" s="322"/>
      <c r="H452" s="322"/>
      <c r="I452" s="322"/>
      <c r="J452" s="321"/>
    </row>
    <row r="453" spans="2:10">
      <c r="B453" s="321"/>
      <c r="C453" s="322"/>
      <c r="D453" s="322"/>
      <c r="E453" s="322"/>
      <c r="F453" s="322"/>
      <c r="G453" s="322"/>
      <c r="H453" s="322"/>
      <c r="I453" s="322"/>
      <c r="J453" s="321"/>
    </row>
    <row r="454" spans="2:10">
      <c r="B454" s="321"/>
      <c r="C454" s="322"/>
      <c r="D454" s="322"/>
      <c r="E454" s="322"/>
      <c r="F454" s="322"/>
      <c r="G454" s="322"/>
      <c r="H454" s="322"/>
      <c r="I454" s="322"/>
      <c r="J454" s="321"/>
    </row>
    <row r="455" spans="2:10">
      <c r="B455" s="321"/>
      <c r="C455" s="322"/>
      <c r="D455" s="322"/>
      <c r="E455" s="322"/>
      <c r="F455" s="322"/>
      <c r="G455" s="322"/>
      <c r="H455" s="322"/>
      <c r="I455" s="322"/>
      <c r="J455" s="321"/>
    </row>
    <row r="456" spans="2:10">
      <c r="B456" s="321"/>
      <c r="C456" s="322"/>
      <c r="D456" s="322"/>
      <c r="E456" s="322"/>
      <c r="F456" s="322"/>
      <c r="G456" s="322"/>
      <c r="H456" s="322"/>
      <c r="I456" s="322"/>
      <c r="J456" s="321"/>
    </row>
    <row r="457" spans="2:10">
      <c r="B457" s="321"/>
      <c r="C457" s="322"/>
      <c r="D457" s="322"/>
      <c r="E457" s="322"/>
      <c r="F457" s="322"/>
      <c r="G457" s="322"/>
      <c r="H457" s="322"/>
      <c r="I457" s="322"/>
      <c r="J457" s="321"/>
    </row>
    <row r="458" spans="2:10">
      <c r="B458" s="321"/>
      <c r="C458" s="322"/>
      <c r="D458" s="322"/>
      <c r="E458" s="322"/>
      <c r="F458" s="322"/>
      <c r="G458" s="322"/>
      <c r="H458" s="322"/>
      <c r="I458" s="322"/>
      <c r="J458" s="321"/>
    </row>
    <row r="459" spans="2:10">
      <c r="B459" s="321"/>
      <c r="C459" s="322"/>
      <c r="D459" s="322"/>
      <c r="E459" s="322"/>
      <c r="F459" s="322"/>
      <c r="G459" s="322"/>
      <c r="H459" s="322"/>
      <c r="I459" s="322"/>
      <c r="J459" s="321"/>
    </row>
    <row r="460" spans="2:10">
      <c r="B460" s="321"/>
      <c r="C460" s="322"/>
      <c r="D460" s="322"/>
      <c r="E460" s="322"/>
      <c r="F460" s="322"/>
      <c r="G460" s="322"/>
      <c r="H460" s="322"/>
      <c r="I460" s="322"/>
      <c r="J460" s="321"/>
    </row>
    <row r="461" spans="2:10">
      <c r="B461" s="321"/>
      <c r="C461" s="322"/>
      <c r="D461" s="322"/>
      <c r="E461" s="322"/>
      <c r="F461" s="322"/>
      <c r="G461" s="322"/>
      <c r="H461" s="322"/>
      <c r="I461" s="322"/>
      <c r="J461" s="321"/>
    </row>
    <row r="462" spans="2:10">
      <c r="B462" s="321"/>
      <c r="C462" s="322"/>
      <c r="D462" s="322"/>
      <c r="E462" s="322"/>
      <c r="F462" s="322"/>
      <c r="G462" s="322"/>
      <c r="H462" s="322"/>
      <c r="I462" s="322"/>
      <c r="J462" s="321"/>
    </row>
    <row r="463" spans="2:10">
      <c r="B463" s="321"/>
      <c r="C463" s="322"/>
      <c r="D463" s="322"/>
      <c r="E463" s="322"/>
      <c r="F463" s="322"/>
      <c r="G463" s="322"/>
      <c r="H463" s="322"/>
      <c r="I463" s="322"/>
      <c r="J463" s="321"/>
    </row>
    <row r="464" spans="2:10">
      <c r="B464" s="321"/>
      <c r="C464" s="322"/>
      <c r="D464" s="322"/>
      <c r="E464" s="322"/>
      <c r="F464" s="322"/>
      <c r="G464" s="322"/>
      <c r="H464" s="322"/>
      <c r="I464" s="322"/>
      <c r="J464" s="321"/>
    </row>
    <row r="465" spans="2:10">
      <c r="B465" s="321"/>
      <c r="C465" s="322"/>
      <c r="D465" s="322"/>
      <c r="E465" s="322"/>
      <c r="F465" s="322"/>
      <c r="G465" s="322"/>
      <c r="H465" s="322"/>
      <c r="I465" s="322"/>
      <c r="J465" s="321"/>
    </row>
    <row r="466" spans="2:10">
      <c r="B466" s="321"/>
      <c r="C466" s="322"/>
      <c r="D466" s="322"/>
      <c r="E466" s="322"/>
      <c r="F466" s="322"/>
      <c r="G466" s="322"/>
      <c r="H466" s="322"/>
      <c r="I466" s="322"/>
      <c r="J466" s="321"/>
    </row>
    <row r="467" spans="2:10">
      <c r="B467" s="321"/>
      <c r="C467" s="322"/>
      <c r="D467" s="322"/>
      <c r="E467" s="322"/>
      <c r="F467" s="322"/>
      <c r="G467" s="322"/>
      <c r="H467" s="322"/>
      <c r="I467" s="322"/>
      <c r="J467" s="321"/>
    </row>
    <row r="468" spans="2:10">
      <c r="B468" s="321"/>
      <c r="C468" s="322"/>
      <c r="D468" s="322"/>
      <c r="E468" s="322"/>
      <c r="F468" s="322"/>
      <c r="G468" s="322"/>
      <c r="H468" s="322"/>
      <c r="I468" s="322"/>
      <c r="J468" s="321"/>
    </row>
    <row r="469" spans="2:10">
      <c r="B469" s="321"/>
      <c r="C469" s="322"/>
      <c r="D469" s="322"/>
      <c r="E469" s="322"/>
      <c r="F469" s="322"/>
      <c r="G469" s="322"/>
      <c r="H469" s="322"/>
      <c r="I469" s="322"/>
      <c r="J469" s="321"/>
    </row>
    <row r="470" spans="2:10">
      <c r="B470" s="321"/>
      <c r="C470" s="322"/>
      <c r="D470" s="322"/>
      <c r="E470" s="322"/>
      <c r="F470" s="322"/>
      <c r="G470" s="322"/>
      <c r="H470" s="322"/>
      <c r="I470" s="322"/>
      <c r="J470" s="321"/>
    </row>
    <row r="471" spans="2:10">
      <c r="B471" s="321"/>
      <c r="C471" s="322"/>
      <c r="D471" s="322"/>
      <c r="E471" s="322"/>
      <c r="F471" s="322"/>
      <c r="G471" s="322"/>
      <c r="H471" s="322"/>
      <c r="I471" s="322"/>
      <c r="J471" s="321"/>
    </row>
    <row r="472" spans="2:10">
      <c r="B472" s="321"/>
      <c r="C472" s="322"/>
      <c r="D472" s="322"/>
      <c r="E472" s="322"/>
      <c r="F472" s="322"/>
      <c r="G472" s="322"/>
      <c r="H472" s="322"/>
      <c r="I472" s="322"/>
      <c r="J472" s="321"/>
    </row>
    <row r="473" spans="2:10">
      <c r="B473" s="321"/>
      <c r="C473" s="322"/>
      <c r="D473" s="322"/>
      <c r="E473" s="322"/>
      <c r="F473" s="322"/>
      <c r="G473" s="322"/>
      <c r="H473" s="322"/>
      <c r="I473" s="322"/>
      <c r="J473" s="321"/>
    </row>
    <row r="474" spans="2:10">
      <c r="B474" s="321"/>
      <c r="C474" s="322"/>
      <c r="D474" s="322"/>
      <c r="E474" s="322"/>
      <c r="F474" s="322"/>
      <c r="G474" s="322"/>
      <c r="H474" s="322"/>
      <c r="I474" s="322"/>
      <c r="J474" s="321"/>
    </row>
    <row r="475" spans="2:10">
      <c r="B475" s="321"/>
      <c r="C475" s="322"/>
      <c r="D475" s="322"/>
      <c r="E475" s="322"/>
      <c r="F475" s="322"/>
      <c r="G475" s="322"/>
      <c r="H475" s="322"/>
      <c r="I475" s="322"/>
      <c r="J475" s="321"/>
    </row>
    <row r="476" spans="2:10">
      <c r="B476" s="321"/>
      <c r="C476" s="322"/>
      <c r="D476" s="322"/>
      <c r="E476" s="322"/>
      <c r="F476" s="322"/>
      <c r="G476" s="322"/>
      <c r="H476" s="322"/>
      <c r="I476" s="322"/>
      <c r="J476" s="321"/>
    </row>
    <row r="477" spans="2:10">
      <c r="B477" s="321"/>
      <c r="C477" s="322"/>
      <c r="D477" s="322"/>
      <c r="E477" s="322"/>
      <c r="F477" s="322"/>
      <c r="G477" s="322"/>
      <c r="H477" s="322"/>
      <c r="I477" s="322"/>
      <c r="J477" s="321"/>
    </row>
    <row r="478" spans="2:10">
      <c r="B478" s="321"/>
      <c r="C478" s="322"/>
      <c r="D478" s="322"/>
      <c r="E478" s="322"/>
      <c r="F478" s="322"/>
      <c r="G478" s="322"/>
      <c r="H478" s="322"/>
      <c r="I478" s="322"/>
      <c r="J478" s="321"/>
    </row>
    <row r="479" spans="2:10">
      <c r="B479" s="321"/>
      <c r="C479" s="322"/>
      <c r="D479" s="322"/>
      <c r="E479" s="322"/>
      <c r="F479" s="322"/>
      <c r="G479" s="322"/>
      <c r="H479" s="322"/>
      <c r="I479" s="322"/>
      <c r="J479" s="321"/>
    </row>
    <row r="480" spans="2:10">
      <c r="B480" s="321"/>
      <c r="C480" s="322"/>
      <c r="D480" s="322"/>
      <c r="E480" s="322"/>
      <c r="F480" s="322"/>
      <c r="G480" s="322"/>
      <c r="H480" s="322"/>
      <c r="I480" s="322"/>
      <c r="J480" s="321"/>
    </row>
    <row r="481" spans="2:10">
      <c r="B481" s="321"/>
      <c r="C481" s="322"/>
      <c r="D481" s="322"/>
      <c r="E481" s="322"/>
      <c r="F481" s="322"/>
      <c r="G481" s="322"/>
      <c r="H481" s="322"/>
      <c r="I481" s="322"/>
      <c r="J481" s="321"/>
    </row>
    <row r="482" spans="2:10">
      <c r="B482" s="321"/>
      <c r="C482" s="322"/>
      <c r="D482" s="322"/>
      <c r="E482" s="322"/>
      <c r="F482" s="322"/>
      <c r="G482" s="322"/>
      <c r="H482" s="322"/>
      <c r="I482" s="322"/>
      <c r="J482" s="321"/>
    </row>
    <row r="483" spans="2:10">
      <c r="B483" s="321"/>
      <c r="C483" s="322"/>
      <c r="D483" s="322"/>
      <c r="E483" s="322"/>
      <c r="F483" s="322"/>
      <c r="G483" s="322"/>
      <c r="H483" s="322"/>
      <c r="I483" s="322"/>
      <c r="J483" s="321"/>
    </row>
    <row r="484" spans="2:10">
      <c r="B484" s="321"/>
      <c r="C484" s="322"/>
      <c r="D484" s="322"/>
      <c r="E484" s="322"/>
      <c r="F484" s="322"/>
      <c r="G484" s="322"/>
      <c r="H484" s="322"/>
      <c r="I484" s="322"/>
      <c r="J484" s="321"/>
    </row>
    <row r="485" spans="2:10">
      <c r="B485" s="321"/>
      <c r="C485" s="322"/>
      <c r="D485" s="322"/>
      <c r="E485" s="322"/>
      <c r="F485" s="322"/>
      <c r="G485" s="322"/>
      <c r="H485" s="322"/>
      <c r="I485" s="322"/>
      <c r="J485" s="321"/>
    </row>
    <row r="486" spans="2:10">
      <c r="B486" s="321"/>
      <c r="C486" s="322"/>
      <c r="D486" s="322"/>
      <c r="E486" s="322"/>
      <c r="F486" s="322"/>
      <c r="G486" s="322"/>
      <c r="H486" s="322"/>
      <c r="I486" s="322"/>
      <c r="J486" s="321"/>
    </row>
    <row r="487" spans="2:10">
      <c r="B487" s="321"/>
      <c r="C487" s="322"/>
      <c r="D487" s="322"/>
      <c r="E487" s="322"/>
      <c r="F487" s="322"/>
      <c r="G487" s="322"/>
      <c r="H487" s="322"/>
      <c r="I487" s="322"/>
      <c r="J487" s="321"/>
    </row>
    <row r="488" spans="2:10">
      <c r="B488" s="321"/>
      <c r="C488" s="322"/>
      <c r="D488" s="322"/>
      <c r="E488" s="322"/>
      <c r="F488" s="322"/>
      <c r="G488" s="322"/>
      <c r="H488" s="322"/>
      <c r="I488" s="322"/>
      <c r="J488" s="321"/>
    </row>
    <row r="489" spans="2:10">
      <c r="B489" s="321"/>
      <c r="C489" s="322"/>
      <c r="D489" s="322"/>
      <c r="E489" s="322"/>
      <c r="F489" s="322"/>
      <c r="G489" s="322"/>
      <c r="H489" s="322"/>
      <c r="I489" s="322"/>
      <c r="J489" s="321"/>
    </row>
    <row r="490" spans="2:10">
      <c r="B490" s="321"/>
      <c r="C490" s="322"/>
      <c r="D490" s="322"/>
      <c r="E490" s="322"/>
      <c r="F490" s="322"/>
      <c r="G490" s="322"/>
      <c r="H490" s="322"/>
      <c r="I490" s="322"/>
      <c r="J490" s="321"/>
    </row>
    <row r="491" spans="2:10">
      <c r="B491" s="321"/>
      <c r="C491" s="322"/>
      <c r="D491" s="322"/>
      <c r="E491" s="322"/>
      <c r="F491" s="322"/>
      <c r="G491" s="322"/>
      <c r="H491" s="322"/>
      <c r="I491" s="322"/>
      <c r="J491" s="321"/>
    </row>
    <row r="492" spans="2:10">
      <c r="B492" s="321"/>
      <c r="C492" s="322"/>
      <c r="D492" s="322"/>
      <c r="E492" s="322"/>
      <c r="F492" s="322"/>
      <c r="G492" s="322"/>
      <c r="H492" s="322"/>
      <c r="I492" s="322"/>
      <c r="J492" s="321"/>
    </row>
    <row r="493" spans="2:10">
      <c r="B493" s="321"/>
      <c r="C493" s="322"/>
      <c r="D493" s="322"/>
      <c r="E493" s="322"/>
      <c r="F493" s="322"/>
      <c r="G493" s="322"/>
      <c r="H493" s="322"/>
      <c r="I493" s="322"/>
      <c r="J493" s="321"/>
    </row>
    <row r="494" spans="2:10">
      <c r="B494" s="321"/>
      <c r="C494" s="322"/>
      <c r="D494" s="322"/>
      <c r="E494" s="322"/>
      <c r="F494" s="322"/>
      <c r="G494" s="322"/>
      <c r="H494" s="322"/>
      <c r="I494" s="322"/>
      <c r="J494" s="321"/>
    </row>
    <row r="495" spans="2:10">
      <c r="B495" s="321"/>
      <c r="C495" s="322"/>
      <c r="D495" s="322"/>
      <c r="E495" s="322"/>
      <c r="F495" s="322"/>
      <c r="G495" s="322"/>
      <c r="H495" s="322"/>
      <c r="I495" s="322"/>
      <c r="J495" s="321"/>
    </row>
    <row r="496" spans="2:10">
      <c r="B496" s="321"/>
      <c r="C496" s="322"/>
      <c r="D496" s="322"/>
      <c r="E496" s="322"/>
      <c r="F496" s="322"/>
      <c r="G496" s="322"/>
      <c r="H496" s="322"/>
      <c r="I496" s="322"/>
      <c r="J496" s="321"/>
    </row>
    <row r="497" spans="2:10">
      <c r="B497" s="321"/>
      <c r="C497" s="322"/>
      <c r="D497" s="322"/>
      <c r="E497" s="322"/>
      <c r="F497" s="322"/>
      <c r="G497" s="322"/>
      <c r="H497" s="322"/>
      <c r="I497" s="322"/>
      <c r="J497" s="321"/>
    </row>
    <row r="498" spans="2:10">
      <c r="B498" s="321"/>
      <c r="C498" s="322"/>
      <c r="D498" s="322"/>
      <c r="E498" s="322"/>
      <c r="F498" s="322"/>
      <c r="G498" s="322"/>
      <c r="H498" s="322"/>
      <c r="I498" s="322"/>
      <c r="J498" s="321"/>
    </row>
    <row r="499" spans="2:10">
      <c r="B499" s="321"/>
      <c r="C499" s="322"/>
      <c r="D499" s="322"/>
      <c r="E499" s="322"/>
      <c r="F499" s="322"/>
      <c r="G499" s="322"/>
      <c r="H499" s="322"/>
      <c r="I499" s="322"/>
      <c r="J499" s="321"/>
    </row>
    <row r="500" spans="2:10">
      <c r="B500" s="321"/>
      <c r="C500" s="322"/>
      <c r="D500" s="322"/>
      <c r="E500" s="322"/>
      <c r="F500" s="322"/>
      <c r="G500" s="322"/>
      <c r="H500" s="322"/>
      <c r="I500" s="322"/>
      <c r="J500" s="321"/>
    </row>
    <row r="501" spans="2:10">
      <c r="B501" s="321"/>
      <c r="C501" s="322"/>
      <c r="D501" s="322"/>
      <c r="E501" s="322"/>
      <c r="F501" s="322"/>
      <c r="G501" s="322"/>
      <c r="H501" s="322"/>
      <c r="I501" s="322"/>
      <c r="J501" s="321"/>
    </row>
    <row r="502" spans="2:10">
      <c r="B502" s="321"/>
      <c r="C502" s="322"/>
      <c r="D502" s="322"/>
      <c r="E502" s="322"/>
      <c r="F502" s="322"/>
      <c r="G502" s="322"/>
      <c r="H502" s="322"/>
      <c r="I502" s="322"/>
      <c r="J502" s="321"/>
    </row>
    <row r="503" spans="2:10">
      <c r="B503" s="321"/>
      <c r="C503" s="322"/>
      <c r="D503" s="322"/>
      <c r="E503" s="322"/>
      <c r="F503" s="322"/>
      <c r="G503" s="322"/>
      <c r="H503" s="322"/>
      <c r="I503" s="322"/>
      <c r="J503" s="321"/>
    </row>
    <row r="504" spans="2:10">
      <c r="B504" s="321"/>
      <c r="C504" s="322"/>
      <c r="D504" s="322"/>
      <c r="E504" s="322"/>
      <c r="F504" s="322"/>
      <c r="G504" s="322"/>
      <c r="H504" s="322"/>
      <c r="I504" s="322"/>
      <c r="J504" s="321"/>
    </row>
    <row r="505" spans="2:10">
      <c r="B505" s="321"/>
      <c r="C505" s="322"/>
      <c r="D505" s="322"/>
      <c r="E505" s="322"/>
      <c r="F505" s="322"/>
      <c r="G505" s="322"/>
      <c r="H505" s="322"/>
      <c r="I505" s="322"/>
      <c r="J505" s="321"/>
    </row>
    <row r="506" spans="2:10">
      <c r="B506" s="321"/>
      <c r="C506" s="321"/>
      <c r="D506" s="321"/>
      <c r="E506" s="321"/>
      <c r="F506" s="321"/>
      <c r="G506" s="321"/>
      <c r="H506" s="321"/>
      <c r="I506" s="321"/>
      <c r="J506" s="321"/>
    </row>
    <row r="507" spans="2:10">
      <c r="B507" s="321"/>
      <c r="C507" s="321"/>
      <c r="D507" s="321"/>
      <c r="E507" s="321"/>
      <c r="F507" s="321"/>
      <c r="G507" s="321"/>
      <c r="H507" s="321"/>
      <c r="I507" s="321"/>
      <c r="J507" s="321"/>
    </row>
    <row r="508" spans="2:10">
      <c r="B508" s="321"/>
      <c r="C508" s="321"/>
      <c r="D508" s="321"/>
      <c r="E508" s="321"/>
      <c r="F508" s="321"/>
      <c r="G508" s="321"/>
      <c r="H508" s="321"/>
      <c r="I508" s="321"/>
      <c r="J508" s="321"/>
    </row>
    <row r="509" spans="2:10">
      <c r="B509" s="321"/>
      <c r="C509" s="321"/>
      <c r="D509" s="321"/>
      <c r="E509" s="321"/>
      <c r="F509" s="321"/>
      <c r="G509" s="321"/>
      <c r="H509" s="321"/>
      <c r="I509" s="321"/>
      <c r="J509" s="321"/>
    </row>
    <row r="510" spans="2:10">
      <c r="B510" s="321"/>
      <c r="C510" s="321"/>
      <c r="D510" s="321"/>
      <c r="E510" s="321"/>
      <c r="F510" s="321"/>
      <c r="G510" s="321"/>
      <c r="H510" s="321"/>
      <c r="I510" s="321"/>
      <c r="J510" s="321"/>
    </row>
    <row r="511" spans="2:10">
      <c r="B511" s="321"/>
      <c r="C511" s="321"/>
      <c r="D511" s="321"/>
      <c r="E511" s="321"/>
      <c r="F511" s="321"/>
      <c r="G511" s="321"/>
      <c r="H511" s="321"/>
      <c r="I511" s="321"/>
      <c r="J511" s="321"/>
    </row>
    <row r="512" spans="2:10">
      <c r="B512" s="321"/>
      <c r="C512" s="321"/>
      <c r="D512" s="321"/>
      <c r="E512" s="321"/>
      <c r="F512" s="321"/>
      <c r="G512" s="321"/>
      <c r="H512" s="321"/>
      <c r="I512" s="321"/>
      <c r="J512" s="321"/>
    </row>
    <row r="513" spans="2:10">
      <c r="B513" s="321"/>
      <c r="C513" s="321"/>
      <c r="D513" s="321"/>
      <c r="E513" s="321"/>
      <c r="F513" s="321"/>
      <c r="G513" s="321"/>
      <c r="H513" s="321"/>
      <c r="I513" s="321"/>
      <c r="J513" s="321"/>
    </row>
    <row r="514" spans="2:10">
      <c r="B514" s="321"/>
      <c r="C514" s="321"/>
      <c r="D514" s="321"/>
      <c r="E514" s="321"/>
      <c r="F514" s="321"/>
      <c r="G514" s="321"/>
      <c r="H514" s="321"/>
      <c r="I514" s="321"/>
      <c r="J514" s="321"/>
    </row>
    <row r="515" spans="2:10">
      <c r="B515" s="321"/>
      <c r="C515" s="321"/>
      <c r="D515" s="321"/>
      <c r="E515" s="321"/>
      <c r="F515" s="321"/>
      <c r="G515" s="321"/>
      <c r="H515" s="321"/>
      <c r="I515" s="321"/>
      <c r="J515" s="321"/>
    </row>
    <row r="516" spans="2:10">
      <c r="B516" s="321"/>
      <c r="C516" s="321"/>
      <c r="D516" s="321"/>
      <c r="E516" s="321"/>
      <c r="F516" s="321"/>
      <c r="G516" s="321"/>
      <c r="H516" s="321"/>
      <c r="I516" s="321"/>
      <c r="J516" s="321"/>
    </row>
    <row r="517" spans="2:10">
      <c r="B517" s="321"/>
      <c r="C517" s="321"/>
      <c r="D517" s="321"/>
      <c r="E517" s="321"/>
      <c r="F517" s="321"/>
      <c r="G517" s="321"/>
      <c r="H517" s="321"/>
      <c r="I517" s="321"/>
      <c r="J517" s="321"/>
    </row>
    <row r="518" spans="2:10">
      <c r="B518" s="321"/>
      <c r="C518" s="321"/>
      <c r="D518" s="321"/>
      <c r="E518" s="321"/>
      <c r="F518" s="321"/>
      <c r="G518" s="321"/>
      <c r="H518" s="321"/>
      <c r="I518" s="321"/>
      <c r="J518" s="321"/>
    </row>
    <row r="519" spans="2:10">
      <c r="B519" s="321"/>
      <c r="C519" s="321"/>
      <c r="D519" s="321"/>
      <c r="E519" s="321"/>
      <c r="F519" s="321"/>
      <c r="G519" s="321"/>
      <c r="H519" s="321"/>
      <c r="I519" s="321"/>
      <c r="J519" s="321"/>
    </row>
    <row r="520" spans="2:10">
      <c r="B520" s="321"/>
      <c r="C520" s="321"/>
      <c r="D520" s="321"/>
      <c r="E520" s="321"/>
      <c r="F520" s="321"/>
      <c r="G520" s="321"/>
      <c r="H520" s="321"/>
      <c r="I520" s="321"/>
      <c r="J520" s="321"/>
    </row>
    <row r="521" spans="2:10">
      <c r="B521" s="321"/>
      <c r="C521" s="321"/>
      <c r="D521" s="321"/>
      <c r="E521" s="321"/>
      <c r="F521" s="321"/>
      <c r="G521" s="321"/>
      <c r="H521" s="321"/>
      <c r="I521" s="321"/>
      <c r="J521" s="321"/>
    </row>
    <row r="522" spans="2:10">
      <c r="B522" s="321"/>
      <c r="C522" s="321"/>
      <c r="D522" s="321"/>
      <c r="E522" s="321"/>
      <c r="F522" s="321"/>
      <c r="G522" s="321"/>
      <c r="H522" s="321"/>
      <c r="I522" s="321"/>
      <c r="J522" s="321"/>
    </row>
    <row r="523" spans="2:10">
      <c r="B523" s="321"/>
      <c r="C523" s="321"/>
      <c r="D523" s="321"/>
      <c r="E523" s="321"/>
      <c r="F523" s="321"/>
      <c r="G523" s="321"/>
      <c r="H523" s="321"/>
      <c r="I523" s="321"/>
      <c r="J523" s="321"/>
    </row>
    <row r="524" spans="2:10">
      <c r="B524" s="321"/>
      <c r="C524" s="321"/>
      <c r="D524" s="321"/>
      <c r="E524" s="321"/>
      <c r="F524" s="321"/>
      <c r="G524" s="321"/>
      <c r="H524" s="321"/>
      <c r="I524" s="321"/>
      <c r="J524" s="321"/>
    </row>
    <row r="525" spans="2:10">
      <c r="B525" s="321"/>
      <c r="C525" s="321"/>
      <c r="D525" s="321"/>
      <c r="E525" s="321"/>
      <c r="F525" s="321"/>
      <c r="G525" s="321"/>
      <c r="H525" s="321"/>
      <c r="I525" s="321"/>
      <c r="J525" s="321"/>
    </row>
    <row r="526" spans="2:10">
      <c r="B526" s="321"/>
      <c r="C526" s="321"/>
      <c r="D526" s="321"/>
      <c r="E526" s="321"/>
      <c r="F526" s="321"/>
      <c r="G526" s="321"/>
      <c r="H526" s="321"/>
      <c r="I526" s="321"/>
      <c r="J526" s="321"/>
    </row>
    <row r="527" spans="2:10">
      <c r="B527" s="321"/>
      <c r="C527" s="321"/>
      <c r="D527" s="321"/>
      <c r="E527" s="321"/>
      <c r="F527" s="321"/>
      <c r="G527" s="321"/>
      <c r="H527" s="321"/>
      <c r="I527" s="321"/>
      <c r="J527" s="321"/>
    </row>
    <row r="528" spans="2:10">
      <c r="B528" s="321"/>
      <c r="C528" s="321"/>
      <c r="D528" s="321"/>
      <c r="E528" s="321"/>
      <c r="F528" s="321"/>
      <c r="G528" s="321"/>
      <c r="H528" s="321"/>
      <c r="I528" s="321"/>
      <c r="J528" s="321"/>
    </row>
    <row r="529" spans="2:10">
      <c r="B529" s="321"/>
      <c r="C529" s="321"/>
      <c r="D529" s="321"/>
      <c r="E529" s="321"/>
      <c r="F529" s="321"/>
      <c r="G529" s="321"/>
      <c r="H529" s="321"/>
      <c r="I529" s="321"/>
      <c r="J529" s="321"/>
    </row>
    <row r="530" spans="2:10">
      <c r="B530" s="321"/>
      <c r="C530" s="321"/>
      <c r="D530" s="321"/>
      <c r="E530" s="321"/>
      <c r="F530" s="321"/>
      <c r="G530" s="321"/>
      <c r="H530" s="321"/>
      <c r="I530" s="321"/>
      <c r="J530" s="321"/>
    </row>
    <row r="531" spans="2:10">
      <c r="B531" s="321"/>
      <c r="C531" s="321"/>
      <c r="D531" s="321"/>
      <c r="E531" s="321"/>
      <c r="F531" s="321"/>
      <c r="G531" s="321"/>
      <c r="H531" s="321"/>
      <c r="I531" s="321"/>
      <c r="J531" s="321"/>
    </row>
    <row r="532" spans="2:10">
      <c r="B532" s="321"/>
      <c r="C532" s="321"/>
      <c r="D532" s="321"/>
      <c r="E532" s="321"/>
      <c r="F532" s="321"/>
      <c r="G532" s="321"/>
      <c r="H532" s="321"/>
      <c r="I532" s="321"/>
      <c r="J532" s="321"/>
    </row>
    <row r="533" spans="2:10">
      <c r="B533" s="321"/>
      <c r="C533" s="321"/>
      <c r="D533" s="321"/>
      <c r="E533" s="321"/>
      <c r="F533" s="321"/>
      <c r="G533" s="321"/>
      <c r="H533" s="321"/>
      <c r="I533" s="321"/>
      <c r="J533" s="321"/>
    </row>
    <row r="534" spans="2:10">
      <c r="B534" s="321"/>
      <c r="C534" s="321"/>
      <c r="D534" s="321"/>
      <c r="E534" s="321"/>
      <c r="F534" s="321"/>
      <c r="G534" s="321"/>
      <c r="H534" s="321"/>
      <c r="I534" s="321"/>
      <c r="J534" s="321"/>
    </row>
    <row r="535" spans="2:10">
      <c r="B535" s="321"/>
      <c r="C535" s="321"/>
      <c r="D535" s="321"/>
      <c r="E535" s="321"/>
      <c r="F535" s="321"/>
      <c r="G535" s="321"/>
      <c r="H535" s="321"/>
      <c r="I535" s="321"/>
      <c r="J535" s="321"/>
    </row>
    <row r="536" spans="2:10">
      <c r="B536" s="321"/>
      <c r="C536" s="321"/>
      <c r="D536" s="321"/>
      <c r="E536" s="321"/>
      <c r="F536" s="321"/>
      <c r="G536" s="321"/>
      <c r="H536" s="321"/>
      <c r="I536" s="321"/>
      <c r="J536" s="321"/>
    </row>
    <row r="537" spans="2:10">
      <c r="B537" s="321"/>
      <c r="C537" s="321"/>
      <c r="D537" s="321"/>
      <c r="E537" s="321"/>
      <c r="F537" s="321"/>
      <c r="G537" s="321"/>
      <c r="H537" s="321"/>
      <c r="I537" s="321"/>
      <c r="J537" s="321"/>
    </row>
    <row r="538" spans="2:10">
      <c r="B538" s="321"/>
      <c r="C538" s="321"/>
      <c r="D538" s="321"/>
      <c r="E538" s="321"/>
      <c r="F538" s="321"/>
      <c r="G538" s="321"/>
      <c r="H538" s="321"/>
      <c r="I538" s="321"/>
      <c r="J538" s="321"/>
    </row>
    <row r="539" spans="2:10">
      <c r="B539" s="321"/>
      <c r="C539" s="321"/>
      <c r="D539" s="321"/>
      <c r="E539" s="321"/>
      <c r="F539" s="321"/>
      <c r="G539" s="321"/>
      <c r="H539" s="321"/>
      <c r="I539" s="321"/>
      <c r="J539" s="321"/>
    </row>
    <row r="540" spans="2:10">
      <c r="B540" s="321"/>
      <c r="C540" s="321"/>
      <c r="D540" s="321"/>
      <c r="E540" s="321"/>
      <c r="F540" s="321"/>
      <c r="G540" s="321"/>
      <c r="H540" s="321"/>
      <c r="I540" s="321"/>
      <c r="J540" s="321"/>
    </row>
    <row r="541" spans="2:10">
      <c r="B541" s="321"/>
      <c r="C541" s="321"/>
      <c r="D541" s="321"/>
      <c r="E541" s="321"/>
      <c r="F541" s="321"/>
      <c r="G541" s="321"/>
      <c r="H541" s="321"/>
      <c r="I541" s="321"/>
      <c r="J541" s="321"/>
    </row>
    <row r="542" spans="2:10">
      <c r="B542" s="321"/>
      <c r="C542" s="321"/>
      <c r="D542" s="321"/>
      <c r="E542" s="321"/>
      <c r="F542" s="321"/>
      <c r="G542" s="321"/>
      <c r="H542" s="321"/>
      <c r="I542" s="321"/>
      <c r="J542" s="321"/>
    </row>
    <row r="543" spans="2:10">
      <c r="B543" s="321"/>
      <c r="C543" s="321"/>
      <c r="D543" s="321"/>
      <c r="E543" s="321"/>
      <c r="F543" s="321"/>
      <c r="G543" s="321"/>
      <c r="H543" s="321"/>
      <c r="I543" s="321"/>
      <c r="J543" s="321"/>
    </row>
    <row r="544" spans="2:10">
      <c r="B544" s="321"/>
      <c r="C544" s="321"/>
      <c r="D544" s="321"/>
      <c r="E544" s="321"/>
      <c r="F544" s="321"/>
      <c r="G544" s="321"/>
      <c r="H544" s="321"/>
      <c r="I544" s="321"/>
      <c r="J544" s="321"/>
    </row>
    <row r="545" spans="2:10">
      <c r="B545" s="321"/>
      <c r="C545" s="321"/>
      <c r="D545" s="321"/>
      <c r="E545" s="321"/>
      <c r="F545" s="321"/>
      <c r="G545" s="321"/>
      <c r="H545" s="321"/>
      <c r="I545" s="321"/>
      <c r="J545" s="321"/>
    </row>
    <row r="546" spans="2:10">
      <c r="B546" s="321"/>
      <c r="C546" s="321"/>
      <c r="D546" s="321"/>
      <c r="E546" s="321"/>
      <c r="F546" s="321"/>
      <c r="G546" s="321"/>
      <c r="H546" s="321"/>
      <c r="I546" s="321"/>
      <c r="J546" s="321"/>
    </row>
    <row r="547" spans="2:10">
      <c r="B547" s="321"/>
      <c r="C547" s="321"/>
      <c r="D547" s="321"/>
      <c r="E547" s="321"/>
      <c r="F547" s="321"/>
      <c r="G547" s="321"/>
      <c r="H547" s="321"/>
      <c r="I547" s="321"/>
      <c r="J547" s="321"/>
    </row>
    <row r="548" spans="2:10">
      <c r="B548" s="321"/>
      <c r="C548" s="321"/>
      <c r="D548" s="321"/>
      <c r="E548" s="321"/>
      <c r="F548" s="321"/>
      <c r="G548" s="321"/>
      <c r="H548" s="321"/>
      <c r="I548" s="321"/>
      <c r="J548" s="321"/>
    </row>
    <row r="549" spans="2:10">
      <c r="B549" s="321"/>
      <c r="C549" s="321"/>
      <c r="D549" s="321"/>
      <c r="E549" s="321"/>
      <c r="F549" s="321"/>
      <c r="G549" s="321"/>
      <c r="H549" s="321"/>
      <c r="I549" s="321"/>
      <c r="J549" s="321"/>
    </row>
    <row r="550" spans="2:10">
      <c r="B550" s="321"/>
      <c r="C550" s="321"/>
      <c r="D550" s="321"/>
      <c r="E550" s="321"/>
      <c r="F550" s="321"/>
      <c r="G550" s="321"/>
      <c r="H550" s="321"/>
      <c r="I550" s="321"/>
      <c r="J550" s="321"/>
    </row>
    <row r="551" spans="2:10">
      <c r="B551" s="321"/>
      <c r="C551" s="321"/>
      <c r="D551" s="321"/>
      <c r="E551" s="321"/>
      <c r="F551" s="321"/>
      <c r="G551" s="321"/>
      <c r="H551" s="321"/>
      <c r="I551" s="321"/>
      <c r="J551" s="321"/>
    </row>
    <row r="552" spans="2:10">
      <c r="B552" s="321"/>
      <c r="C552" s="321"/>
      <c r="D552" s="321"/>
      <c r="E552" s="321"/>
      <c r="F552" s="321"/>
      <c r="G552" s="321"/>
      <c r="H552" s="321"/>
      <c r="I552" s="321"/>
      <c r="J552" s="321"/>
    </row>
    <row r="553" spans="2:10">
      <c r="B553" s="321"/>
      <c r="C553" s="321"/>
      <c r="D553" s="321"/>
      <c r="E553" s="321"/>
      <c r="F553" s="321"/>
      <c r="G553" s="321"/>
      <c r="H553" s="321"/>
      <c r="I553" s="321"/>
      <c r="J553" s="321"/>
    </row>
    <row r="554" spans="2:10">
      <c r="B554" s="321"/>
      <c r="C554" s="321"/>
      <c r="D554" s="321"/>
      <c r="E554" s="321"/>
      <c r="F554" s="321"/>
      <c r="G554" s="321"/>
      <c r="H554" s="321"/>
      <c r="I554" s="321"/>
      <c r="J554" s="321"/>
    </row>
    <row r="555" spans="2:10">
      <c r="B555" s="321"/>
      <c r="C555" s="321"/>
      <c r="D555" s="321"/>
      <c r="E555" s="321"/>
      <c r="F555" s="321"/>
      <c r="G555" s="321"/>
      <c r="H555" s="321"/>
      <c r="I555" s="321"/>
      <c r="J555" s="321"/>
    </row>
    <row r="556" spans="2:10">
      <c r="B556" s="321"/>
      <c r="C556" s="321"/>
      <c r="D556" s="321"/>
      <c r="E556" s="321"/>
      <c r="F556" s="321"/>
      <c r="G556" s="321"/>
      <c r="H556" s="321"/>
      <c r="I556" s="321"/>
      <c r="J556" s="321"/>
    </row>
    <row r="557" spans="2:10">
      <c r="B557" s="321"/>
      <c r="C557" s="321"/>
      <c r="D557" s="321"/>
      <c r="E557" s="321"/>
      <c r="F557" s="321"/>
      <c r="G557" s="321"/>
      <c r="H557" s="321"/>
      <c r="I557" s="321"/>
      <c r="J557" s="321"/>
    </row>
    <row r="558" spans="2:10">
      <c r="B558" s="321"/>
      <c r="C558" s="321"/>
      <c r="D558" s="321"/>
      <c r="E558" s="321"/>
      <c r="F558" s="321"/>
      <c r="G558" s="321"/>
      <c r="H558" s="321"/>
      <c r="I558" s="321"/>
      <c r="J558" s="321"/>
    </row>
    <row r="559" spans="2:10">
      <c r="B559" s="321"/>
      <c r="C559" s="321"/>
      <c r="D559" s="321"/>
      <c r="E559" s="321"/>
      <c r="F559" s="321"/>
      <c r="G559" s="321"/>
      <c r="H559" s="321"/>
      <c r="I559" s="321"/>
      <c r="J559" s="321"/>
    </row>
    <row r="560" spans="2:10">
      <c r="B560" s="321"/>
      <c r="C560" s="321"/>
      <c r="D560" s="321"/>
      <c r="E560" s="321"/>
      <c r="F560" s="321"/>
      <c r="G560" s="321"/>
      <c r="H560" s="321"/>
      <c r="I560" s="321"/>
      <c r="J560" s="321"/>
    </row>
    <row r="561" spans="2:10">
      <c r="B561" s="321"/>
      <c r="C561" s="321"/>
      <c r="D561" s="321"/>
      <c r="E561" s="321"/>
      <c r="F561" s="321"/>
      <c r="G561" s="321"/>
      <c r="H561" s="321"/>
      <c r="I561" s="321"/>
      <c r="J561" s="321"/>
    </row>
    <row r="562" spans="2:10">
      <c r="B562" s="321"/>
      <c r="C562" s="321"/>
      <c r="D562" s="321"/>
      <c r="E562" s="321"/>
      <c r="F562" s="321"/>
      <c r="G562" s="321"/>
      <c r="H562" s="321"/>
      <c r="I562" s="321"/>
      <c r="J562" s="321"/>
    </row>
    <row r="563" spans="2:10">
      <c r="B563" s="321"/>
      <c r="C563" s="321"/>
      <c r="D563" s="321"/>
      <c r="E563" s="321"/>
      <c r="F563" s="321"/>
      <c r="G563" s="321"/>
      <c r="H563" s="321"/>
      <c r="I563" s="321"/>
      <c r="J563" s="321"/>
    </row>
    <row r="564" spans="2:10">
      <c r="B564" s="321"/>
      <c r="C564" s="321"/>
      <c r="D564" s="321"/>
      <c r="E564" s="321"/>
      <c r="F564" s="321"/>
      <c r="G564" s="321"/>
      <c r="H564" s="321"/>
      <c r="I564" s="321"/>
      <c r="J564" s="321"/>
    </row>
    <row r="565" spans="2:10">
      <c r="B565" s="321"/>
      <c r="C565" s="321"/>
      <c r="D565" s="321"/>
      <c r="E565" s="321"/>
      <c r="F565" s="321"/>
      <c r="G565" s="321"/>
      <c r="H565" s="321"/>
      <c r="I565" s="321"/>
      <c r="J565" s="321"/>
    </row>
    <row r="566" spans="2:10">
      <c r="B566" s="321"/>
      <c r="C566" s="321"/>
      <c r="D566" s="321"/>
      <c r="E566" s="321"/>
      <c r="F566" s="321"/>
      <c r="G566" s="321"/>
      <c r="H566" s="321"/>
      <c r="I566" s="321"/>
      <c r="J566" s="321"/>
    </row>
    <row r="567" spans="2:10">
      <c r="B567" s="321"/>
      <c r="C567" s="321"/>
      <c r="D567" s="321"/>
      <c r="E567" s="321"/>
      <c r="F567" s="321"/>
      <c r="G567" s="321"/>
      <c r="H567" s="321"/>
      <c r="I567" s="321"/>
      <c r="J567" s="321"/>
    </row>
    <row r="568" spans="2:10">
      <c r="B568" s="321"/>
      <c r="C568" s="321"/>
      <c r="D568" s="321"/>
      <c r="E568" s="321"/>
      <c r="F568" s="321"/>
      <c r="G568" s="321"/>
      <c r="H568" s="321"/>
      <c r="I568" s="321"/>
      <c r="J568" s="321"/>
    </row>
    <row r="569" spans="2:10">
      <c r="B569" s="321"/>
      <c r="C569" s="321"/>
      <c r="D569" s="321"/>
      <c r="E569" s="321"/>
      <c r="F569" s="321"/>
      <c r="G569" s="321"/>
      <c r="H569" s="321"/>
      <c r="I569" s="321"/>
      <c r="J569" s="321"/>
    </row>
    <row r="570" spans="2:10">
      <c r="B570" s="321"/>
      <c r="C570" s="321"/>
      <c r="D570" s="321"/>
      <c r="E570" s="321"/>
      <c r="F570" s="321"/>
      <c r="G570" s="321"/>
      <c r="H570" s="321"/>
      <c r="I570" s="321"/>
      <c r="J570" s="321"/>
    </row>
    <row r="571" spans="2:10">
      <c r="B571" s="321"/>
      <c r="C571" s="321"/>
      <c r="D571" s="321"/>
      <c r="E571" s="321"/>
      <c r="F571" s="321"/>
      <c r="G571" s="321"/>
      <c r="H571" s="321"/>
      <c r="I571" s="321"/>
      <c r="J571" s="321"/>
    </row>
    <row r="572" spans="2:10">
      <c r="B572" s="321"/>
      <c r="C572" s="321"/>
      <c r="D572" s="321"/>
      <c r="E572" s="321"/>
      <c r="F572" s="321"/>
      <c r="G572" s="321"/>
      <c r="H572" s="321"/>
      <c r="I572" s="321"/>
      <c r="J572" s="321"/>
    </row>
    <row r="573" spans="2:10">
      <c r="B573" s="321"/>
      <c r="C573" s="321"/>
      <c r="D573" s="321"/>
      <c r="E573" s="321"/>
      <c r="F573" s="321"/>
      <c r="G573" s="321"/>
      <c r="H573" s="321"/>
      <c r="I573" s="321"/>
      <c r="J573" s="321"/>
    </row>
    <row r="574" spans="2:10">
      <c r="B574" s="321"/>
      <c r="C574" s="321"/>
      <c r="D574" s="321"/>
      <c r="E574" s="321"/>
      <c r="F574" s="321"/>
      <c r="G574" s="321"/>
      <c r="H574" s="321"/>
      <c r="I574" s="321"/>
      <c r="J574" s="321"/>
    </row>
    <row r="575" spans="2:10">
      <c r="B575" s="321"/>
      <c r="C575" s="321"/>
      <c r="D575" s="321"/>
      <c r="E575" s="321"/>
      <c r="F575" s="321"/>
      <c r="G575" s="321"/>
      <c r="H575" s="321"/>
      <c r="I575" s="321"/>
      <c r="J575" s="321"/>
    </row>
    <row r="576" spans="2:10">
      <c r="B576" s="321"/>
      <c r="C576" s="321"/>
      <c r="D576" s="321"/>
      <c r="E576" s="321"/>
      <c r="F576" s="321"/>
      <c r="G576" s="321"/>
      <c r="H576" s="321"/>
      <c r="I576" s="321"/>
      <c r="J576" s="321"/>
    </row>
    <row r="577" spans="2:10">
      <c r="B577" s="321"/>
      <c r="C577" s="321"/>
      <c r="D577" s="321"/>
      <c r="E577" s="321"/>
      <c r="F577" s="321"/>
      <c r="G577" s="321"/>
      <c r="H577" s="321"/>
      <c r="I577" s="321"/>
      <c r="J577" s="321"/>
    </row>
    <row r="578" spans="2:10">
      <c r="B578" s="321"/>
      <c r="C578" s="321"/>
      <c r="D578" s="321"/>
      <c r="E578" s="321"/>
      <c r="F578" s="321"/>
      <c r="G578" s="321"/>
      <c r="H578" s="321"/>
      <c r="I578" s="321"/>
      <c r="J578" s="321"/>
    </row>
    <row r="579" spans="2:10">
      <c r="B579" s="321"/>
      <c r="C579" s="321"/>
      <c r="D579" s="321"/>
      <c r="E579" s="321"/>
      <c r="F579" s="321"/>
      <c r="G579" s="321"/>
      <c r="H579" s="321"/>
      <c r="I579" s="321"/>
      <c r="J579" s="321"/>
    </row>
    <row r="580" spans="2:10">
      <c r="B580" s="321"/>
      <c r="C580" s="321"/>
      <c r="D580" s="321"/>
      <c r="E580" s="321"/>
      <c r="F580" s="321"/>
      <c r="G580" s="321"/>
      <c r="H580" s="321"/>
      <c r="I580" s="321"/>
      <c r="J580" s="321"/>
    </row>
    <row r="581" spans="2:10">
      <c r="B581" s="321"/>
      <c r="C581" s="321"/>
      <c r="D581" s="321"/>
      <c r="E581" s="321"/>
      <c r="F581" s="321"/>
      <c r="G581" s="321"/>
      <c r="H581" s="321"/>
      <c r="I581" s="321"/>
      <c r="J581" s="321"/>
    </row>
    <row r="582" spans="2:10">
      <c r="B582" s="321"/>
      <c r="C582" s="321"/>
      <c r="D582" s="321"/>
      <c r="E582" s="321"/>
      <c r="F582" s="321"/>
      <c r="G582" s="321"/>
      <c r="H582" s="321"/>
      <c r="I582" s="321"/>
      <c r="J582" s="321"/>
    </row>
    <row r="583" spans="2:10">
      <c r="B583" s="321"/>
      <c r="C583" s="321"/>
      <c r="D583" s="321"/>
      <c r="E583" s="321"/>
      <c r="F583" s="321"/>
      <c r="G583" s="321"/>
      <c r="H583" s="321"/>
      <c r="I583" s="321"/>
      <c r="J583" s="321"/>
    </row>
    <row r="584" spans="2:10">
      <c r="B584" s="321"/>
      <c r="C584" s="321"/>
      <c r="D584" s="321"/>
      <c r="E584" s="321"/>
      <c r="F584" s="321"/>
      <c r="G584" s="321"/>
      <c r="H584" s="321"/>
      <c r="I584" s="321"/>
      <c r="J584" s="321"/>
    </row>
    <row r="585" spans="2:10">
      <c r="B585" s="321"/>
      <c r="C585" s="321"/>
      <c r="D585" s="321"/>
      <c r="E585" s="321"/>
      <c r="F585" s="321"/>
      <c r="G585" s="321"/>
      <c r="H585" s="321"/>
      <c r="I585" s="321"/>
      <c r="J585" s="321"/>
    </row>
    <row r="586" spans="2:10">
      <c r="B586" s="321"/>
      <c r="C586" s="321"/>
      <c r="D586" s="321"/>
      <c r="E586" s="321"/>
      <c r="F586" s="321"/>
      <c r="G586" s="321"/>
      <c r="H586" s="321"/>
      <c r="I586" s="321"/>
      <c r="J586" s="321"/>
    </row>
    <row r="587" spans="2:10">
      <c r="B587" s="321"/>
      <c r="C587" s="321"/>
      <c r="D587" s="321"/>
      <c r="E587" s="321"/>
      <c r="F587" s="321"/>
      <c r="G587" s="321"/>
      <c r="H587" s="321"/>
      <c r="I587" s="321"/>
      <c r="J587" s="321"/>
    </row>
    <row r="588" spans="2:10">
      <c r="B588" s="321"/>
      <c r="C588" s="321"/>
      <c r="D588" s="321"/>
      <c r="E588" s="321"/>
      <c r="F588" s="321"/>
      <c r="G588" s="321"/>
      <c r="H588" s="321"/>
      <c r="I588" s="321"/>
      <c r="J588" s="321"/>
    </row>
    <row r="589" spans="2:10">
      <c r="B589" s="321"/>
      <c r="C589" s="321"/>
      <c r="D589" s="321"/>
      <c r="E589" s="321"/>
      <c r="F589" s="321"/>
      <c r="G589" s="321"/>
      <c r="H589" s="321"/>
      <c r="I589" s="321"/>
      <c r="J589" s="321"/>
    </row>
    <row r="590" spans="2:10">
      <c r="B590" s="321"/>
      <c r="C590" s="321"/>
      <c r="D590" s="321"/>
      <c r="E590" s="321"/>
      <c r="F590" s="321"/>
      <c r="G590" s="321"/>
      <c r="H590" s="321"/>
      <c r="I590" s="321"/>
      <c r="J590" s="321"/>
    </row>
    <row r="591" spans="2:10">
      <c r="B591" s="321"/>
      <c r="C591" s="321"/>
      <c r="D591" s="321"/>
      <c r="E591" s="321"/>
      <c r="F591" s="321"/>
      <c r="G591" s="321"/>
      <c r="H591" s="321"/>
      <c r="I591" s="321"/>
      <c r="J591" s="321"/>
    </row>
    <row r="592" spans="2:10">
      <c r="B592" s="321"/>
      <c r="C592" s="321"/>
      <c r="D592" s="321"/>
      <c r="E592" s="321"/>
      <c r="F592" s="321"/>
      <c r="G592" s="321"/>
      <c r="H592" s="321"/>
      <c r="I592" s="321"/>
      <c r="J592" s="321"/>
    </row>
    <row r="593" spans="2:10">
      <c r="B593" s="321"/>
      <c r="C593" s="321"/>
      <c r="D593" s="321"/>
      <c r="E593" s="321"/>
      <c r="F593" s="321"/>
      <c r="G593" s="321"/>
      <c r="H593" s="321"/>
      <c r="I593" s="321"/>
      <c r="J593" s="321"/>
    </row>
    <row r="594" spans="2:10">
      <c r="B594" s="321"/>
      <c r="C594" s="321"/>
      <c r="D594" s="321"/>
      <c r="E594" s="321"/>
      <c r="F594" s="321"/>
      <c r="G594" s="321"/>
      <c r="H594" s="321"/>
      <c r="I594" s="321"/>
      <c r="J594" s="321"/>
    </row>
    <row r="595" spans="2:10">
      <c r="B595" s="321"/>
      <c r="C595" s="321"/>
      <c r="D595" s="321"/>
      <c r="E595" s="321"/>
      <c r="F595" s="321"/>
      <c r="G595" s="321"/>
      <c r="H595" s="321"/>
      <c r="I595" s="321"/>
      <c r="J595" s="321"/>
    </row>
    <row r="596" spans="2:10">
      <c r="B596" s="321"/>
      <c r="C596" s="321"/>
      <c r="D596" s="321"/>
      <c r="E596" s="321"/>
      <c r="F596" s="321"/>
      <c r="G596" s="321"/>
      <c r="H596" s="321"/>
      <c r="I596" s="321"/>
      <c r="J596" s="321"/>
    </row>
    <row r="597" spans="2:10">
      <c r="B597" s="321"/>
      <c r="C597" s="321"/>
      <c r="D597" s="321"/>
      <c r="E597" s="321"/>
      <c r="F597" s="321"/>
      <c r="G597" s="321"/>
      <c r="H597" s="321"/>
      <c r="I597" s="321"/>
      <c r="J597" s="321"/>
    </row>
    <row r="598" spans="2:10">
      <c r="B598" s="321"/>
      <c r="C598" s="321"/>
      <c r="D598" s="321"/>
      <c r="E598" s="321"/>
      <c r="F598" s="321"/>
      <c r="G598" s="321"/>
      <c r="H598" s="321"/>
      <c r="I598" s="321"/>
      <c r="J598" s="321"/>
    </row>
    <row r="599" spans="2:10">
      <c r="B599" s="321"/>
      <c r="C599" s="321"/>
      <c r="D599" s="321"/>
      <c r="E599" s="321"/>
      <c r="F599" s="321"/>
      <c r="G599" s="321"/>
      <c r="H599" s="321"/>
      <c r="I599" s="321"/>
      <c r="J599" s="321"/>
    </row>
    <row r="600" spans="2:10">
      <c r="B600" s="321"/>
      <c r="C600" s="321"/>
      <c r="D600" s="321"/>
      <c r="E600" s="321"/>
      <c r="F600" s="321"/>
      <c r="G600" s="321"/>
      <c r="H600" s="321"/>
      <c r="I600" s="321"/>
      <c r="J600" s="321"/>
    </row>
    <row r="601" spans="2:10">
      <c r="B601" s="321"/>
      <c r="C601" s="321"/>
      <c r="D601" s="321"/>
      <c r="E601" s="321"/>
      <c r="F601" s="321"/>
      <c r="G601" s="321"/>
      <c r="H601" s="321"/>
      <c r="I601" s="321"/>
      <c r="J601" s="321"/>
    </row>
    <row r="602" spans="2:10">
      <c r="B602" s="321"/>
      <c r="C602" s="321"/>
      <c r="D602" s="321"/>
      <c r="E602" s="321"/>
      <c r="F602" s="321"/>
      <c r="G602" s="321"/>
      <c r="H602" s="321"/>
      <c r="I602" s="321"/>
      <c r="J602" s="321"/>
    </row>
    <row r="603" spans="2:10">
      <c r="B603" s="321"/>
      <c r="C603" s="321"/>
      <c r="D603" s="321"/>
      <c r="E603" s="321"/>
      <c r="F603" s="321"/>
      <c r="G603" s="321"/>
      <c r="H603" s="321"/>
      <c r="I603" s="321"/>
      <c r="J603" s="321"/>
    </row>
    <row r="604" spans="2:10">
      <c r="B604" s="321"/>
      <c r="C604" s="321"/>
      <c r="D604" s="321"/>
      <c r="E604" s="321"/>
      <c r="F604" s="321"/>
      <c r="G604" s="321"/>
      <c r="H604" s="321"/>
      <c r="I604" s="321"/>
      <c r="J604" s="321"/>
    </row>
    <row r="605" spans="2:10">
      <c r="B605" s="321"/>
      <c r="C605" s="321"/>
      <c r="D605" s="321"/>
      <c r="E605" s="321"/>
      <c r="F605" s="321"/>
      <c r="G605" s="321"/>
      <c r="H605" s="321"/>
      <c r="I605" s="321"/>
      <c r="J605" s="321"/>
    </row>
    <row r="606" spans="2:10">
      <c r="B606" s="321"/>
      <c r="C606" s="321"/>
      <c r="D606" s="321"/>
      <c r="E606" s="321"/>
      <c r="F606" s="321"/>
      <c r="G606" s="321"/>
      <c r="H606" s="321"/>
      <c r="I606" s="321"/>
      <c r="J606" s="321"/>
    </row>
    <row r="607" spans="2:10">
      <c r="B607" s="321"/>
      <c r="C607" s="321"/>
      <c r="D607" s="321"/>
      <c r="E607" s="321"/>
      <c r="F607" s="321"/>
      <c r="G607" s="321"/>
      <c r="H607" s="321"/>
      <c r="I607" s="321"/>
      <c r="J607" s="321"/>
    </row>
    <row r="608" spans="2:10">
      <c r="B608" s="321"/>
      <c r="C608" s="321"/>
      <c r="D608" s="321"/>
      <c r="E608" s="321"/>
      <c r="F608" s="321"/>
      <c r="G608" s="321"/>
      <c r="H608" s="321"/>
      <c r="I608" s="321"/>
      <c r="J608" s="321"/>
    </row>
    <row r="609" spans="2:10">
      <c r="B609" s="321"/>
      <c r="C609" s="321"/>
      <c r="D609" s="321"/>
      <c r="E609" s="321"/>
      <c r="F609" s="321"/>
      <c r="G609" s="321"/>
      <c r="H609" s="321"/>
      <c r="I609" s="321"/>
      <c r="J609" s="321"/>
    </row>
    <row r="610" spans="2:10">
      <c r="B610" s="321"/>
      <c r="C610" s="321"/>
      <c r="D610" s="321"/>
      <c r="E610" s="321"/>
      <c r="F610" s="321"/>
      <c r="G610" s="321"/>
      <c r="H610" s="321"/>
      <c r="I610" s="321"/>
      <c r="J610" s="321"/>
    </row>
    <row r="611" spans="2:10">
      <c r="B611" s="321"/>
      <c r="C611" s="321"/>
      <c r="D611" s="321"/>
      <c r="E611" s="321"/>
      <c r="F611" s="321"/>
      <c r="G611" s="321"/>
      <c r="H611" s="321"/>
      <c r="I611" s="321"/>
      <c r="J611" s="321"/>
    </row>
    <row r="612" spans="2:10">
      <c r="B612" s="321"/>
      <c r="C612" s="321"/>
      <c r="D612" s="321"/>
      <c r="E612" s="321"/>
      <c r="F612" s="321"/>
      <c r="G612" s="321"/>
      <c r="H612" s="321"/>
      <c r="I612" s="321"/>
      <c r="J612" s="321"/>
    </row>
    <row r="613" spans="2:10">
      <c r="B613" s="321"/>
      <c r="C613" s="321"/>
      <c r="D613" s="321"/>
      <c r="E613" s="321"/>
      <c r="F613" s="321"/>
      <c r="G613" s="321"/>
      <c r="H613" s="321"/>
      <c r="I613" s="321"/>
      <c r="J613" s="321"/>
    </row>
    <row r="614" spans="2:10">
      <c r="B614" s="321"/>
      <c r="C614" s="321"/>
      <c r="D614" s="321"/>
      <c r="E614" s="321"/>
      <c r="F614" s="321"/>
      <c r="G614" s="321"/>
      <c r="H614" s="321"/>
      <c r="I614" s="321"/>
      <c r="J614" s="321"/>
    </row>
    <row r="615" spans="2:10">
      <c r="B615" s="321"/>
      <c r="C615" s="321"/>
      <c r="D615" s="321"/>
      <c r="E615" s="321"/>
      <c r="F615" s="321"/>
      <c r="G615" s="321"/>
      <c r="H615" s="321"/>
      <c r="I615" s="321"/>
      <c r="J615" s="321"/>
    </row>
    <row r="616" spans="2:10">
      <c r="B616" s="321"/>
      <c r="C616" s="321"/>
      <c r="D616" s="321"/>
      <c r="E616" s="321"/>
      <c r="F616" s="321"/>
      <c r="G616" s="321"/>
      <c r="H616" s="321"/>
      <c r="I616" s="321"/>
      <c r="J616" s="321"/>
    </row>
    <row r="617" spans="2:10">
      <c r="B617" s="321"/>
      <c r="C617" s="321"/>
      <c r="D617" s="321"/>
      <c r="E617" s="321"/>
      <c r="F617" s="321"/>
      <c r="G617" s="321"/>
      <c r="H617" s="321"/>
      <c r="I617" s="321"/>
      <c r="J617" s="321"/>
    </row>
    <row r="618" spans="2:10">
      <c r="B618" s="321"/>
      <c r="C618" s="321"/>
      <c r="D618" s="321"/>
      <c r="E618" s="321"/>
      <c r="F618" s="321"/>
      <c r="G618" s="321"/>
      <c r="H618" s="321"/>
      <c r="I618" s="321"/>
      <c r="J618" s="321"/>
    </row>
    <row r="619" spans="2:10">
      <c r="B619" s="321"/>
      <c r="C619" s="321"/>
      <c r="D619" s="321"/>
      <c r="E619" s="321"/>
      <c r="F619" s="321"/>
      <c r="G619" s="321"/>
      <c r="H619" s="321"/>
      <c r="I619" s="321"/>
      <c r="J619" s="321"/>
    </row>
    <row r="620" spans="2:10">
      <c r="B620" s="321"/>
      <c r="C620" s="321"/>
      <c r="D620" s="321"/>
      <c r="E620" s="321"/>
      <c r="F620" s="321"/>
      <c r="G620" s="321"/>
      <c r="H620" s="321"/>
      <c r="I620" s="321"/>
      <c r="J620" s="321"/>
    </row>
    <row r="621" spans="2:10">
      <c r="B621" s="321"/>
      <c r="C621" s="321"/>
      <c r="D621" s="321"/>
      <c r="E621" s="321"/>
      <c r="F621" s="321"/>
      <c r="G621" s="321"/>
      <c r="H621" s="321"/>
      <c r="I621" s="321"/>
      <c r="J621" s="321"/>
    </row>
    <row r="622" spans="2:10">
      <c r="B622" s="321"/>
      <c r="C622" s="321"/>
      <c r="D622" s="321"/>
      <c r="E622" s="321"/>
      <c r="F622" s="321"/>
      <c r="G622" s="321"/>
      <c r="H622" s="321"/>
      <c r="I622" s="321"/>
      <c r="J622" s="321"/>
    </row>
    <row r="623" spans="2:10">
      <c r="B623" s="321"/>
      <c r="C623" s="321"/>
      <c r="D623" s="321"/>
      <c r="E623" s="321"/>
      <c r="F623" s="321"/>
      <c r="G623" s="321"/>
      <c r="H623" s="321"/>
      <c r="I623" s="321"/>
      <c r="J623" s="321"/>
    </row>
    <row r="624" spans="2:10">
      <c r="B624" s="321"/>
      <c r="C624" s="321"/>
      <c r="D624" s="321"/>
      <c r="E624" s="321"/>
      <c r="F624" s="321"/>
      <c r="G624" s="321"/>
      <c r="H624" s="321"/>
      <c r="I624" s="321"/>
      <c r="J624" s="321"/>
    </row>
    <row r="625" spans="2:10">
      <c r="B625" s="321"/>
      <c r="C625" s="321"/>
      <c r="D625" s="321"/>
      <c r="E625" s="321"/>
      <c r="F625" s="321"/>
      <c r="G625" s="321"/>
      <c r="H625" s="321"/>
      <c r="I625" s="321"/>
      <c r="J625" s="321"/>
    </row>
    <row r="626" spans="2:10">
      <c r="B626" s="321"/>
      <c r="C626" s="321"/>
      <c r="D626" s="321"/>
      <c r="E626" s="321"/>
      <c r="F626" s="321"/>
      <c r="G626" s="321"/>
      <c r="H626" s="321"/>
      <c r="I626" s="321"/>
      <c r="J626" s="321"/>
    </row>
    <row r="627" spans="2:10">
      <c r="B627" s="321"/>
      <c r="C627" s="321"/>
      <c r="D627" s="321"/>
      <c r="E627" s="321"/>
      <c r="F627" s="321"/>
      <c r="G627" s="321"/>
      <c r="H627" s="321"/>
      <c r="I627" s="321"/>
      <c r="J627" s="321"/>
    </row>
    <row r="628" spans="2:10">
      <c r="B628" s="321"/>
      <c r="C628" s="321"/>
      <c r="D628" s="321"/>
      <c r="E628" s="321"/>
      <c r="F628" s="321"/>
      <c r="G628" s="321"/>
      <c r="H628" s="321"/>
      <c r="I628" s="321"/>
      <c r="J628" s="321"/>
    </row>
    <row r="629" spans="2:10">
      <c r="B629" s="321"/>
      <c r="C629" s="321"/>
      <c r="D629" s="321"/>
      <c r="E629" s="321"/>
      <c r="F629" s="321"/>
      <c r="G629" s="321"/>
      <c r="H629" s="321"/>
      <c r="I629" s="321"/>
      <c r="J629" s="321"/>
    </row>
    <row r="630" spans="2:10">
      <c r="B630" s="321"/>
      <c r="C630" s="321"/>
      <c r="D630" s="321"/>
      <c r="E630" s="321"/>
      <c r="F630" s="321"/>
      <c r="G630" s="321"/>
      <c r="H630" s="321"/>
      <c r="I630" s="321"/>
      <c r="J630" s="321"/>
    </row>
    <row r="631" spans="2:10">
      <c r="B631" s="321"/>
      <c r="C631" s="321"/>
      <c r="D631" s="321"/>
      <c r="E631" s="321"/>
      <c r="F631" s="321"/>
      <c r="G631" s="321"/>
      <c r="H631" s="321"/>
      <c r="I631" s="321"/>
      <c r="J631" s="321"/>
    </row>
    <row r="632" spans="2:10">
      <c r="B632" s="321"/>
      <c r="C632" s="321"/>
      <c r="D632" s="321"/>
      <c r="E632" s="321"/>
      <c r="F632" s="321"/>
      <c r="G632" s="321"/>
      <c r="H632" s="321"/>
      <c r="I632" s="321"/>
      <c r="J632" s="321"/>
    </row>
    <row r="633" spans="2:10">
      <c r="B633" s="321"/>
      <c r="C633" s="321"/>
      <c r="D633" s="321"/>
      <c r="E633" s="321"/>
      <c r="F633" s="321"/>
      <c r="G633" s="321"/>
      <c r="H633" s="321"/>
      <c r="I633" s="321"/>
      <c r="J633" s="321"/>
    </row>
    <row r="634" spans="2:10">
      <c r="B634" s="321"/>
      <c r="C634" s="321"/>
      <c r="D634" s="321"/>
      <c r="E634" s="321"/>
      <c r="F634" s="321"/>
      <c r="G634" s="321"/>
      <c r="H634" s="321"/>
      <c r="I634" s="321"/>
      <c r="J634" s="321"/>
    </row>
    <row r="635" spans="2:10">
      <c r="B635" s="321"/>
      <c r="C635" s="321"/>
      <c r="D635" s="321"/>
      <c r="E635" s="321"/>
      <c r="F635" s="321"/>
      <c r="G635" s="321"/>
      <c r="H635" s="321"/>
      <c r="I635" s="321"/>
      <c r="J635" s="321"/>
    </row>
    <row r="636" spans="2:10">
      <c r="B636" s="321"/>
      <c r="C636" s="321"/>
      <c r="D636" s="321"/>
      <c r="E636" s="321"/>
      <c r="F636" s="321"/>
      <c r="G636" s="321"/>
      <c r="H636" s="321"/>
      <c r="I636" s="321"/>
      <c r="J636" s="321"/>
    </row>
    <row r="637" spans="2:10">
      <c r="B637" s="321"/>
      <c r="C637" s="321"/>
      <c r="D637" s="321"/>
      <c r="E637" s="321"/>
      <c r="F637" s="321"/>
      <c r="G637" s="321"/>
      <c r="H637" s="321"/>
      <c r="I637" s="321"/>
      <c r="J637" s="321"/>
    </row>
    <row r="638" spans="2:10">
      <c r="B638" s="321"/>
      <c r="C638" s="321"/>
      <c r="D638" s="321"/>
      <c r="E638" s="321"/>
      <c r="F638" s="321"/>
      <c r="G638" s="321"/>
      <c r="H638" s="321"/>
      <c r="I638" s="321"/>
      <c r="J638" s="321"/>
    </row>
    <row r="639" spans="2:10">
      <c r="B639" s="321"/>
      <c r="C639" s="321"/>
      <c r="D639" s="321"/>
      <c r="E639" s="321"/>
      <c r="F639" s="321"/>
      <c r="G639" s="321"/>
      <c r="H639" s="321"/>
      <c r="I639" s="321"/>
      <c r="J639" s="321"/>
    </row>
    <row r="640" spans="2:10">
      <c r="B640" s="321"/>
      <c r="C640" s="321"/>
      <c r="D640" s="321"/>
      <c r="E640" s="321"/>
      <c r="F640" s="321"/>
      <c r="G640" s="321"/>
      <c r="H640" s="321"/>
      <c r="I640" s="321"/>
      <c r="J640" s="321"/>
    </row>
    <row r="641" spans="2:10">
      <c r="B641" s="321"/>
      <c r="C641" s="321"/>
      <c r="D641" s="321"/>
      <c r="E641" s="321"/>
      <c r="F641" s="321"/>
      <c r="G641" s="321"/>
      <c r="H641" s="321"/>
      <c r="I641" s="321"/>
      <c r="J641" s="321"/>
    </row>
    <row r="642" spans="2:10">
      <c r="B642" s="321"/>
      <c r="C642" s="321"/>
      <c r="D642" s="321"/>
      <c r="E642" s="321"/>
      <c r="F642" s="321"/>
      <c r="G642" s="321"/>
      <c r="H642" s="321"/>
      <c r="I642" s="321"/>
      <c r="J642" s="321"/>
    </row>
    <row r="643" spans="2:10">
      <c r="B643" s="321"/>
      <c r="C643" s="321"/>
      <c r="D643" s="321"/>
      <c r="E643" s="321"/>
      <c r="F643" s="321"/>
      <c r="G643" s="321"/>
      <c r="H643" s="321"/>
      <c r="I643" s="321"/>
      <c r="J643" s="321"/>
    </row>
    <row r="644" spans="2:10">
      <c r="B644" s="321"/>
      <c r="C644" s="321"/>
      <c r="D644" s="321"/>
      <c r="E644" s="321"/>
      <c r="F644" s="321"/>
      <c r="G644" s="321"/>
      <c r="H644" s="321"/>
      <c r="I644" s="321"/>
      <c r="J644" s="321"/>
    </row>
    <row r="645" spans="2:10">
      <c r="B645" s="321"/>
      <c r="C645" s="321"/>
      <c r="D645" s="321"/>
      <c r="E645" s="321"/>
      <c r="F645" s="321"/>
      <c r="G645" s="321"/>
      <c r="H645" s="321"/>
      <c r="I645" s="321"/>
      <c r="J645" s="321"/>
    </row>
    <row r="646" spans="2:10">
      <c r="B646" s="321"/>
      <c r="C646" s="321"/>
      <c r="D646" s="321"/>
      <c r="E646" s="321"/>
      <c r="F646" s="321"/>
      <c r="G646" s="321"/>
      <c r="H646" s="321"/>
      <c r="I646" s="321"/>
      <c r="J646" s="321"/>
    </row>
    <row r="647" spans="2:10">
      <c r="B647" s="321"/>
      <c r="C647" s="321"/>
      <c r="D647" s="321"/>
      <c r="E647" s="321"/>
      <c r="F647" s="321"/>
      <c r="G647" s="321"/>
      <c r="H647" s="321"/>
      <c r="I647" s="321"/>
      <c r="J647" s="321"/>
    </row>
    <row r="648" spans="2:10">
      <c r="B648" s="321"/>
      <c r="C648" s="321"/>
      <c r="D648" s="321"/>
      <c r="E648" s="321"/>
      <c r="F648" s="321"/>
      <c r="G648" s="321"/>
      <c r="H648" s="321"/>
      <c r="I648" s="321"/>
      <c r="J648" s="321"/>
    </row>
    <row r="649" spans="2:10">
      <c r="B649" s="321"/>
      <c r="C649" s="321"/>
      <c r="D649" s="321"/>
      <c r="E649" s="321"/>
      <c r="F649" s="321"/>
      <c r="G649" s="321"/>
      <c r="H649" s="321"/>
      <c r="I649" s="321"/>
      <c r="J649" s="321"/>
    </row>
    <row r="650" spans="2:10">
      <c r="B650" s="321"/>
      <c r="C650" s="321"/>
      <c r="D650" s="321"/>
      <c r="E650" s="321"/>
      <c r="F650" s="321"/>
      <c r="G650" s="321"/>
      <c r="H650" s="321"/>
      <c r="I650" s="321"/>
      <c r="J650" s="321"/>
    </row>
    <row r="651" spans="2:10">
      <c r="B651" s="321"/>
      <c r="C651" s="321"/>
      <c r="D651" s="321"/>
      <c r="E651" s="321"/>
      <c r="F651" s="321"/>
      <c r="G651" s="321"/>
      <c r="H651" s="321"/>
      <c r="I651" s="321"/>
      <c r="J651" s="321"/>
    </row>
    <row r="652" spans="2:10">
      <c r="B652" s="321"/>
      <c r="C652" s="321"/>
      <c r="D652" s="321"/>
      <c r="E652" s="321"/>
      <c r="F652" s="321"/>
      <c r="G652" s="321"/>
      <c r="H652" s="321"/>
      <c r="I652" s="321"/>
      <c r="J652" s="321"/>
    </row>
    <row r="653" spans="2:10">
      <c r="B653" s="321"/>
      <c r="C653" s="321"/>
      <c r="D653" s="321"/>
      <c r="E653" s="321"/>
      <c r="F653" s="321"/>
      <c r="G653" s="321"/>
      <c r="H653" s="321"/>
      <c r="I653" s="321"/>
      <c r="J653" s="321"/>
    </row>
    <row r="654" spans="2:10">
      <c r="B654" s="321"/>
      <c r="C654" s="321"/>
      <c r="D654" s="321"/>
      <c r="E654" s="321"/>
      <c r="F654" s="321"/>
      <c r="G654" s="321"/>
      <c r="H654" s="321"/>
      <c r="I654" s="321"/>
      <c r="J654" s="321"/>
    </row>
    <row r="655" spans="2:10">
      <c r="B655" s="321"/>
      <c r="C655" s="321"/>
      <c r="D655" s="321"/>
      <c r="E655" s="321"/>
      <c r="F655" s="321"/>
      <c r="G655" s="321"/>
      <c r="H655" s="321"/>
      <c r="I655" s="321"/>
      <c r="J655" s="321"/>
    </row>
    <row r="656" spans="2:10">
      <c r="B656" s="321"/>
      <c r="C656" s="321"/>
      <c r="D656" s="321"/>
      <c r="E656" s="321"/>
      <c r="F656" s="321"/>
      <c r="G656" s="321"/>
      <c r="H656" s="321"/>
      <c r="I656" s="321"/>
      <c r="J656" s="321"/>
    </row>
    <row r="657" spans="2:10">
      <c r="B657" s="321"/>
      <c r="C657" s="321"/>
      <c r="D657" s="321"/>
      <c r="E657" s="321"/>
      <c r="F657" s="321"/>
      <c r="G657" s="321"/>
      <c r="H657" s="321"/>
      <c r="I657" s="321"/>
      <c r="J657" s="321"/>
    </row>
    <row r="658" spans="2:10">
      <c r="B658" s="321"/>
      <c r="C658" s="321"/>
      <c r="D658" s="321"/>
      <c r="E658" s="321"/>
      <c r="F658" s="321"/>
      <c r="G658" s="321"/>
      <c r="H658" s="321"/>
      <c r="I658" s="321"/>
      <c r="J658" s="321"/>
    </row>
    <row r="659" spans="2:10">
      <c r="B659" s="321"/>
      <c r="C659" s="321"/>
      <c r="D659" s="321"/>
      <c r="E659" s="321"/>
      <c r="F659" s="321"/>
      <c r="G659" s="321"/>
      <c r="H659" s="321"/>
      <c r="I659" s="321"/>
      <c r="J659" s="321"/>
    </row>
    <row r="660" spans="2:10">
      <c r="B660" s="321"/>
      <c r="C660" s="321"/>
      <c r="D660" s="321"/>
      <c r="E660" s="321"/>
      <c r="F660" s="321"/>
      <c r="G660" s="321"/>
      <c r="H660" s="321"/>
      <c r="I660" s="321"/>
      <c r="J660" s="321"/>
    </row>
    <row r="661" spans="2:10">
      <c r="B661" s="321"/>
      <c r="C661" s="321"/>
      <c r="D661" s="321"/>
      <c r="E661" s="321"/>
      <c r="F661" s="321"/>
      <c r="G661" s="321"/>
      <c r="H661" s="321"/>
      <c r="I661" s="321"/>
      <c r="J661" s="321"/>
    </row>
    <row r="662" spans="2:10">
      <c r="B662" s="321"/>
      <c r="C662" s="321"/>
      <c r="D662" s="321"/>
      <c r="E662" s="321"/>
      <c r="F662" s="321"/>
      <c r="G662" s="321"/>
      <c r="H662" s="321"/>
      <c r="I662" s="321"/>
      <c r="J662" s="321"/>
    </row>
    <row r="663" spans="2:10">
      <c r="B663" s="321"/>
      <c r="C663" s="321"/>
      <c r="D663" s="321"/>
      <c r="E663" s="321"/>
      <c r="F663" s="321"/>
      <c r="G663" s="321"/>
      <c r="H663" s="321"/>
      <c r="I663" s="321"/>
      <c r="J663" s="321"/>
    </row>
    <row r="664" spans="2:10">
      <c r="B664" s="321"/>
      <c r="C664" s="321"/>
      <c r="D664" s="321"/>
      <c r="E664" s="321"/>
      <c r="F664" s="321"/>
      <c r="G664" s="321"/>
      <c r="H664" s="321"/>
      <c r="I664" s="321"/>
      <c r="J664" s="321"/>
    </row>
    <row r="665" spans="2:10">
      <c r="B665" s="321"/>
      <c r="C665" s="321"/>
      <c r="D665" s="321"/>
      <c r="E665" s="321"/>
      <c r="F665" s="321"/>
      <c r="G665" s="321"/>
      <c r="H665" s="321"/>
      <c r="I665" s="321"/>
      <c r="J665" s="321"/>
    </row>
    <row r="666" spans="2:10">
      <c r="B666" s="321"/>
      <c r="C666" s="321"/>
      <c r="D666" s="321"/>
      <c r="E666" s="321"/>
      <c r="F666" s="321"/>
      <c r="G666" s="321"/>
      <c r="H666" s="321"/>
      <c r="I666" s="321"/>
      <c r="J666" s="321"/>
    </row>
    <row r="667" spans="2:10">
      <c r="B667" s="321"/>
      <c r="C667" s="321"/>
      <c r="D667" s="321"/>
      <c r="E667" s="321"/>
      <c r="F667" s="321"/>
      <c r="G667" s="321"/>
      <c r="H667" s="321"/>
      <c r="I667" s="321"/>
      <c r="J667" s="321"/>
    </row>
    <row r="668" spans="2:10">
      <c r="B668" s="321"/>
      <c r="C668" s="321"/>
      <c r="D668" s="321"/>
      <c r="E668" s="321"/>
      <c r="F668" s="321"/>
      <c r="G668" s="321"/>
      <c r="H668" s="321"/>
      <c r="I668" s="321"/>
      <c r="J668" s="321"/>
    </row>
    <row r="669" spans="2:10">
      <c r="B669" s="321"/>
      <c r="C669" s="321"/>
      <c r="D669" s="321"/>
      <c r="E669" s="321"/>
      <c r="F669" s="321"/>
      <c r="G669" s="321"/>
      <c r="H669" s="321"/>
      <c r="I669" s="321"/>
      <c r="J669" s="321"/>
    </row>
    <row r="670" spans="2:10">
      <c r="B670" s="321"/>
      <c r="C670" s="321"/>
      <c r="D670" s="321"/>
      <c r="E670" s="321"/>
      <c r="F670" s="321"/>
      <c r="G670" s="321"/>
      <c r="H670" s="321"/>
      <c r="I670" s="321"/>
      <c r="J670" s="321"/>
    </row>
    <row r="671" spans="2:10">
      <c r="B671" s="321"/>
      <c r="C671" s="321"/>
      <c r="D671" s="321"/>
      <c r="E671" s="321"/>
      <c r="F671" s="321"/>
      <c r="G671" s="321"/>
      <c r="H671" s="321"/>
      <c r="I671" s="321"/>
      <c r="J671" s="321"/>
    </row>
    <row r="672" spans="2:10">
      <c r="B672" s="321"/>
      <c r="C672" s="321"/>
      <c r="D672" s="321"/>
      <c r="E672" s="321"/>
      <c r="F672" s="321"/>
      <c r="G672" s="321"/>
      <c r="H672" s="321"/>
      <c r="I672" s="321"/>
      <c r="J672" s="321"/>
    </row>
    <row r="673" spans="2:10">
      <c r="B673" s="321"/>
      <c r="C673" s="321"/>
      <c r="D673" s="321"/>
      <c r="E673" s="321"/>
      <c r="F673" s="321"/>
      <c r="G673" s="321"/>
      <c r="H673" s="321"/>
      <c r="I673" s="321"/>
      <c r="J673" s="321"/>
    </row>
    <row r="674" spans="2:10">
      <c r="B674" s="321"/>
      <c r="C674" s="321"/>
      <c r="D674" s="321"/>
      <c r="E674" s="321"/>
      <c r="F674" s="321"/>
      <c r="G674" s="321"/>
      <c r="H674" s="321"/>
      <c r="I674" s="321"/>
      <c r="J674" s="321"/>
    </row>
    <row r="675" spans="2:10">
      <c r="B675" s="321"/>
      <c r="C675" s="321"/>
      <c r="D675" s="321"/>
      <c r="E675" s="321"/>
      <c r="F675" s="321"/>
      <c r="G675" s="321"/>
      <c r="H675" s="321"/>
      <c r="I675" s="321"/>
      <c r="J675" s="321"/>
    </row>
    <row r="676" spans="2:10">
      <c r="B676" s="321"/>
      <c r="C676" s="321"/>
      <c r="D676" s="321"/>
      <c r="E676" s="321"/>
      <c r="F676" s="321"/>
      <c r="G676" s="321"/>
      <c r="H676" s="321"/>
      <c r="I676" s="321"/>
      <c r="J676" s="321"/>
    </row>
    <row r="677" spans="2:10">
      <c r="B677" s="321"/>
      <c r="C677" s="321"/>
      <c r="D677" s="321"/>
      <c r="E677" s="321"/>
      <c r="F677" s="321"/>
      <c r="G677" s="321"/>
      <c r="H677" s="321"/>
      <c r="I677" s="321"/>
      <c r="J677" s="321"/>
    </row>
    <row r="678" spans="2:10">
      <c r="B678" s="321"/>
      <c r="C678" s="321"/>
      <c r="D678" s="321"/>
      <c r="E678" s="321"/>
      <c r="F678" s="321"/>
      <c r="G678" s="321"/>
      <c r="H678" s="321"/>
      <c r="I678" s="321"/>
      <c r="J678" s="321"/>
    </row>
    <row r="679" spans="2:10">
      <c r="B679" s="321"/>
      <c r="C679" s="321"/>
      <c r="D679" s="321"/>
      <c r="E679" s="321"/>
      <c r="F679" s="321"/>
      <c r="G679" s="321"/>
      <c r="H679" s="321"/>
      <c r="I679" s="321"/>
      <c r="J679" s="321"/>
    </row>
    <row r="680" spans="2:10">
      <c r="B680" s="321"/>
      <c r="C680" s="321"/>
      <c r="D680" s="321"/>
      <c r="E680" s="321"/>
      <c r="F680" s="321"/>
      <c r="G680" s="321"/>
      <c r="H680" s="321"/>
      <c r="I680" s="321"/>
      <c r="J680" s="321"/>
    </row>
    <row r="681" spans="2:10">
      <c r="B681" s="321"/>
      <c r="C681" s="321"/>
      <c r="D681" s="321"/>
      <c r="E681" s="321"/>
      <c r="F681" s="321"/>
      <c r="G681" s="321"/>
      <c r="H681" s="321"/>
      <c r="I681" s="321"/>
      <c r="J681" s="321"/>
    </row>
    <row r="682" spans="2:10">
      <c r="B682" s="321"/>
      <c r="C682" s="321"/>
      <c r="D682" s="321"/>
      <c r="E682" s="321"/>
      <c r="F682" s="321"/>
      <c r="G682" s="321"/>
      <c r="H682" s="321"/>
      <c r="I682" s="321"/>
      <c r="J682" s="321"/>
    </row>
    <row r="683" spans="2:10">
      <c r="B683" s="321"/>
      <c r="C683" s="321"/>
      <c r="D683" s="321"/>
      <c r="E683" s="321"/>
      <c r="F683" s="321"/>
      <c r="G683" s="321"/>
      <c r="H683" s="321"/>
      <c r="I683" s="321"/>
      <c r="J683" s="321"/>
    </row>
    <row r="684" spans="2:10">
      <c r="B684" s="321"/>
      <c r="C684" s="321"/>
      <c r="D684" s="321"/>
      <c r="E684" s="321"/>
      <c r="F684" s="321"/>
      <c r="G684" s="321"/>
      <c r="H684" s="321"/>
      <c r="I684" s="321"/>
      <c r="J684" s="321"/>
    </row>
    <row r="685" spans="2:10">
      <c r="B685" s="321"/>
      <c r="C685" s="321"/>
      <c r="D685" s="321"/>
      <c r="E685" s="321"/>
      <c r="F685" s="321"/>
      <c r="G685" s="321"/>
      <c r="H685" s="321"/>
      <c r="I685" s="321"/>
      <c r="J685" s="321"/>
    </row>
    <row r="686" spans="2:10">
      <c r="B686" s="321"/>
      <c r="C686" s="321"/>
      <c r="D686" s="321"/>
      <c r="E686" s="321"/>
      <c r="F686" s="321"/>
      <c r="G686" s="321"/>
      <c r="H686" s="321"/>
      <c r="I686" s="321"/>
      <c r="J686" s="321"/>
    </row>
    <row r="687" spans="2:10">
      <c r="B687" s="321"/>
      <c r="C687" s="321"/>
      <c r="D687" s="321"/>
      <c r="E687" s="321"/>
      <c r="F687" s="321"/>
      <c r="G687" s="321"/>
      <c r="H687" s="321"/>
      <c r="I687" s="321"/>
      <c r="J687" s="321"/>
    </row>
    <row r="688" spans="2:10">
      <c r="B688" s="321"/>
      <c r="C688" s="321"/>
      <c r="D688" s="321"/>
      <c r="E688" s="321"/>
      <c r="F688" s="321"/>
      <c r="G688" s="321"/>
      <c r="H688" s="321"/>
      <c r="I688" s="321"/>
      <c r="J688" s="321"/>
    </row>
    <row r="689" spans="2:10">
      <c r="B689" s="321"/>
      <c r="C689" s="321"/>
      <c r="D689" s="321"/>
      <c r="E689" s="321"/>
      <c r="F689" s="321"/>
      <c r="G689" s="321"/>
      <c r="H689" s="321"/>
      <c r="I689" s="321"/>
      <c r="J689" s="321"/>
    </row>
    <row r="690" spans="2:10">
      <c r="B690" s="321"/>
      <c r="C690" s="321"/>
      <c r="D690" s="321"/>
      <c r="E690" s="321"/>
      <c r="F690" s="321"/>
      <c r="G690" s="321"/>
      <c r="H690" s="321"/>
      <c r="I690" s="321"/>
      <c r="J690" s="321"/>
    </row>
    <row r="691" spans="2:10">
      <c r="B691" s="321"/>
      <c r="C691" s="321"/>
      <c r="D691" s="321"/>
      <c r="E691" s="321"/>
      <c r="F691" s="321"/>
      <c r="G691" s="321"/>
      <c r="H691" s="321"/>
      <c r="I691" s="321"/>
      <c r="J691" s="321"/>
    </row>
    <row r="692" spans="2:10">
      <c r="B692" s="321"/>
      <c r="C692" s="321"/>
      <c r="D692" s="321"/>
      <c r="E692" s="321"/>
      <c r="F692" s="321"/>
      <c r="G692" s="321"/>
      <c r="H692" s="321"/>
      <c r="I692" s="321"/>
      <c r="J692" s="321"/>
    </row>
    <row r="693" spans="2:10">
      <c r="B693" s="321"/>
      <c r="C693" s="321"/>
      <c r="D693" s="321"/>
      <c r="E693" s="321"/>
      <c r="F693" s="321"/>
      <c r="G693" s="321"/>
      <c r="H693" s="321"/>
      <c r="I693" s="321"/>
      <c r="J693" s="321"/>
    </row>
    <row r="694" spans="2:10">
      <c r="B694" s="321"/>
      <c r="C694" s="321"/>
      <c r="D694" s="321"/>
      <c r="E694" s="321"/>
      <c r="F694" s="321"/>
      <c r="G694" s="321"/>
      <c r="H694" s="321"/>
      <c r="I694" s="321"/>
      <c r="J694" s="321"/>
    </row>
    <row r="695" spans="2:10">
      <c r="B695" s="321"/>
      <c r="C695" s="321"/>
      <c r="D695" s="321"/>
      <c r="E695" s="321"/>
      <c r="F695" s="321"/>
      <c r="G695" s="321"/>
      <c r="H695" s="321"/>
      <c r="I695" s="321"/>
      <c r="J695" s="321"/>
    </row>
    <row r="696" spans="2:10">
      <c r="B696" s="321"/>
      <c r="C696" s="321"/>
      <c r="D696" s="321"/>
      <c r="E696" s="321"/>
      <c r="F696" s="321"/>
      <c r="G696" s="321"/>
      <c r="H696" s="321"/>
      <c r="I696" s="321"/>
      <c r="J696" s="321"/>
    </row>
    <row r="697" spans="2:10">
      <c r="B697" s="321"/>
      <c r="C697" s="321"/>
      <c r="D697" s="321"/>
      <c r="E697" s="321"/>
      <c r="F697" s="321"/>
      <c r="G697" s="321"/>
      <c r="H697" s="321"/>
      <c r="I697" s="321"/>
      <c r="J697" s="321"/>
    </row>
    <row r="698" spans="2:10">
      <c r="B698" s="321"/>
      <c r="C698" s="321"/>
      <c r="D698" s="321"/>
      <c r="E698" s="321"/>
      <c r="F698" s="321"/>
      <c r="G698" s="321"/>
      <c r="H698" s="321"/>
      <c r="I698" s="321"/>
      <c r="J698" s="321"/>
    </row>
    <row r="699" spans="2:10">
      <c r="B699" s="321"/>
      <c r="C699" s="321"/>
      <c r="D699" s="321"/>
      <c r="E699" s="321"/>
      <c r="F699" s="321"/>
      <c r="G699" s="321"/>
      <c r="H699" s="321"/>
      <c r="I699" s="321"/>
      <c r="J699" s="321"/>
    </row>
    <row r="700" spans="2:10">
      <c r="B700" s="321"/>
      <c r="C700" s="321"/>
      <c r="D700" s="321"/>
      <c r="E700" s="321"/>
      <c r="F700" s="321"/>
      <c r="G700" s="321"/>
      <c r="H700" s="321"/>
      <c r="I700" s="321"/>
      <c r="J700" s="321"/>
    </row>
    <row r="701" spans="2:10">
      <c r="B701" s="321"/>
      <c r="C701" s="321"/>
      <c r="D701" s="321"/>
      <c r="E701" s="321"/>
      <c r="F701" s="321"/>
      <c r="G701" s="321"/>
      <c r="H701" s="321"/>
      <c r="I701" s="321"/>
      <c r="J701" s="321"/>
    </row>
    <row r="702" spans="2:10">
      <c r="B702" s="321"/>
      <c r="C702" s="321"/>
      <c r="D702" s="321"/>
      <c r="E702" s="321"/>
      <c r="F702" s="321"/>
      <c r="G702" s="321"/>
      <c r="H702" s="321"/>
      <c r="I702" s="321"/>
      <c r="J702" s="321"/>
    </row>
    <row r="703" spans="2:10">
      <c r="B703" s="321"/>
      <c r="C703" s="321"/>
      <c r="D703" s="321"/>
      <c r="E703" s="321"/>
      <c r="F703" s="321"/>
      <c r="G703" s="321"/>
      <c r="H703" s="321"/>
      <c r="I703" s="321"/>
      <c r="J703" s="321"/>
    </row>
    <row r="704" spans="2:10">
      <c r="B704" s="321"/>
      <c r="C704" s="321"/>
      <c r="D704" s="321"/>
      <c r="E704" s="321"/>
      <c r="F704" s="321"/>
      <c r="G704" s="321"/>
      <c r="H704" s="321"/>
      <c r="I704" s="321"/>
      <c r="J704" s="321"/>
    </row>
    <row r="705" spans="2:10">
      <c r="B705" s="321"/>
      <c r="C705" s="321"/>
      <c r="D705" s="321"/>
      <c r="E705" s="321"/>
      <c r="F705" s="321"/>
      <c r="G705" s="321"/>
      <c r="H705" s="321"/>
      <c r="I705" s="321"/>
      <c r="J705" s="321"/>
    </row>
    <row r="706" spans="2:10">
      <c r="B706" s="321"/>
      <c r="C706" s="321"/>
      <c r="D706" s="321"/>
      <c r="E706" s="321"/>
      <c r="F706" s="321"/>
      <c r="G706" s="321"/>
      <c r="H706" s="321"/>
      <c r="I706" s="321"/>
      <c r="J706" s="321"/>
    </row>
    <row r="707" spans="2:10">
      <c r="B707" s="321"/>
      <c r="C707" s="321"/>
      <c r="D707" s="321"/>
      <c r="E707" s="321"/>
      <c r="F707" s="321"/>
      <c r="G707" s="321"/>
      <c r="H707" s="321"/>
      <c r="I707" s="321"/>
      <c r="J707" s="321"/>
    </row>
    <row r="708" spans="2:10">
      <c r="B708" s="321"/>
      <c r="C708" s="321"/>
      <c r="D708" s="321"/>
      <c r="E708" s="321"/>
      <c r="F708" s="321"/>
      <c r="G708" s="321"/>
      <c r="H708" s="321"/>
      <c r="I708" s="321"/>
      <c r="J708" s="321"/>
    </row>
    <row r="709" spans="2:10">
      <c r="B709" s="321"/>
      <c r="C709" s="321"/>
      <c r="D709" s="321"/>
      <c r="E709" s="321"/>
      <c r="F709" s="321"/>
      <c r="G709" s="321"/>
      <c r="H709" s="321"/>
      <c r="I709" s="321"/>
      <c r="J709" s="321"/>
    </row>
    <row r="710" spans="2:10">
      <c r="B710" s="321"/>
      <c r="C710" s="321"/>
      <c r="D710" s="321"/>
      <c r="E710" s="321"/>
      <c r="F710" s="321"/>
      <c r="G710" s="321"/>
      <c r="H710" s="321"/>
      <c r="I710" s="321"/>
      <c r="J710" s="321"/>
    </row>
    <row r="711" spans="2:10">
      <c r="B711" s="321"/>
      <c r="C711" s="321"/>
      <c r="D711" s="321"/>
      <c r="E711" s="321"/>
      <c r="F711" s="321"/>
      <c r="G711" s="321"/>
      <c r="H711" s="321"/>
      <c r="I711" s="321"/>
      <c r="J711" s="321"/>
    </row>
    <row r="712" spans="2:10">
      <c r="B712" s="321"/>
      <c r="C712" s="321"/>
      <c r="D712" s="321"/>
      <c r="E712" s="321"/>
      <c r="F712" s="321"/>
      <c r="G712" s="321"/>
      <c r="H712" s="321"/>
      <c r="I712" s="321"/>
      <c r="J712" s="321"/>
    </row>
    <row r="713" spans="2:10">
      <c r="B713" s="321"/>
      <c r="C713" s="321"/>
      <c r="D713" s="321"/>
      <c r="E713" s="321"/>
      <c r="F713" s="321"/>
      <c r="G713" s="321"/>
      <c r="H713" s="321"/>
      <c r="I713" s="321"/>
      <c r="J713" s="321"/>
    </row>
    <row r="714" spans="2:10">
      <c r="B714" s="321"/>
      <c r="C714" s="321"/>
      <c r="D714" s="321"/>
      <c r="E714" s="321"/>
      <c r="F714" s="321"/>
      <c r="G714" s="321"/>
      <c r="H714" s="321"/>
      <c r="I714" s="321"/>
      <c r="J714" s="321"/>
    </row>
    <row r="715" spans="2:10">
      <c r="B715" s="321"/>
      <c r="C715" s="321"/>
      <c r="D715" s="321"/>
      <c r="E715" s="321"/>
      <c r="F715" s="321"/>
      <c r="G715" s="321"/>
      <c r="H715" s="321"/>
      <c r="I715" s="321"/>
      <c r="J715" s="321"/>
    </row>
    <row r="716" spans="2:10">
      <c r="B716" s="321"/>
      <c r="C716" s="321"/>
      <c r="D716" s="321"/>
      <c r="E716" s="321"/>
      <c r="F716" s="321"/>
      <c r="G716" s="321"/>
      <c r="H716" s="321"/>
      <c r="I716" s="321"/>
      <c r="J716" s="321"/>
    </row>
    <row r="717" spans="2:10">
      <c r="B717" s="321"/>
      <c r="C717" s="321"/>
      <c r="D717" s="321"/>
      <c r="E717" s="321"/>
      <c r="F717" s="321"/>
      <c r="G717" s="321"/>
      <c r="H717" s="321"/>
      <c r="I717" s="321"/>
      <c r="J717" s="321"/>
    </row>
    <row r="718" spans="2:10">
      <c r="B718" s="321"/>
      <c r="C718" s="321"/>
      <c r="D718" s="321"/>
      <c r="E718" s="321"/>
      <c r="F718" s="321"/>
      <c r="G718" s="321"/>
      <c r="H718" s="321"/>
      <c r="I718" s="321"/>
      <c r="J718" s="321"/>
    </row>
    <row r="719" spans="2:10">
      <c r="B719" s="321"/>
      <c r="C719" s="321"/>
      <c r="D719" s="321"/>
      <c r="E719" s="321"/>
      <c r="F719" s="321"/>
      <c r="G719" s="321"/>
      <c r="H719" s="321"/>
      <c r="I719" s="321"/>
      <c r="J719" s="321"/>
    </row>
    <row r="720" spans="2:10">
      <c r="B720" s="321"/>
      <c r="C720" s="321"/>
      <c r="D720" s="321"/>
      <c r="E720" s="321"/>
      <c r="F720" s="321"/>
      <c r="G720" s="321"/>
      <c r="H720" s="321"/>
      <c r="I720" s="321"/>
      <c r="J720" s="321"/>
    </row>
    <row r="721" spans="2:10">
      <c r="B721" s="321"/>
      <c r="C721" s="321"/>
      <c r="D721" s="321"/>
      <c r="E721" s="321"/>
      <c r="F721" s="321"/>
      <c r="G721" s="321"/>
      <c r="H721" s="321"/>
      <c r="I721" s="321"/>
      <c r="J721" s="321"/>
    </row>
    <row r="722" spans="2:10">
      <c r="B722" s="321"/>
      <c r="C722" s="321"/>
      <c r="D722" s="321"/>
      <c r="E722" s="321"/>
      <c r="F722" s="321"/>
      <c r="G722" s="321"/>
      <c r="H722" s="321"/>
      <c r="I722" s="321"/>
      <c r="J722" s="321"/>
    </row>
    <row r="723" spans="2:10">
      <c r="B723" s="321"/>
      <c r="C723" s="321"/>
      <c r="D723" s="321"/>
      <c r="E723" s="321"/>
      <c r="F723" s="321"/>
      <c r="G723" s="321"/>
      <c r="H723" s="321"/>
      <c r="I723" s="321"/>
      <c r="J723" s="321"/>
    </row>
    <row r="724" spans="2:10">
      <c r="B724" s="321"/>
      <c r="C724" s="321"/>
      <c r="D724" s="321"/>
      <c r="E724" s="321"/>
      <c r="F724" s="321"/>
      <c r="G724" s="321"/>
      <c r="H724" s="321"/>
      <c r="I724" s="321"/>
      <c r="J724" s="321"/>
    </row>
    <row r="725" spans="2:10">
      <c r="B725" s="321"/>
      <c r="C725" s="321"/>
      <c r="D725" s="321"/>
      <c r="E725" s="321"/>
      <c r="F725" s="321"/>
      <c r="G725" s="321"/>
      <c r="H725" s="321"/>
      <c r="I725" s="321"/>
      <c r="J725" s="321"/>
    </row>
    <row r="726" spans="2:10">
      <c r="B726" s="321"/>
      <c r="C726" s="321"/>
      <c r="D726" s="321"/>
      <c r="E726" s="321"/>
      <c r="F726" s="321"/>
      <c r="G726" s="321"/>
      <c r="H726" s="321"/>
      <c r="I726" s="321"/>
      <c r="J726" s="321"/>
    </row>
    <row r="727" spans="2:10">
      <c r="B727" s="321"/>
      <c r="C727" s="321"/>
      <c r="D727" s="321"/>
      <c r="E727" s="321"/>
      <c r="F727" s="321"/>
      <c r="G727" s="321"/>
      <c r="H727" s="321"/>
      <c r="I727" s="321"/>
      <c r="J727" s="321"/>
    </row>
    <row r="728" spans="2:10">
      <c r="B728" s="321"/>
      <c r="C728" s="321"/>
      <c r="D728" s="321"/>
      <c r="E728" s="321"/>
      <c r="F728" s="321"/>
      <c r="G728" s="321"/>
      <c r="H728" s="321"/>
      <c r="I728" s="321"/>
      <c r="J728" s="321"/>
    </row>
    <row r="729" spans="2:10">
      <c r="B729" s="321"/>
      <c r="C729" s="321"/>
      <c r="D729" s="321"/>
      <c r="E729" s="321"/>
      <c r="F729" s="321"/>
      <c r="G729" s="321"/>
      <c r="H729" s="321"/>
      <c r="I729" s="321"/>
      <c r="J729" s="321"/>
    </row>
    <row r="730" spans="2:10">
      <c r="B730" s="321"/>
      <c r="C730" s="321"/>
      <c r="D730" s="321"/>
      <c r="E730" s="321"/>
      <c r="F730" s="321"/>
      <c r="G730" s="321"/>
      <c r="H730" s="321"/>
      <c r="I730" s="321"/>
      <c r="J730" s="321"/>
    </row>
    <row r="731" spans="2:10">
      <c r="B731" s="321"/>
      <c r="C731" s="321"/>
      <c r="D731" s="321"/>
      <c r="E731" s="321"/>
      <c r="F731" s="321"/>
      <c r="G731" s="321"/>
      <c r="H731" s="321"/>
      <c r="I731" s="321"/>
      <c r="J731" s="321"/>
    </row>
    <row r="732" spans="2:10">
      <c r="B732" s="321"/>
      <c r="C732" s="321"/>
      <c r="D732" s="321"/>
      <c r="E732" s="321"/>
      <c r="F732" s="321"/>
      <c r="G732" s="321"/>
      <c r="H732" s="321"/>
      <c r="I732" s="321"/>
      <c r="J732" s="321"/>
    </row>
    <row r="733" spans="2:10">
      <c r="B733" s="321"/>
      <c r="C733" s="321"/>
      <c r="D733" s="321"/>
      <c r="E733" s="321"/>
      <c r="F733" s="321"/>
      <c r="G733" s="321"/>
      <c r="H733" s="321"/>
      <c r="I733" s="321"/>
      <c r="J733" s="321"/>
    </row>
    <row r="734" spans="2:10">
      <c r="B734" s="321"/>
      <c r="C734" s="321"/>
      <c r="D734" s="321"/>
      <c r="E734" s="321"/>
      <c r="F734" s="321"/>
      <c r="G734" s="321"/>
      <c r="H734" s="321"/>
      <c r="I734" s="321"/>
      <c r="J734" s="321"/>
    </row>
    <row r="735" spans="2:10">
      <c r="B735" s="321"/>
      <c r="C735" s="321"/>
      <c r="D735" s="321"/>
      <c r="E735" s="321"/>
      <c r="F735" s="321"/>
      <c r="G735" s="321"/>
      <c r="H735" s="321"/>
      <c r="I735" s="321"/>
      <c r="J735" s="321"/>
    </row>
    <row r="736" spans="2:10">
      <c r="B736" s="321"/>
      <c r="C736" s="321"/>
      <c r="D736" s="321"/>
      <c r="E736" s="321"/>
      <c r="F736" s="321"/>
      <c r="G736" s="321"/>
      <c r="H736" s="321"/>
      <c r="I736" s="321"/>
      <c r="J736" s="321"/>
    </row>
    <row r="737" spans="2:10">
      <c r="B737" s="321"/>
      <c r="C737" s="321"/>
      <c r="D737" s="321"/>
      <c r="E737" s="321"/>
      <c r="F737" s="321"/>
      <c r="G737" s="321"/>
      <c r="H737" s="321"/>
      <c r="I737" s="321"/>
      <c r="J737" s="321"/>
    </row>
    <row r="738" spans="2:10">
      <c r="B738" s="321"/>
      <c r="C738" s="321"/>
      <c r="D738" s="321"/>
      <c r="E738" s="321"/>
      <c r="F738" s="321"/>
      <c r="G738" s="321"/>
      <c r="H738" s="321"/>
      <c r="I738" s="321"/>
      <c r="J738" s="321"/>
    </row>
    <row r="739" spans="2:10">
      <c r="B739" s="321"/>
      <c r="C739" s="321"/>
      <c r="D739" s="321"/>
      <c r="E739" s="321"/>
      <c r="F739" s="321"/>
      <c r="G739" s="321"/>
      <c r="H739" s="321"/>
      <c r="I739" s="321"/>
      <c r="J739" s="321"/>
    </row>
    <row r="740" spans="2:10">
      <c r="B740" s="321"/>
      <c r="C740" s="321"/>
      <c r="D740" s="321"/>
      <c r="E740" s="321"/>
      <c r="F740" s="321"/>
      <c r="G740" s="321"/>
      <c r="H740" s="321"/>
      <c r="I740" s="321"/>
      <c r="J740" s="321"/>
    </row>
    <row r="741" spans="2:10">
      <c r="B741" s="321"/>
      <c r="C741" s="321"/>
      <c r="D741" s="321"/>
      <c r="E741" s="321"/>
      <c r="F741" s="321"/>
      <c r="G741" s="321"/>
      <c r="H741" s="321"/>
      <c r="I741" s="321"/>
      <c r="J741" s="321"/>
    </row>
    <row r="742" spans="2:10">
      <c r="B742" s="321"/>
      <c r="C742" s="321"/>
      <c r="D742" s="321"/>
      <c r="E742" s="321"/>
      <c r="F742" s="321"/>
      <c r="G742" s="321"/>
      <c r="H742" s="321"/>
      <c r="I742" s="321"/>
      <c r="J742" s="321"/>
    </row>
    <row r="743" spans="2:10">
      <c r="B743" s="321"/>
      <c r="C743" s="321"/>
      <c r="D743" s="321"/>
      <c r="E743" s="321"/>
      <c r="F743" s="321"/>
      <c r="G743" s="321"/>
      <c r="H743" s="321"/>
      <c r="I743" s="321"/>
      <c r="J743" s="321"/>
    </row>
    <row r="744" spans="2:10">
      <c r="B744" s="321"/>
      <c r="C744" s="321"/>
      <c r="D744" s="321"/>
      <c r="E744" s="321"/>
      <c r="F744" s="321"/>
      <c r="G744" s="321"/>
      <c r="H744" s="321"/>
      <c r="I744" s="321"/>
      <c r="J744" s="321"/>
    </row>
    <row r="745" spans="2:10">
      <c r="B745" s="321"/>
      <c r="C745" s="321"/>
      <c r="D745" s="321"/>
      <c r="E745" s="321"/>
      <c r="F745" s="321"/>
      <c r="G745" s="321"/>
      <c r="H745" s="321"/>
      <c r="I745" s="321"/>
      <c r="J745" s="321"/>
    </row>
    <row r="746" spans="2:10">
      <c r="B746" s="321"/>
      <c r="C746" s="321"/>
      <c r="D746" s="321"/>
      <c r="E746" s="321"/>
      <c r="F746" s="321"/>
      <c r="G746" s="321"/>
      <c r="H746" s="321"/>
      <c r="I746" s="321"/>
      <c r="J746" s="321"/>
    </row>
    <row r="747" spans="2:10">
      <c r="B747" s="321"/>
      <c r="C747" s="321"/>
      <c r="D747" s="321"/>
      <c r="E747" s="321"/>
      <c r="F747" s="321"/>
      <c r="G747" s="321"/>
      <c r="H747" s="321"/>
      <c r="I747" s="321"/>
      <c r="J747" s="321"/>
    </row>
    <row r="748" spans="2:10">
      <c r="B748" s="321"/>
      <c r="C748" s="321"/>
      <c r="D748" s="321"/>
      <c r="E748" s="321"/>
      <c r="F748" s="321"/>
      <c r="G748" s="321"/>
      <c r="H748" s="321"/>
      <c r="I748" s="321"/>
      <c r="J748" s="321"/>
    </row>
    <row r="749" spans="2:10">
      <c r="B749" s="321"/>
      <c r="C749" s="321"/>
      <c r="D749" s="321"/>
      <c r="E749" s="321"/>
      <c r="F749" s="321"/>
      <c r="G749" s="321"/>
      <c r="H749" s="321"/>
      <c r="I749" s="321"/>
      <c r="J749" s="321"/>
    </row>
    <row r="750" spans="2:10">
      <c r="B750" s="321"/>
      <c r="C750" s="321"/>
      <c r="D750" s="321"/>
      <c r="E750" s="321"/>
      <c r="F750" s="321"/>
      <c r="G750" s="321"/>
      <c r="H750" s="321"/>
      <c r="I750" s="321"/>
      <c r="J750" s="321"/>
    </row>
    <row r="751" spans="2:10">
      <c r="B751" s="321"/>
      <c r="C751" s="321"/>
      <c r="D751" s="321"/>
      <c r="E751" s="321"/>
      <c r="F751" s="321"/>
      <c r="G751" s="321"/>
      <c r="H751" s="321"/>
      <c r="I751" s="321"/>
      <c r="J751" s="321"/>
    </row>
    <row r="752" spans="2:10">
      <c r="B752" s="321"/>
      <c r="C752" s="321"/>
      <c r="D752" s="321"/>
      <c r="E752" s="321"/>
      <c r="F752" s="321"/>
      <c r="G752" s="321"/>
      <c r="H752" s="321"/>
      <c r="I752" s="321"/>
      <c r="J752" s="321"/>
    </row>
    <row r="753" spans="2:10">
      <c r="B753" s="321"/>
      <c r="C753" s="321"/>
      <c r="D753" s="321"/>
      <c r="E753" s="321"/>
      <c r="F753" s="321"/>
      <c r="G753" s="321"/>
      <c r="H753" s="321"/>
      <c r="I753" s="321"/>
      <c r="J753" s="321"/>
    </row>
    <row r="754" spans="2:10">
      <c r="B754" s="321"/>
      <c r="C754" s="321"/>
      <c r="D754" s="321"/>
      <c r="E754" s="321"/>
      <c r="F754" s="321"/>
      <c r="G754" s="321"/>
      <c r="H754" s="321"/>
      <c r="I754" s="321"/>
      <c r="J754" s="321"/>
    </row>
    <row r="755" spans="2:10">
      <c r="B755" s="321"/>
      <c r="C755" s="321"/>
      <c r="D755" s="321"/>
      <c r="E755" s="321"/>
      <c r="F755" s="321"/>
      <c r="G755" s="321"/>
      <c r="H755" s="321"/>
      <c r="I755" s="321"/>
      <c r="J755" s="321"/>
    </row>
    <row r="756" spans="2:10">
      <c r="B756" s="321"/>
      <c r="C756" s="321"/>
      <c r="D756" s="321"/>
      <c r="E756" s="321"/>
      <c r="F756" s="321"/>
      <c r="G756" s="321"/>
      <c r="H756" s="321"/>
      <c r="I756" s="321"/>
      <c r="J756" s="321"/>
    </row>
    <row r="757" spans="2:10">
      <c r="B757" s="321"/>
      <c r="C757" s="321"/>
      <c r="D757" s="321"/>
      <c r="E757" s="321"/>
      <c r="F757" s="321"/>
      <c r="G757" s="321"/>
      <c r="H757" s="321"/>
      <c r="I757" s="321"/>
      <c r="J757" s="321"/>
    </row>
    <row r="758" spans="2:10">
      <c r="B758" s="321"/>
      <c r="C758" s="321"/>
      <c r="D758" s="321"/>
      <c r="E758" s="321"/>
      <c r="F758" s="321"/>
      <c r="G758" s="321"/>
      <c r="H758" s="321"/>
      <c r="I758" s="321"/>
      <c r="J758" s="321"/>
    </row>
    <row r="759" spans="2:10">
      <c r="B759" s="321"/>
      <c r="C759" s="321"/>
      <c r="D759" s="321"/>
      <c r="E759" s="321"/>
      <c r="F759" s="321"/>
      <c r="G759" s="321"/>
      <c r="H759" s="321"/>
      <c r="I759" s="321"/>
      <c r="J759" s="321"/>
    </row>
    <row r="760" spans="2:10">
      <c r="B760" s="321"/>
      <c r="C760" s="321"/>
      <c r="D760" s="321"/>
      <c r="E760" s="321"/>
      <c r="F760" s="321"/>
      <c r="G760" s="321"/>
      <c r="H760" s="321"/>
      <c r="I760" s="321"/>
      <c r="J760" s="321"/>
    </row>
    <row r="761" spans="2:10">
      <c r="B761" s="321"/>
      <c r="C761" s="321"/>
      <c r="D761" s="321"/>
      <c r="E761" s="321"/>
      <c r="F761" s="321"/>
      <c r="G761" s="321"/>
      <c r="H761" s="321"/>
      <c r="I761" s="321"/>
      <c r="J761" s="321"/>
    </row>
    <row r="762" spans="2:10">
      <c r="B762" s="321"/>
      <c r="C762" s="321"/>
      <c r="D762" s="321"/>
      <c r="E762" s="321"/>
      <c r="F762" s="321"/>
      <c r="G762" s="321"/>
      <c r="H762" s="321"/>
      <c r="I762" s="321"/>
      <c r="J762" s="321"/>
    </row>
    <row r="763" spans="2:10">
      <c r="B763" s="321"/>
      <c r="C763" s="321"/>
      <c r="D763" s="321"/>
      <c r="E763" s="321"/>
      <c r="F763" s="321"/>
      <c r="G763" s="321"/>
      <c r="H763" s="321"/>
      <c r="I763" s="321"/>
      <c r="J763" s="321"/>
    </row>
    <row r="764" spans="2:10">
      <c r="B764" s="321"/>
      <c r="C764" s="321"/>
      <c r="D764" s="321"/>
      <c r="E764" s="321"/>
      <c r="F764" s="321"/>
      <c r="G764" s="321"/>
      <c r="H764" s="321"/>
      <c r="I764" s="321"/>
      <c r="J764" s="321"/>
    </row>
    <row r="765" spans="2:10">
      <c r="B765" s="321"/>
      <c r="C765" s="321"/>
      <c r="D765" s="321"/>
      <c r="E765" s="321"/>
      <c r="F765" s="321"/>
      <c r="G765" s="321"/>
      <c r="H765" s="321"/>
      <c r="I765" s="321"/>
      <c r="J765" s="321"/>
    </row>
    <row r="766" spans="2:10">
      <c r="B766" s="321"/>
      <c r="C766" s="321"/>
      <c r="D766" s="321"/>
      <c r="E766" s="321"/>
      <c r="F766" s="321"/>
      <c r="G766" s="321"/>
      <c r="H766" s="321"/>
      <c r="I766" s="321"/>
      <c r="J766" s="321"/>
    </row>
    <row r="767" spans="2:10">
      <c r="B767" s="321"/>
      <c r="C767" s="321"/>
      <c r="D767" s="321"/>
      <c r="E767" s="321"/>
      <c r="F767" s="321"/>
      <c r="G767" s="321"/>
      <c r="H767" s="321"/>
      <c r="I767" s="321"/>
      <c r="J767" s="321"/>
    </row>
    <row r="768" spans="2:10">
      <c r="B768" s="321"/>
      <c r="C768" s="321"/>
      <c r="D768" s="321"/>
      <c r="E768" s="321"/>
      <c r="F768" s="321"/>
      <c r="G768" s="321"/>
      <c r="H768" s="321"/>
      <c r="I768" s="321"/>
      <c r="J768" s="321"/>
    </row>
    <row r="769" spans="2:10">
      <c r="B769" s="321"/>
      <c r="C769" s="321"/>
      <c r="D769" s="321"/>
      <c r="E769" s="321"/>
      <c r="F769" s="321"/>
      <c r="G769" s="321"/>
      <c r="H769" s="321"/>
      <c r="I769" s="321"/>
      <c r="J769" s="321"/>
    </row>
    <row r="770" spans="2:10">
      <c r="B770" s="321"/>
      <c r="C770" s="321"/>
      <c r="D770" s="321"/>
      <c r="E770" s="321"/>
      <c r="F770" s="321"/>
      <c r="G770" s="321"/>
      <c r="H770" s="321"/>
      <c r="I770" s="321"/>
      <c r="J770" s="321"/>
    </row>
    <row r="771" spans="2:10">
      <c r="B771" s="321"/>
      <c r="C771" s="321"/>
      <c r="D771" s="321"/>
      <c r="E771" s="321"/>
      <c r="F771" s="321"/>
      <c r="G771" s="321"/>
      <c r="H771" s="321"/>
      <c r="I771" s="321"/>
      <c r="J771" s="321"/>
    </row>
    <row r="772" spans="2:10">
      <c r="B772" s="321"/>
      <c r="C772" s="321"/>
      <c r="D772" s="321"/>
      <c r="E772" s="321"/>
      <c r="F772" s="321"/>
      <c r="G772" s="321"/>
      <c r="H772" s="321"/>
      <c r="I772" s="321"/>
      <c r="J772" s="321"/>
    </row>
    <row r="773" spans="2:10">
      <c r="B773" s="321"/>
      <c r="C773" s="321"/>
      <c r="D773" s="321"/>
      <c r="E773" s="321"/>
      <c r="F773" s="321"/>
      <c r="G773" s="321"/>
      <c r="H773" s="321"/>
      <c r="I773" s="321"/>
      <c r="J773" s="321"/>
    </row>
    <row r="774" spans="2:10">
      <c r="B774" s="321"/>
      <c r="C774" s="321"/>
      <c r="D774" s="321"/>
      <c r="E774" s="321"/>
      <c r="F774" s="321"/>
      <c r="G774" s="321"/>
      <c r="H774" s="321"/>
      <c r="I774" s="321"/>
      <c r="J774" s="321"/>
    </row>
    <row r="775" spans="2:10">
      <c r="B775" s="321"/>
      <c r="C775" s="321"/>
      <c r="D775" s="321"/>
      <c r="E775" s="321"/>
      <c r="F775" s="321"/>
      <c r="G775" s="321"/>
      <c r="H775" s="321"/>
      <c r="I775" s="321"/>
      <c r="J775" s="321"/>
    </row>
    <row r="776" spans="2:10">
      <c r="B776" s="321"/>
      <c r="C776" s="321"/>
      <c r="D776" s="321"/>
      <c r="E776" s="321"/>
      <c r="F776" s="321"/>
      <c r="G776" s="321"/>
      <c r="H776" s="321"/>
      <c r="I776" s="321"/>
      <c r="J776" s="321"/>
    </row>
    <row r="777" spans="2:10">
      <c r="B777" s="321"/>
      <c r="C777" s="321"/>
      <c r="D777" s="321"/>
      <c r="E777" s="321"/>
      <c r="F777" s="321"/>
      <c r="G777" s="321"/>
      <c r="H777" s="321"/>
      <c r="I777" s="321"/>
      <c r="J777" s="321"/>
    </row>
    <row r="778" spans="2:10">
      <c r="B778" s="321"/>
      <c r="C778" s="321"/>
      <c r="D778" s="321"/>
      <c r="E778" s="321"/>
      <c r="F778" s="321"/>
      <c r="G778" s="321"/>
      <c r="H778" s="321"/>
      <c r="I778" s="321"/>
      <c r="J778" s="321"/>
    </row>
    <row r="779" spans="2:10">
      <c r="B779" s="321"/>
      <c r="C779" s="321"/>
      <c r="D779" s="321"/>
      <c r="E779" s="321"/>
      <c r="F779" s="321"/>
      <c r="G779" s="321"/>
      <c r="H779" s="321"/>
      <c r="I779" s="321"/>
      <c r="J779" s="321"/>
    </row>
    <row r="780" spans="2:10">
      <c r="B780" s="321"/>
      <c r="C780" s="321"/>
      <c r="D780" s="321"/>
      <c r="E780" s="321"/>
      <c r="F780" s="321"/>
      <c r="G780" s="321"/>
      <c r="H780" s="321"/>
      <c r="I780" s="321"/>
      <c r="J780" s="321"/>
    </row>
    <row r="781" spans="2:10">
      <c r="B781" s="321"/>
      <c r="C781" s="321"/>
      <c r="D781" s="321"/>
      <c r="E781" s="321"/>
      <c r="F781" s="321"/>
      <c r="G781" s="321"/>
      <c r="H781" s="321"/>
      <c r="I781" s="321"/>
      <c r="J781" s="321"/>
    </row>
    <row r="782" spans="2:10">
      <c r="B782" s="321"/>
      <c r="C782" s="321"/>
      <c r="D782" s="321"/>
      <c r="E782" s="321"/>
      <c r="F782" s="321"/>
      <c r="G782" s="321"/>
      <c r="H782" s="321"/>
      <c r="I782" s="321"/>
      <c r="J782" s="321"/>
    </row>
    <row r="783" spans="2:10">
      <c r="B783" s="321"/>
      <c r="C783" s="321"/>
      <c r="D783" s="321"/>
      <c r="E783" s="321"/>
      <c r="F783" s="321"/>
      <c r="G783" s="321"/>
      <c r="H783" s="321"/>
      <c r="I783" s="321"/>
      <c r="J783" s="321"/>
    </row>
    <row r="784" spans="2:10">
      <c r="B784" s="321"/>
      <c r="C784" s="321"/>
      <c r="D784" s="321"/>
      <c r="E784" s="321"/>
      <c r="F784" s="321"/>
      <c r="G784" s="321"/>
      <c r="H784" s="321"/>
      <c r="I784" s="321"/>
      <c r="J784" s="321"/>
    </row>
    <row r="785" spans="2:10">
      <c r="B785" s="321"/>
      <c r="C785" s="321"/>
      <c r="D785" s="321"/>
      <c r="E785" s="321"/>
      <c r="F785" s="321"/>
      <c r="G785" s="321"/>
      <c r="H785" s="321"/>
      <c r="I785" s="321"/>
      <c r="J785" s="321"/>
    </row>
    <row r="786" spans="2:10">
      <c r="B786" s="321"/>
      <c r="C786" s="321"/>
      <c r="D786" s="321"/>
      <c r="E786" s="321"/>
      <c r="F786" s="321"/>
      <c r="G786" s="321"/>
      <c r="H786" s="321"/>
      <c r="I786" s="321"/>
      <c r="J786" s="321"/>
    </row>
    <row r="787" spans="2:10">
      <c r="B787" s="321"/>
      <c r="C787" s="321"/>
      <c r="D787" s="321"/>
      <c r="E787" s="321"/>
      <c r="F787" s="321"/>
      <c r="G787" s="321"/>
      <c r="H787" s="321"/>
      <c r="I787" s="321"/>
      <c r="J787" s="321"/>
    </row>
    <row r="788" spans="2:10">
      <c r="B788" s="321"/>
      <c r="C788" s="321"/>
      <c r="D788" s="321"/>
      <c r="E788" s="321"/>
      <c r="F788" s="321"/>
      <c r="G788" s="321"/>
      <c r="H788" s="321"/>
      <c r="I788" s="321"/>
      <c r="J788" s="321"/>
    </row>
    <row r="789" spans="2:10">
      <c r="B789" s="321"/>
      <c r="C789" s="321"/>
      <c r="D789" s="321"/>
      <c r="E789" s="321"/>
      <c r="F789" s="321"/>
      <c r="G789" s="321"/>
      <c r="H789" s="321"/>
      <c r="I789" s="321"/>
      <c r="J789" s="321"/>
    </row>
    <row r="790" spans="2:10">
      <c r="B790" s="321"/>
      <c r="C790" s="321"/>
      <c r="D790" s="321"/>
      <c r="E790" s="321"/>
      <c r="F790" s="321"/>
      <c r="G790" s="321"/>
      <c r="H790" s="321"/>
      <c r="I790" s="321"/>
      <c r="J790" s="321"/>
    </row>
    <row r="791" spans="2:10">
      <c r="B791" s="321"/>
      <c r="C791" s="321"/>
      <c r="D791" s="321"/>
      <c r="E791" s="321"/>
      <c r="F791" s="321"/>
      <c r="G791" s="321"/>
      <c r="H791" s="321"/>
      <c r="I791" s="321"/>
      <c r="J791" s="321"/>
    </row>
    <row r="792" spans="2:10">
      <c r="B792" s="321"/>
      <c r="C792" s="321"/>
      <c r="D792" s="321"/>
      <c r="E792" s="321"/>
      <c r="F792" s="321"/>
      <c r="G792" s="321"/>
      <c r="H792" s="321"/>
      <c r="I792" s="321"/>
      <c r="J792" s="321"/>
    </row>
    <row r="793" spans="2:10">
      <c r="B793" s="321"/>
      <c r="C793" s="321"/>
      <c r="D793" s="321"/>
      <c r="E793" s="321"/>
      <c r="F793" s="321"/>
      <c r="G793" s="321"/>
      <c r="H793" s="321"/>
      <c r="I793" s="321"/>
      <c r="J793" s="321"/>
    </row>
    <row r="794" spans="2:10">
      <c r="B794" s="321"/>
      <c r="C794" s="321"/>
      <c r="D794" s="321"/>
      <c r="E794" s="321"/>
      <c r="F794" s="321"/>
      <c r="G794" s="321"/>
      <c r="H794" s="321"/>
      <c r="I794" s="321"/>
      <c r="J794" s="321"/>
    </row>
    <row r="795" spans="2:10">
      <c r="B795" s="321"/>
      <c r="C795" s="321"/>
      <c r="D795" s="321"/>
      <c r="E795" s="321"/>
      <c r="F795" s="321"/>
      <c r="G795" s="321"/>
      <c r="H795" s="321"/>
      <c r="I795" s="321"/>
      <c r="J795" s="321"/>
    </row>
    <row r="796" spans="2:10">
      <c r="B796" s="321"/>
      <c r="C796" s="321"/>
      <c r="D796" s="321"/>
      <c r="E796" s="321"/>
      <c r="F796" s="321"/>
      <c r="G796" s="321"/>
      <c r="H796" s="321"/>
      <c r="I796" s="321"/>
      <c r="J796" s="321"/>
    </row>
    <row r="797" spans="2:10">
      <c r="B797" s="321"/>
      <c r="C797" s="321"/>
      <c r="D797" s="321"/>
      <c r="E797" s="321"/>
      <c r="F797" s="321"/>
      <c r="G797" s="321"/>
      <c r="H797" s="321"/>
      <c r="I797" s="321"/>
      <c r="J797" s="321"/>
    </row>
    <row r="798" spans="2:10">
      <c r="B798" s="321"/>
      <c r="C798" s="321"/>
      <c r="D798" s="321"/>
      <c r="E798" s="321"/>
      <c r="F798" s="321"/>
      <c r="G798" s="321"/>
      <c r="H798" s="321"/>
      <c r="I798" s="321"/>
      <c r="J798" s="321"/>
    </row>
    <row r="799" spans="2:10">
      <c r="B799" s="321"/>
      <c r="C799" s="321"/>
      <c r="D799" s="321"/>
      <c r="E799" s="321"/>
      <c r="F799" s="321"/>
      <c r="G799" s="321"/>
      <c r="H799" s="321"/>
      <c r="I799" s="321"/>
      <c r="J799" s="321"/>
    </row>
    <row r="800" spans="2:10">
      <c r="B800" s="321"/>
      <c r="C800" s="321"/>
      <c r="D800" s="321"/>
      <c r="E800" s="321"/>
      <c r="F800" s="321"/>
      <c r="G800" s="321"/>
      <c r="H800" s="321"/>
      <c r="I800" s="321"/>
      <c r="J800" s="321"/>
    </row>
    <row r="801" spans="2:10">
      <c r="B801" s="321"/>
      <c r="C801" s="321"/>
      <c r="D801" s="321"/>
      <c r="E801" s="321"/>
      <c r="F801" s="321"/>
      <c r="G801" s="321"/>
      <c r="H801" s="321"/>
      <c r="I801" s="321"/>
      <c r="J801" s="321"/>
    </row>
    <row r="802" spans="2:10">
      <c r="B802" s="321"/>
      <c r="C802" s="321"/>
      <c r="D802" s="321"/>
      <c r="E802" s="321"/>
      <c r="F802" s="321"/>
      <c r="G802" s="321"/>
      <c r="H802" s="321"/>
      <c r="I802" s="321"/>
      <c r="J802" s="321"/>
    </row>
    <row r="803" spans="2:10">
      <c r="B803" s="321"/>
      <c r="C803" s="321"/>
      <c r="D803" s="321"/>
      <c r="E803" s="321"/>
      <c r="F803" s="321"/>
      <c r="G803" s="321"/>
      <c r="H803" s="321"/>
      <c r="I803" s="321"/>
      <c r="J803" s="321"/>
    </row>
    <row r="804" spans="2:10">
      <c r="B804" s="321"/>
      <c r="C804" s="321"/>
      <c r="D804" s="321"/>
      <c r="E804" s="321"/>
      <c r="F804" s="321"/>
      <c r="G804" s="321"/>
      <c r="H804" s="321"/>
      <c r="I804" s="321"/>
      <c r="J804" s="321"/>
    </row>
    <row r="805" spans="2:10">
      <c r="B805" s="321"/>
      <c r="C805" s="321"/>
      <c r="D805" s="321"/>
      <c r="E805" s="321"/>
      <c r="F805" s="321"/>
      <c r="G805" s="321"/>
      <c r="H805" s="321"/>
      <c r="I805" s="321"/>
      <c r="J805" s="321"/>
    </row>
    <row r="806" spans="2:10">
      <c r="B806" s="321"/>
      <c r="C806" s="321"/>
      <c r="D806" s="321"/>
      <c r="E806" s="321"/>
      <c r="F806" s="321"/>
      <c r="G806" s="321"/>
      <c r="H806" s="321"/>
      <c r="I806" s="321"/>
      <c r="J806" s="321"/>
    </row>
    <row r="807" spans="2:10">
      <c r="B807" s="321"/>
      <c r="C807" s="321"/>
      <c r="D807" s="321"/>
      <c r="E807" s="321"/>
      <c r="F807" s="321"/>
      <c r="G807" s="321"/>
      <c r="H807" s="321"/>
      <c r="I807" s="321"/>
      <c r="J807" s="321"/>
    </row>
    <row r="808" spans="2:10">
      <c r="B808" s="321"/>
      <c r="C808" s="321"/>
      <c r="D808" s="321"/>
      <c r="E808" s="321"/>
      <c r="F808" s="321"/>
      <c r="G808" s="321"/>
      <c r="H808" s="321"/>
      <c r="I808" s="321"/>
      <c r="J808" s="321"/>
    </row>
    <row r="809" spans="2:10">
      <c r="B809" s="321"/>
      <c r="C809" s="321"/>
      <c r="D809" s="321"/>
      <c r="E809" s="321"/>
      <c r="F809" s="321"/>
      <c r="G809" s="321"/>
      <c r="H809" s="321"/>
      <c r="I809" s="321"/>
      <c r="J809" s="321"/>
    </row>
    <row r="810" spans="2:10">
      <c r="B810" s="321"/>
      <c r="C810" s="321"/>
      <c r="D810" s="321"/>
      <c r="E810" s="321"/>
      <c r="F810" s="321"/>
      <c r="G810" s="321"/>
      <c r="H810" s="321"/>
      <c r="I810" s="321"/>
      <c r="J810" s="321"/>
    </row>
    <row r="811" spans="2:10">
      <c r="B811" s="321"/>
      <c r="C811" s="321"/>
      <c r="D811" s="321"/>
      <c r="E811" s="321"/>
      <c r="F811" s="321"/>
      <c r="G811" s="321"/>
      <c r="H811" s="321"/>
      <c r="I811" s="321"/>
      <c r="J811" s="321"/>
    </row>
    <row r="812" spans="2:10">
      <c r="B812" s="321"/>
      <c r="C812" s="321"/>
      <c r="D812" s="321"/>
      <c r="E812" s="321"/>
      <c r="F812" s="321"/>
      <c r="G812" s="321"/>
      <c r="H812" s="321"/>
      <c r="I812" s="321"/>
      <c r="J812" s="321"/>
    </row>
    <row r="813" spans="2:10">
      <c r="B813" s="321"/>
      <c r="C813" s="321"/>
      <c r="D813" s="321"/>
      <c r="E813" s="321"/>
      <c r="F813" s="321"/>
      <c r="G813" s="321"/>
      <c r="H813" s="321"/>
      <c r="I813" s="321"/>
      <c r="J813" s="321"/>
    </row>
    <row r="814" spans="2:10">
      <c r="B814" s="321"/>
      <c r="C814" s="321"/>
      <c r="D814" s="321"/>
      <c r="E814" s="321"/>
      <c r="F814" s="321"/>
      <c r="G814" s="321"/>
      <c r="H814" s="321"/>
      <c r="I814" s="321"/>
      <c r="J814" s="321"/>
    </row>
    <row r="815" spans="2:10">
      <c r="B815" s="321"/>
      <c r="C815" s="321"/>
      <c r="D815" s="321"/>
      <c r="E815" s="321"/>
      <c r="F815" s="321"/>
      <c r="G815" s="321"/>
      <c r="H815" s="321"/>
      <c r="I815" s="321"/>
      <c r="J815" s="321"/>
    </row>
    <row r="816" spans="2:10">
      <c r="B816" s="321"/>
      <c r="C816" s="321"/>
      <c r="D816" s="321"/>
      <c r="E816" s="321"/>
      <c r="F816" s="321"/>
      <c r="G816" s="321"/>
      <c r="H816" s="321"/>
      <c r="I816" s="321"/>
      <c r="J816" s="321"/>
    </row>
    <row r="817" spans="2:10">
      <c r="B817" s="321"/>
      <c r="C817" s="321"/>
      <c r="D817" s="321"/>
      <c r="E817" s="321"/>
      <c r="F817" s="321"/>
      <c r="G817" s="321"/>
      <c r="H817" s="321"/>
      <c r="I817" s="321"/>
      <c r="J817" s="321"/>
    </row>
    <row r="818" spans="2:10">
      <c r="B818" s="321"/>
      <c r="C818" s="321"/>
      <c r="D818" s="321"/>
      <c r="E818" s="321"/>
      <c r="F818" s="321"/>
      <c r="G818" s="321"/>
      <c r="H818" s="321"/>
      <c r="I818" s="321"/>
      <c r="J818" s="321"/>
    </row>
    <row r="819" spans="2:10">
      <c r="B819" s="321"/>
      <c r="C819" s="321"/>
      <c r="D819" s="321"/>
      <c r="E819" s="321"/>
      <c r="F819" s="321"/>
      <c r="G819" s="321"/>
      <c r="H819" s="321"/>
      <c r="I819" s="321"/>
      <c r="J819" s="321"/>
    </row>
    <row r="820" spans="2:10">
      <c r="B820" s="321"/>
      <c r="C820" s="321"/>
      <c r="D820" s="321"/>
      <c r="E820" s="321"/>
      <c r="F820" s="321"/>
      <c r="G820" s="321"/>
      <c r="H820" s="321"/>
      <c r="I820" s="321"/>
      <c r="J820" s="321"/>
    </row>
    <row r="821" spans="2:10">
      <c r="B821" s="321"/>
      <c r="C821" s="321"/>
      <c r="D821" s="321"/>
      <c r="E821" s="321"/>
      <c r="F821" s="321"/>
      <c r="G821" s="321"/>
      <c r="H821" s="321"/>
      <c r="I821" s="321"/>
      <c r="J821" s="321"/>
    </row>
    <row r="822" spans="2:10">
      <c r="B822" s="321"/>
      <c r="C822" s="321"/>
      <c r="D822" s="321"/>
      <c r="E822" s="321"/>
      <c r="F822" s="321"/>
      <c r="G822" s="321"/>
      <c r="H822" s="321"/>
      <c r="I822" s="321"/>
      <c r="J822" s="321"/>
    </row>
    <row r="823" spans="2:10">
      <c r="B823" s="321"/>
      <c r="C823" s="321"/>
      <c r="D823" s="321"/>
      <c r="E823" s="321"/>
      <c r="F823" s="321"/>
      <c r="G823" s="321"/>
      <c r="H823" s="321"/>
      <c r="I823" s="321"/>
      <c r="J823" s="321"/>
    </row>
    <row r="824" spans="2:10">
      <c r="B824" s="321"/>
      <c r="C824" s="321"/>
      <c r="D824" s="321"/>
      <c r="E824" s="321"/>
      <c r="F824" s="321"/>
      <c r="G824" s="321"/>
      <c r="H824" s="321"/>
      <c r="I824" s="321"/>
      <c r="J824" s="321"/>
    </row>
    <row r="825" spans="2:10">
      <c r="B825" s="321"/>
      <c r="C825" s="321"/>
      <c r="D825" s="321"/>
      <c r="E825" s="321"/>
      <c r="F825" s="321"/>
      <c r="G825" s="321"/>
      <c r="H825" s="321"/>
      <c r="I825" s="321"/>
      <c r="J825" s="321"/>
    </row>
    <row r="826" spans="2:10">
      <c r="B826" s="321"/>
      <c r="C826" s="321"/>
      <c r="D826" s="321"/>
      <c r="E826" s="321"/>
      <c r="F826" s="321"/>
      <c r="G826" s="321"/>
      <c r="H826" s="321"/>
      <c r="I826" s="321"/>
      <c r="J826" s="321"/>
    </row>
    <row r="827" spans="2:10">
      <c r="B827" s="321"/>
      <c r="C827" s="321"/>
      <c r="D827" s="321"/>
      <c r="E827" s="321"/>
      <c r="F827" s="321"/>
      <c r="G827" s="321"/>
      <c r="H827" s="321"/>
      <c r="I827" s="321"/>
      <c r="J827" s="321"/>
    </row>
    <row r="828" spans="2:10">
      <c r="B828" s="321"/>
      <c r="C828" s="321"/>
      <c r="D828" s="321"/>
      <c r="E828" s="321"/>
      <c r="F828" s="321"/>
      <c r="G828" s="321"/>
      <c r="H828" s="321"/>
      <c r="I828" s="321"/>
      <c r="J828" s="321"/>
    </row>
    <row r="829" spans="2:10">
      <c r="B829" s="321"/>
      <c r="C829" s="321"/>
      <c r="D829" s="321"/>
      <c r="E829" s="321"/>
      <c r="F829" s="321"/>
      <c r="G829" s="321"/>
      <c r="H829" s="321"/>
      <c r="I829" s="321"/>
      <c r="J829" s="321"/>
    </row>
    <row r="830" spans="2:10">
      <c r="B830" s="321"/>
      <c r="C830" s="321"/>
      <c r="D830" s="321"/>
      <c r="E830" s="321"/>
      <c r="F830" s="321"/>
      <c r="G830" s="321"/>
      <c r="H830" s="321"/>
      <c r="I830" s="321"/>
      <c r="J830" s="321"/>
    </row>
    <row r="831" spans="2:10">
      <c r="B831" s="321"/>
      <c r="C831" s="321"/>
      <c r="D831" s="321"/>
      <c r="E831" s="321"/>
      <c r="F831" s="321"/>
      <c r="G831" s="321"/>
      <c r="H831" s="321"/>
      <c r="I831" s="321"/>
      <c r="J831" s="321"/>
    </row>
    <row r="832" spans="2:10">
      <c r="B832" s="321"/>
      <c r="C832" s="321"/>
      <c r="D832" s="321"/>
      <c r="E832" s="321"/>
      <c r="F832" s="321"/>
      <c r="G832" s="321"/>
      <c r="H832" s="321"/>
      <c r="I832" s="321"/>
      <c r="J832" s="321"/>
    </row>
    <row r="833" spans="2:10">
      <c r="B833" s="321"/>
      <c r="C833" s="321"/>
      <c r="D833" s="321"/>
      <c r="E833" s="321"/>
      <c r="F833" s="321"/>
      <c r="G833" s="321"/>
      <c r="H833" s="321"/>
      <c r="I833" s="321"/>
      <c r="J833" s="321"/>
    </row>
    <row r="834" spans="2:10">
      <c r="B834" s="321"/>
      <c r="C834" s="321"/>
      <c r="D834" s="321"/>
      <c r="E834" s="321"/>
      <c r="F834" s="321"/>
      <c r="G834" s="321"/>
      <c r="H834" s="321"/>
      <c r="I834" s="321"/>
      <c r="J834" s="321"/>
    </row>
    <row r="835" spans="2:10">
      <c r="B835" s="321"/>
      <c r="C835" s="321"/>
      <c r="D835" s="321"/>
      <c r="E835" s="321"/>
      <c r="F835" s="321"/>
      <c r="G835" s="321"/>
      <c r="H835" s="321"/>
      <c r="I835" s="321"/>
      <c r="J835" s="321"/>
    </row>
    <row r="836" spans="2:10">
      <c r="B836" s="321"/>
      <c r="C836" s="321"/>
      <c r="D836" s="321"/>
      <c r="E836" s="321"/>
      <c r="F836" s="321"/>
      <c r="G836" s="321"/>
      <c r="H836" s="321"/>
      <c r="I836" s="321"/>
      <c r="J836" s="321"/>
    </row>
    <row r="837" spans="2:10">
      <c r="B837" s="321"/>
      <c r="C837" s="321"/>
      <c r="D837" s="321"/>
      <c r="E837" s="321"/>
      <c r="F837" s="321"/>
      <c r="G837" s="321"/>
      <c r="H837" s="321"/>
      <c r="I837" s="321"/>
      <c r="J837" s="321"/>
    </row>
    <row r="838" spans="2:10">
      <c r="B838" s="321"/>
      <c r="C838" s="321"/>
      <c r="D838" s="321"/>
      <c r="E838" s="321"/>
      <c r="F838" s="321"/>
      <c r="G838" s="321"/>
      <c r="H838" s="321"/>
      <c r="I838" s="321"/>
      <c r="J838" s="321"/>
    </row>
    <row r="839" spans="2:10">
      <c r="B839" s="321"/>
      <c r="C839" s="321"/>
      <c r="D839" s="321"/>
      <c r="E839" s="321"/>
      <c r="F839" s="321"/>
      <c r="G839" s="321"/>
      <c r="H839" s="321"/>
      <c r="I839" s="321"/>
      <c r="J839" s="321"/>
    </row>
    <row r="840" spans="2:10">
      <c r="B840" s="321"/>
      <c r="C840" s="321"/>
      <c r="D840" s="321"/>
      <c r="E840" s="321"/>
      <c r="F840" s="321"/>
      <c r="G840" s="321"/>
      <c r="H840" s="321"/>
      <c r="I840" s="321"/>
      <c r="J840" s="321"/>
    </row>
    <row r="841" spans="2:10">
      <c r="B841" s="321"/>
      <c r="C841" s="321"/>
      <c r="D841" s="321"/>
      <c r="E841" s="321"/>
      <c r="F841" s="321"/>
      <c r="G841" s="321"/>
      <c r="H841" s="321"/>
      <c r="I841" s="321"/>
      <c r="J841" s="321"/>
    </row>
    <row r="842" spans="2:10">
      <c r="B842" s="321"/>
      <c r="C842" s="321"/>
      <c r="D842" s="321"/>
      <c r="E842" s="321"/>
      <c r="F842" s="321"/>
      <c r="G842" s="321"/>
      <c r="H842" s="321"/>
      <c r="I842" s="321"/>
      <c r="J842" s="321"/>
    </row>
    <row r="843" spans="2:10">
      <c r="B843" s="321"/>
      <c r="C843" s="321"/>
      <c r="D843" s="321"/>
      <c r="E843" s="321"/>
      <c r="F843" s="321"/>
      <c r="G843" s="321"/>
      <c r="H843" s="321"/>
      <c r="I843" s="321"/>
      <c r="J843" s="321"/>
    </row>
    <row r="844" spans="2:10">
      <c r="B844" s="321"/>
      <c r="C844" s="321"/>
      <c r="D844" s="321"/>
      <c r="E844" s="321"/>
      <c r="F844" s="321"/>
      <c r="G844" s="321"/>
      <c r="H844" s="321"/>
      <c r="I844" s="321"/>
      <c r="J844" s="321"/>
    </row>
    <row r="845" spans="2:10">
      <c r="B845" s="321"/>
      <c r="C845" s="321"/>
      <c r="D845" s="321"/>
      <c r="E845" s="321"/>
      <c r="F845" s="321"/>
      <c r="G845" s="321"/>
      <c r="H845" s="321"/>
      <c r="I845" s="321"/>
      <c r="J845" s="321"/>
    </row>
    <row r="846" spans="2:10">
      <c r="B846" s="321"/>
      <c r="C846" s="321"/>
      <c r="D846" s="321"/>
      <c r="E846" s="321"/>
      <c r="F846" s="321"/>
      <c r="G846" s="321"/>
      <c r="H846" s="321"/>
      <c r="I846" s="321"/>
      <c r="J846" s="321"/>
    </row>
    <row r="847" spans="2:10">
      <c r="B847" s="321"/>
      <c r="C847" s="321"/>
      <c r="D847" s="321"/>
      <c r="E847" s="321"/>
      <c r="F847" s="321"/>
      <c r="G847" s="321"/>
      <c r="H847" s="321"/>
      <c r="I847" s="321"/>
      <c r="J847" s="321"/>
    </row>
    <row r="848" spans="2:10">
      <c r="B848" s="321"/>
      <c r="C848" s="321"/>
      <c r="D848" s="321"/>
      <c r="E848" s="321"/>
      <c r="F848" s="321"/>
      <c r="G848" s="321"/>
      <c r="H848" s="321"/>
      <c r="I848" s="321"/>
      <c r="J848" s="321"/>
    </row>
    <row r="849" spans="2:10">
      <c r="B849" s="321"/>
      <c r="C849" s="321"/>
      <c r="D849" s="321"/>
      <c r="E849" s="321"/>
      <c r="F849" s="321"/>
      <c r="G849" s="321"/>
      <c r="H849" s="321"/>
      <c r="I849" s="321"/>
      <c r="J849" s="321"/>
    </row>
    <row r="850" spans="2:10">
      <c r="B850" s="321"/>
      <c r="C850" s="321"/>
      <c r="D850" s="321"/>
      <c r="E850" s="321"/>
      <c r="F850" s="321"/>
      <c r="G850" s="321"/>
      <c r="H850" s="321"/>
      <c r="I850" s="321"/>
      <c r="J850" s="321"/>
    </row>
    <row r="851" spans="2:10">
      <c r="B851" s="321"/>
      <c r="C851" s="321"/>
      <c r="D851" s="321"/>
      <c r="E851" s="321"/>
      <c r="F851" s="321"/>
      <c r="G851" s="321"/>
      <c r="H851" s="321"/>
      <c r="I851" s="321"/>
      <c r="J851" s="321"/>
    </row>
    <row r="852" spans="2:10">
      <c r="B852" s="321"/>
      <c r="C852" s="321"/>
      <c r="D852" s="321"/>
      <c r="E852" s="321"/>
      <c r="F852" s="321"/>
      <c r="G852" s="321"/>
      <c r="H852" s="321"/>
      <c r="I852" s="321"/>
      <c r="J852" s="321"/>
    </row>
    <row r="853" spans="2:10">
      <c r="B853" s="321"/>
      <c r="C853" s="321"/>
      <c r="D853" s="321"/>
      <c r="E853" s="321"/>
      <c r="F853" s="321"/>
      <c r="G853" s="321"/>
      <c r="H853" s="321"/>
      <c r="I853" s="321"/>
      <c r="J853" s="321"/>
    </row>
    <row r="854" spans="2:10">
      <c r="B854" s="321"/>
      <c r="C854" s="321"/>
      <c r="D854" s="321"/>
      <c r="E854" s="321"/>
      <c r="F854" s="321"/>
      <c r="G854" s="321"/>
      <c r="H854" s="321"/>
      <c r="I854" s="321"/>
      <c r="J854" s="321"/>
    </row>
    <row r="855" spans="2:10">
      <c r="B855" s="321"/>
      <c r="C855" s="321"/>
      <c r="D855" s="321"/>
      <c r="E855" s="321"/>
      <c r="F855" s="321"/>
      <c r="G855" s="321"/>
      <c r="H855" s="321"/>
      <c r="I855" s="321"/>
      <c r="J855" s="321"/>
    </row>
    <row r="856" spans="2:10">
      <c r="B856" s="321"/>
      <c r="C856" s="321"/>
      <c r="D856" s="321"/>
      <c r="E856" s="321"/>
      <c r="F856" s="321"/>
      <c r="G856" s="321"/>
      <c r="H856" s="321"/>
      <c r="I856" s="321"/>
      <c r="J856" s="321"/>
    </row>
    <row r="857" spans="2:10">
      <c r="B857" s="321"/>
      <c r="C857" s="321"/>
      <c r="D857" s="321"/>
      <c r="E857" s="321"/>
      <c r="F857" s="321"/>
      <c r="G857" s="321"/>
      <c r="H857" s="321"/>
      <c r="I857" s="321"/>
      <c r="J857" s="321"/>
    </row>
    <row r="858" spans="2:10">
      <c r="B858" s="321"/>
      <c r="C858" s="321"/>
      <c r="D858" s="321"/>
      <c r="E858" s="321"/>
      <c r="F858" s="321"/>
      <c r="G858" s="321"/>
      <c r="H858" s="321"/>
      <c r="I858" s="321"/>
      <c r="J858" s="321"/>
    </row>
    <row r="859" spans="2:10">
      <c r="B859" s="321"/>
      <c r="C859" s="321"/>
      <c r="D859" s="321"/>
      <c r="E859" s="321"/>
      <c r="F859" s="321"/>
      <c r="G859" s="321"/>
      <c r="H859" s="321"/>
      <c r="I859" s="321"/>
      <c r="J859" s="321"/>
    </row>
    <row r="860" spans="2:10">
      <c r="B860" s="321"/>
      <c r="C860" s="321"/>
      <c r="D860" s="321"/>
      <c r="E860" s="321"/>
      <c r="F860" s="321"/>
      <c r="G860" s="321"/>
      <c r="H860" s="321"/>
      <c r="I860" s="321"/>
      <c r="J860" s="321"/>
    </row>
    <row r="861" spans="2:10">
      <c r="B861" s="321"/>
      <c r="C861" s="321"/>
      <c r="D861" s="321"/>
      <c r="E861" s="321"/>
      <c r="F861" s="321"/>
      <c r="G861" s="321"/>
      <c r="H861" s="321"/>
      <c r="I861" s="321"/>
      <c r="J861" s="321"/>
    </row>
    <row r="862" spans="2:10">
      <c r="B862" s="321"/>
      <c r="C862" s="321"/>
      <c r="D862" s="321"/>
      <c r="E862" s="321"/>
      <c r="F862" s="321"/>
      <c r="G862" s="321"/>
      <c r="H862" s="321"/>
      <c r="I862" s="321"/>
      <c r="J862" s="321"/>
    </row>
    <row r="863" spans="2:10">
      <c r="B863" s="321"/>
      <c r="C863" s="321"/>
      <c r="D863" s="321"/>
      <c r="E863" s="321"/>
      <c r="F863" s="321"/>
      <c r="G863" s="321"/>
      <c r="H863" s="321"/>
      <c r="I863" s="321"/>
      <c r="J863" s="321"/>
    </row>
    <row r="864" spans="2:10">
      <c r="B864" s="321"/>
      <c r="C864" s="321"/>
      <c r="D864" s="321"/>
      <c r="E864" s="321"/>
      <c r="F864" s="321"/>
      <c r="G864" s="321"/>
      <c r="H864" s="321"/>
      <c r="I864" s="321"/>
      <c r="J864" s="321"/>
    </row>
    <row r="865" spans="2:10">
      <c r="B865" s="321"/>
      <c r="C865" s="321"/>
      <c r="D865" s="321"/>
      <c r="E865" s="321"/>
      <c r="F865" s="321"/>
      <c r="G865" s="321"/>
      <c r="H865" s="321"/>
      <c r="I865" s="321"/>
      <c r="J865" s="321"/>
    </row>
    <row r="866" spans="2:10">
      <c r="B866" s="321"/>
      <c r="C866" s="321"/>
      <c r="D866" s="321"/>
      <c r="E866" s="321"/>
      <c r="F866" s="321"/>
      <c r="G866" s="321"/>
      <c r="H866" s="321"/>
      <c r="I866" s="321"/>
      <c r="J866" s="321"/>
    </row>
    <row r="867" spans="2:10">
      <c r="B867" s="321"/>
      <c r="C867" s="321"/>
      <c r="D867" s="321"/>
      <c r="E867" s="321"/>
      <c r="F867" s="321"/>
      <c r="G867" s="321"/>
      <c r="H867" s="321"/>
      <c r="I867" s="321"/>
      <c r="J867" s="321"/>
    </row>
    <row r="868" spans="2:10">
      <c r="B868" s="321"/>
      <c r="C868" s="321"/>
      <c r="D868" s="321"/>
      <c r="E868" s="321"/>
      <c r="F868" s="321"/>
      <c r="G868" s="321"/>
      <c r="H868" s="321"/>
      <c r="I868" s="321"/>
      <c r="J868" s="321"/>
    </row>
    <row r="869" spans="2:10">
      <c r="B869" s="321"/>
      <c r="C869" s="321"/>
      <c r="D869" s="321"/>
      <c r="E869" s="321"/>
      <c r="F869" s="321"/>
      <c r="G869" s="321"/>
      <c r="H869" s="321"/>
      <c r="I869" s="321"/>
      <c r="J869" s="321"/>
    </row>
    <row r="870" spans="2:10">
      <c r="B870" s="321"/>
      <c r="C870" s="321"/>
      <c r="D870" s="321"/>
      <c r="E870" s="321"/>
      <c r="F870" s="321"/>
      <c r="G870" s="321"/>
      <c r="H870" s="321"/>
      <c r="I870" s="321"/>
      <c r="J870" s="321"/>
    </row>
    <row r="871" spans="2:10">
      <c r="B871" s="321"/>
      <c r="C871" s="321"/>
      <c r="D871" s="321"/>
      <c r="E871" s="321"/>
      <c r="F871" s="321"/>
      <c r="G871" s="321"/>
      <c r="H871" s="321"/>
      <c r="I871" s="321"/>
      <c r="J871" s="321"/>
    </row>
    <row r="872" spans="2:10">
      <c r="B872" s="321"/>
      <c r="C872" s="321"/>
      <c r="D872" s="321"/>
      <c r="E872" s="321"/>
      <c r="F872" s="321"/>
      <c r="G872" s="321"/>
      <c r="H872" s="321"/>
      <c r="I872" s="321"/>
      <c r="J872" s="321"/>
    </row>
    <row r="873" spans="2:10">
      <c r="B873" s="321"/>
      <c r="C873" s="321"/>
      <c r="D873" s="321"/>
      <c r="E873" s="321"/>
      <c r="F873" s="321"/>
      <c r="G873" s="321"/>
      <c r="H873" s="321"/>
      <c r="I873" s="321"/>
      <c r="J873" s="321"/>
    </row>
    <row r="874" spans="2:10">
      <c r="B874" s="321"/>
      <c r="C874" s="321"/>
      <c r="D874" s="321"/>
      <c r="E874" s="321"/>
      <c r="F874" s="321"/>
      <c r="G874" s="321"/>
      <c r="H874" s="321"/>
      <c r="I874" s="321"/>
      <c r="J874" s="321"/>
    </row>
    <row r="875" spans="2:10">
      <c r="B875" s="321"/>
      <c r="C875" s="321"/>
      <c r="D875" s="321"/>
      <c r="E875" s="321"/>
      <c r="F875" s="321"/>
      <c r="G875" s="321"/>
      <c r="H875" s="321"/>
      <c r="I875" s="321"/>
      <c r="J875" s="321"/>
    </row>
    <row r="876" spans="2:10">
      <c r="B876" s="321"/>
      <c r="C876" s="321"/>
      <c r="D876" s="321"/>
      <c r="E876" s="321"/>
      <c r="F876" s="321"/>
      <c r="G876" s="321"/>
      <c r="H876" s="321"/>
      <c r="I876" s="321"/>
      <c r="J876" s="321"/>
    </row>
    <row r="877" spans="2:10">
      <c r="B877" s="321"/>
      <c r="C877" s="321"/>
      <c r="D877" s="321"/>
      <c r="E877" s="321"/>
      <c r="F877" s="321"/>
      <c r="G877" s="321"/>
      <c r="H877" s="321"/>
      <c r="I877" s="321"/>
      <c r="J877" s="321"/>
    </row>
    <row r="878" spans="2:10">
      <c r="B878" s="321"/>
      <c r="C878" s="321"/>
      <c r="D878" s="321"/>
      <c r="E878" s="321"/>
      <c r="F878" s="321"/>
      <c r="G878" s="321"/>
      <c r="H878" s="321"/>
      <c r="I878" s="321"/>
      <c r="J878" s="321"/>
    </row>
    <row r="879" spans="2:10">
      <c r="B879" s="321"/>
      <c r="C879" s="321"/>
      <c r="D879" s="321"/>
      <c r="E879" s="321"/>
      <c r="F879" s="321"/>
      <c r="G879" s="321"/>
      <c r="H879" s="321"/>
      <c r="I879" s="321"/>
      <c r="J879" s="321"/>
    </row>
    <row r="880" spans="2:10">
      <c r="B880" s="321"/>
      <c r="C880" s="321"/>
      <c r="D880" s="321"/>
      <c r="E880" s="321"/>
      <c r="F880" s="321"/>
      <c r="G880" s="321"/>
      <c r="H880" s="321"/>
      <c r="I880" s="321"/>
      <c r="J880" s="321"/>
    </row>
    <row r="881" spans="2:10">
      <c r="B881" s="321"/>
      <c r="C881" s="321"/>
      <c r="D881" s="321"/>
      <c r="E881" s="321"/>
      <c r="F881" s="321"/>
      <c r="G881" s="321"/>
      <c r="H881" s="321"/>
      <c r="I881" s="321"/>
      <c r="J881" s="321"/>
    </row>
    <row r="882" spans="2:10">
      <c r="B882" s="321"/>
      <c r="C882" s="321"/>
      <c r="D882" s="321"/>
      <c r="E882" s="321"/>
      <c r="F882" s="321"/>
      <c r="G882" s="321"/>
      <c r="H882" s="321"/>
      <c r="I882" s="321"/>
      <c r="J882" s="321"/>
    </row>
    <row r="883" spans="2:10">
      <c r="B883" s="321"/>
      <c r="C883" s="321"/>
      <c r="D883" s="321"/>
      <c r="E883" s="321"/>
      <c r="F883" s="321"/>
      <c r="G883" s="321"/>
      <c r="H883" s="321"/>
      <c r="I883" s="321"/>
      <c r="J883" s="321"/>
    </row>
    <row r="884" spans="2:10">
      <c r="B884" s="321"/>
      <c r="C884" s="321"/>
      <c r="D884" s="321"/>
      <c r="E884" s="321"/>
      <c r="F884" s="321"/>
      <c r="G884" s="321"/>
      <c r="H884" s="321"/>
      <c r="I884" s="321"/>
      <c r="J884" s="321"/>
    </row>
    <row r="885" spans="2:10">
      <c r="B885" s="321"/>
      <c r="C885" s="321"/>
      <c r="D885" s="321"/>
      <c r="E885" s="321"/>
      <c r="F885" s="321"/>
      <c r="G885" s="321"/>
      <c r="H885" s="321"/>
      <c r="I885" s="321"/>
      <c r="J885" s="321"/>
    </row>
    <row r="886" spans="2:10">
      <c r="B886" s="321"/>
      <c r="C886" s="321"/>
      <c r="D886" s="321"/>
      <c r="E886" s="321"/>
      <c r="F886" s="321"/>
      <c r="G886" s="321"/>
      <c r="H886" s="321"/>
      <c r="I886" s="321"/>
      <c r="J886" s="321"/>
    </row>
    <row r="887" spans="2:10">
      <c r="B887" s="321"/>
      <c r="C887" s="321"/>
      <c r="D887" s="321"/>
      <c r="E887" s="321"/>
      <c r="F887" s="321"/>
      <c r="G887" s="321"/>
      <c r="H887" s="321"/>
      <c r="I887" s="321"/>
      <c r="J887" s="321"/>
    </row>
    <row r="888" spans="2:10">
      <c r="B888" s="321"/>
      <c r="C888" s="321"/>
      <c r="D888" s="321"/>
      <c r="E888" s="321"/>
      <c r="F888" s="321"/>
      <c r="G888" s="321"/>
      <c r="H888" s="321"/>
      <c r="I888" s="321"/>
      <c r="J888" s="321"/>
    </row>
    <row r="889" spans="2:10">
      <c r="B889" s="321"/>
      <c r="C889" s="321"/>
      <c r="D889" s="321"/>
      <c r="E889" s="321"/>
      <c r="F889" s="321"/>
      <c r="G889" s="321"/>
      <c r="H889" s="321"/>
      <c r="I889" s="321"/>
      <c r="J889" s="321"/>
    </row>
    <row r="890" spans="2:10">
      <c r="B890" s="321"/>
      <c r="C890" s="321"/>
      <c r="D890" s="321"/>
      <c r="E890" s="321"/>
      <c r="F890" s="321"/>
      <c r="G890" s="321"/>
      <c r="H890" s="321"/>
      <c r="I890" s="321"/>
      <c r="J890" s="321"/>
    </row>
    <row r="891" spans="2:10">
      <c r="B891" s="321"/>
      <c r="C891" s="321"/>
      <c r="D891" s="321"/>
      <c r="E891" s="321"/>
      <c r="F891" s="321"/>
      <c r="G891" s="321"/>
      <c r="H891" s="321"/>
      <c r="I891" s="321"/>
      <c r="J891" s="321"/>
    </row>
    <row r="892" spans="2:10">
      <c r="B892" s="321"/>
      <c r="C892" s="321"/>
      <c r="D892" s="321"/>
      <c r="E892" s="321"/>
      <c r="F892" s="321"/>
      <c r="G892" s="321"/>
      <c r="H892" s="321"/>
      <c r="I892" s="321"/>
      <c r="J892" s="321"/>
    </row>
    <row r="893" spans="2:10">
      <c r="B893" s="321"/>
      <c r="C893" s="321"/>
      <c r="D893" s="321"/>
      <c r="E893" s="321"/>
      <c r="F893" s="321"/>
      <c r="G893" s="321"/>
      <c r="H893" s="321"/>
      <c r="I893" s="321"/>
      <c r="J893" s="321"/>
    </row>
    <row r="894" spans="2:10">
      <c r="B894" s="321"/>
      <c r="C894" s="321"/>
      <c r="D894" s="321"/>
      <c r="E894" s="321"/>
      <c r="F894" s="321"/>
      <c r="G894" s="321"/>
      <c r="H894" s="321"/>
      <c r="I894" s="321"/>
      <c r="J894" s="321"/>
    </row>
    <row r="895" spans="2:10">
      <c r="B895" s="321"/>
      <c r="C895" s="321"/>
      <c r="D895" s="321"/>
      <c r="E895" s="321"/>
      <c r="F895" s="321"/>
      <c r="G895" s="321"/>
      <c r="H895" s="321"/>
      <c r="I895" s="321"/>
      <c r="J895" s="321"/>
    </row>
    <row r="896" spans="2:10">
      <c r="B896" s="321"/>
      <c r="C896" s="321"/>
      <c r="D896" s="321"/>
      <c r="E896" s="321"/>
      <c r="F896" s="321"/>
      <c r="G896" s="321"/>
      <c r="H896" s="321"/>
      <c r="I896" s="321"/>
      <c r="J896" s="321"/>
    </row>
    <row r="897" spans="2:10">
      <c r="B897" s="321"/>
      <c r="C897" s="321"/>
      <c r="D897" s="321"/>
      <c r="E897" s="321"/>
      <c r="F897" s="321"/>
      <c r="G897" s="321"/>
      <c r="H897" s="321"/>
      <c r="I897" s="321"/>
      <c r="J897" s="321"/>
    </row>
    <row r="898" spans="2:10">
      <c r="B898" s="321"/>
      <c r="C898" s="321"/>
      <c r="D898" s="321"/>
      <c r="E898" s="321"/>
      <c r="F898" s="321"/>
      <c r="G898" s="321"/>
      <c r="H898" s="321"/>
      <c r="I898" s="321"/>
      <c r="J898" s="321"/>
    </row>
    <row r="899" spans="2:10">
      <c r="B899" s="321"/>
      <c r="C899" s="321"/>
      <c r="D899" s="321"/>
      <c r="E899" s="321"/>
      <c r="F899" s="321"/>
      <c r="G899" s="321"/>
      <c r="H899" s="321"/>
      <c r="I899" s="321"/>
      <c r="J899" s="321"/>
    </row>
    <row r="900" spans="2:10">
      <c r="B900" s="321"/>
      <c r="C900" s="321"/>
      <c r="D900" s="321"/>
      <c r="E900" s="321"/>
      <c r="F900" s="321"/>
      <c r="G900" s="321"/>
      <c r="H900" s="321"/>
      <c r="I900" s="321"/>
      <c r="J900" s="321"/>
    </row>
    <row r="901" spans="2:10">
      <c r="B901" s="321"/>
      <c r="C901" s="321"/>
      <c r="D901" s="321"/>
      <c r="E901" s="321"/>
      <c r="F901" s="321"/>
      <c r="G901" s="321"/>
      <c r="H901" s="321"/>
      <c r="I901" s="321"/>
      <c r="J901" s="321"/>
    </row>
    <row r="902" spans="2:10">
      <c r="B902" s="321"/>
      <c r="C902" s="321"/>
      <c r="D902" s="321"/>
      <c r="E902" s="321"/>
      <c r="F902" s="321"/>
      <c r="G902" s="321"/>
      <c r="H902" s="321"/>
      <c r="I902" s="321"/>
      <c r="J902" s="321"/>
    </row>
    <row r="903" spans="2:10">
      <c r="B903" s="321"/>
      <c r="C903" s="321"/>
      <c r="D903" s="321"/>
      <c r="E903" s="321"/>
      <c r="F903" s="321"/>
      <c r="G903" s="321"/>
      <c r="H903" s="321"/>
      <c r="I903" s="321"/>
      <c r="J903" s="321"/>
    </row>
    <row r="904" spans="2:10">
      <c r="B904" s="321"/>
      <c r="C904" s="321"/>
      <c r="D904" s="321"/>
      <c r="E904" s="321"/>
      <c r="F904" s="321"/>
      <c r="G904" s="321"/>
      <c r="H904" s="321"/>
      <c r="I904" s="321"/>
      <c r="J904" s="321"/>
    </row>
    <row r="905" spans="2:10">
      <c r="B905" s="321"/>
      <c r="C905" s="321"/>
      <c r="D905" s="321"/>
      <c r="E905" s="321"/>
      <c r="F905" s="321"/>
      <c r="G905" s="321"/>
      <c r="H905" s="321"/>
      <c r="I905" s="321"/>
      <c r="J905" s="321"/>
    </row>
    <row r="906" spans="2:10">
      <c r="B906" s="321"/>
      <c r="C906" s="321"/>
      <c r="D906" s="321"/>
      <c r="E906" s="321"/>
      <c r="F906" s="321"/>
      <c r="G906" s="321"/>
      <c r="H906" s="321"/>
      <c r="I906" s="321"/>
      <c r="J906" s="321"/>
    </row>
    <row r="907" spans="2:10">
      <c r="B907" s="321"/>
      <c r="C907" s="321"/>
      <c r="D907" s="321"/>
      <c r="E907" s="321"/>
      <c r="F907" s="321"/>
      <c r="G907" s="321"/>
      <c r="H907" s="321"/>
      <c r="I907" s="321"/>
      <c r="J907" s="321"/>
    </row>
    <row r="908" spans="2:10">
      <c r="B908" s="321"/>
      <c r="C908" s="321"/>
      <c r="D908" s="321"/>
      <c r="E908" s="321"/>
      <c r="F908" s="321"/>
      <c r="G908" s="321"/>
      <c r="H908" s="321"/>
      <c r="I908" s="321"/>
      <c r="J908" s="321"/>
    </row>
    <row r="909" spans="2:10">
      <c r="B909" s="321"/>
      <c r="C909" s="321"/>
      <c r="D909" s="321"/>
      <c r="E909" s="321"/>
      <c r="F909" s="321"/>
      <c r="G909" s="321"/>
      <c r="H909" s="321"/>
      <c r="I909" s="321"/>
      <c r="J909" s="321"/>
    </row>
    <row r="910" spans="2:10">
      <c r="B910" s="321"/>
      <c r="C910" s="321"/>
      <c r="D910" s="321"/>
      <c r="E910" s="321"/>
      <c r="F910" s="321"/>
      <c r="G910" s="321"/>
      <c r="H910" s="321"/>
      <c r="I910" s="321"/>
      <c r="J910" s="321"/>
    </row>
    <row r="911" spans="2:10">
      <c r="B911" s="321"/>
      <c r="C911" s="321"/>
      <c r="D911" s="321"/>
      <c r="E911" s="321"/>
      <c r="F911" s="321"/>
      <c r="G911" s="321"/>
      <c r="H911" s="321"/>
      <c r="I911" s="321"/>
      <c r="J911" s="321"/>
    </row>
    <row r="912" spans="2:10">
      <c r="B912" s="321"/>
      <c r="C912" s="321"/>
      <c r="D912" s="321"/>
      <c r="E912" s="321"/>
      <c r="F912" s="321"/>
      <c r="G912" s="321"/>
      <c r="H912" s="321"/>
      <c r="I912" s="321"/>
      <c r="J912" s="321"/>
    </row>
    <row r="913" spans="2:10">
      <c r="B913" s="321"/>
      <c r="C913" s="321"/>
      <c r="D913" s="321"/>
      <c r="E913" s="321"/>
      <c r="F913" s="321"/>
      <c r="G913" s="321"/>
      <c r="H913" s="321"/>
      <c r="I913" s="321"/>
      <c r="J913" s="321"/>
    </row>
    <row r="914" spans="2:10">
      <c r="B914" s="321"/>
      <c r="C914" s="321"/>
      <c r="D914" s="321"/>
      <c r="E914" s="321"/>
      <c r="F914" s="321"/>
      <c r="G914" s="321"/>
      <c r="H914" s="321"/>
      <c r="I914" s="321"/>
      <c r="J914" s="321"/>
    </row>
    <row r="915" spans="2:10">
      <c r="B915" s="321"/>
      <c r="C915" s="321"/>
      <c r="D915" s="321"/>
      <c r="E915" s="321"/>
      <c r="F915" s="321"/>
      <c r="G915" s="321"/>
      <c r="H915" s="321"/>
      <c r="I915" s="321"/>
      <c r="J915" s="321"/>
    </row>
    <row r="916" spans="2:10">
      <c r="B916" s="321"/>
      <c r="C916" s="321"/>
      <c r="D916" s="321"/>
      <c r="E916" s="321"/>
      <c r="F916" s="321"/>
      <c r="G916" s="321"/>
      <c r="H916" s="321"/>
      <c r="I916" s="321"/>
      <c r="J916" s="321"/>
    </row>
    <row r="917" spans="2:10">
      <c r="B917" s="321"/>
      <c r="C917" s="321"/>
      <c r="D917" s="321"/>
      <c r="E917" s="321"/>
      <c r="F917" s="321"/>
      <c r="G917" s="321"/>
      <c r="H917" s="321"/>
      <c r="I917" s="321"/>
      <c r="J917" s="321"/>
    </row>
    <row r="918" spans="2:10">
      <c r="B918" s="321"/>
      <c r="C918" s="321"/>
      <c r="D918" s="321"/>
      <c r="E918" s="321"/>
      <c r="F918" s="321"/>
      <c r="G918" s="321"/>
      <c r="H918" s="321"/>
      <c r="I918" s="321"/>
      <c r="J918" s="321"/>
    </row>
    <row r="919" spans="2:10">
      <c r="B919" s="321"/>
      <c r="C919" s="321"/>
      <c r="D919" s="321"/>
      <c r="E919" s="321"/>
      <c r="F919" s="321"/>
      <c r="G919" s="321"/>
      <c r="H919" s="321"/>
      <c r="I919" s="321"/>
      <c r="J919" s="321"/>
    </row>
    <row r="920" spans="2:10">
      <c r="B920" s="321"/>
      <c r="C920" s="321"/>
      <c r="D920" s="321"/>
      <c r="E920" s="321"/>
      <c r="F920" s="321"/>
      <c r="G920" s="321"/>
      <c r="H920" s="321"/>
      <c r="I920" s="321"/>
      <c r="J920" s="321"/>
    </row>
    <row r="921" spans="2:10">
      <c r="B921" s="321"/>
      <c r="C921" s="321"/>
      <c r="D921" s="321"/>
      <c r="E921" s="321"/>
      <c r="F921" s="321"/>
      <c r="G921" s="321"/>
      <c r="H921" s="321"/>
      <c r="I921" s="321"/>
      <c r="J921" s="321"/>
    </row>
    <row r="922" spans="2:10">
      <c r="B922" s="321"/>
      <c r="C922" s="321"/>
      <c r="D922" s="321"/>
      <c r="E922" s="321"/>
      <c r="F922" s="321"/>
      <c r="G922" s="321"/>
      <c r="H922" s="321"/>
      <c r="I922" s="321"/>
      <c r="J922" s="321"/>
    </row>
    <row r="923" spans="2:10">
      <c r="B923" s="321"/>
      <c r="C923" s="321"/>
      <c r="D923" s="321"/>
      <c r="E923" s="321"/>
      <c r="F923" s="321"/>
      <c r="G923" s="321"/>
      <c r="H923" s="321"/>
      <c r="I923" s="321"/>
      <c r="J923" s="321"/>
    </row>
    <row r="924" spans="2:10">
      <c r="B924" s="321"/>
      <c r="C924" s="321"/>
      <c r="D924" s="321"/>
      <c r="E924" s="321"/>
      <c r="F924" s="321"/>
      <c r="G924" s="321"/>
      <c r="H924" s="321"/>
      <c r="I924" s="321"/>
      <c r="J924" s="321"/>
    </row>
    <row r="925" spans="2:10">
      <c r="B925" s="321"/>
      <c r="C925" s="321"/>
      <c r="D925" s="321"/>
      <c r="E925" s="321"/>
      <c r="F925" s="321"/>
      <c r="G925" s="321"/>
      <c r="H925" s="321"/>
      <c r="I925" s="321"/>
      <c r="J925" s="321"/>
    </row>
    <row r="926" spans="2:10">
      <c r="B926" s="321"/>
      <c r="C926" s="321"/>
      <c r="D926" s="321"/>
      <c r="E926" s="321"/>
      <c r="F926" s="321"/>
      <c r="G926" s="321"/>
      <c r="H926" s="321"/>
      <c r="I926" s="321"/>
      <c r="J926" s="321"/>
    </row>
    <row r="927" spans="2:10">
      <c r="B927" s="321"/>
      <c r="C927" s="321"/>
      <c r="D927" s="321"/>
      <c r="E927" s="321"/>
      <c r="F927" s="321"/>
      <c r="G927" s="321"/>
      <c r="H927" s="321"/>
      <c r="I927" s="321"/>
      <c r="J927" s="321"/>
    </row>
    <row r="928" spans="2:10">
      <c r="B928" s="321"/>
      <c r="C928" s="321"/>
      <c r="D928" s="321"/>
      <c r="E928" s="321"/>
      <c r="F928" s="321"/>
      <c r="G928" s="321"/>
      <c r="H928" s="321"/>
      <c r="I928" s="321"/>
      <c r="J928" s="321"/>
    </row>
    <row r="929" spans="2:10">
      <c r="B929" s="321"/>
      <c r="C929" s="321"/>
      <c r="D929" s="321"/>
      <c r="E929" s="321"/>
      <c r="F929" s="321"/>
      <c r="G929" s="321"/>
      <c r="H929" s="321"/>
      <c r="I929" s="321"/>
      <c r="J929" s="321"/>
    </row>
    <row r="930" spans="2:10">
      <c r="B930" s="321"/>
      <c r="C930" s="321"/>
      <c r="D930" s="321"/>
      <c r="E930" s="321"/>
      <c r="F930" s="321"/>
      <c r="G930" s="321"/>
      <c r="H930" s="321"/>
      <c r="I930" s="321"/>
      <c r="J930" s="321"/>
    </row>
    <row r="931" spans="2:10">
      <c r="B931" s="321"/>
      <c r="C931" s="321"/>
      <c r="D931" s="321"/>
      <c r="E931" s="321"/>
      <c r="F931" s="321"/>
      <c r="G931" s="321"/>
      <c r="H931" s="321"/>
      <c r="I931" s="321"/>
      <c r="J931" s="321"/>
    </row>
    <row r="932" spans="2:10">
      <c r="B932" s="321"/>
      <c r="C932" s="321"/>
      <c r="D932" s="321"/>
      <c r="E932" s="321"/>
      <c r="F932" s="321"/>
      <c r="G932" s="321"/>
      <c r="H932" s="321"/>
      <c r="I932" s="321"/>
      <c r="J932" s="321"/>
    </row>
    <row r="933" spans="2:10">
      <c r="B933" s="321"/>
      <c r="C933" s="321"/>
      <c r="D933" s="321"/>
      <c r="E933" s="321"/>
      <c r="F933" s="321"/>
      <c r="G933" s="321"/>
      <c r="H933" s="321"/>
      <c r="I933" s="321"/>
      <c r="J933" s="321"/>
    </row>
    <row r="934" spans="2:10">
      <c r="B934" s="321"/>
      <c r="C934" s="321"/>
      <c r="D934" s="321"/>
      <c r="E934" s="321"/>
      <c r="F934" s="321"/>
      <c r="G934" s="321"/>
      <c r="H934" s="321"/>
      <c r="I934" s="321"/>
      <c r="J934" s="321"/>
    </row>
    <row r="935" spans="2:10">
      <c r="B935" s="321"/>
      <c r="C935" s="321"/>
      <c r="D935" s="321"/>
      <c r="E935" s="321"/>
      <c r="F935" s="321"/>
      <c r="G935" s="321"/>
      <c r="H935" s="321"/>
      <c r="I935" s="321"/>
      <c r="J935" s="321"/>
    </row>
    <row r="936" spans="2:10">
      <c r="B936" s="321"/>
      <c r="C936" s="321"/>
      <c r="D936" s="321"/>
      <c r="E936" s="321"/>
      <c r="F936" s="321"/>
      <c r="G936" s="321"/>
      <c r="H936" s="321"/>
      <c r="I936" s="321"/>
      <c r="J936" s="321"/>
    </row>
    <row r="937" spans="2:10">
      <c r="B937" s="321"/>
      <c r="C937" s="321"/>
      <c r="D937" s="321"/>
      <c r="E937" s="321"/>
      <c r="F937" s="321"/>
      <c r="G937" s="321"/>
      <c r="H937" s="321"/>
      <c r="I937" s="321"/>
      <c r="J937" s="321"/>
    </row>
    <row r="938" spans="2:10">
      <c r="B938" s="321"/>
      <c r="C938" s="321"/>
      <c r="D938" s="321"/>
      <c r="E938" s="321"/>
      <c r="F938" s="321"/>
      <c r="G938" s="321"/>
      <c r="H938" s="321"/>
      <c r="I938" s="321"/>
      <c r="J938" s="321"/>
    </row>
    <row r="939" spans="2:10">
      <c r="B939" s="321"/>
      <c r="C939" s="321"/>
      <c r="D939" s="321"/>
      <c r="E939" s="321"/>
      <c r="F939" s="321"/>
      <c r="G939" s="321"/>
      <c r="H939" s="321"/>
      <c r="I939" s="321"/>
      <c r="J939" s="321"/>
    </row>
    <row r="940" spans="2:10">
      <c r="B940" s="321"/>
      <c r="C940" s="321"/>
      <c r="D940" s="321"/>
      <c r="E940" s="321"/>
      <c r="F940" s="321"/>
      <c r="G940" s="321"/>
      <c r="H940" s="321"/>
      <c r="I940" s="321"/>
      <c r="J940" s="321"/>
    </row>
    <row r="941" spans="2:10">
      <c r="B941" s="321"/>
      <c r="C941" s="321"/>
      <c r="D941" s="321"/>
      <c r="E941" s="321"/>
      <c r="F941" s="321"/>
      <c r="G941" s="321"/>
      <c r="H941" s="321"/>
      <c r="I941" s="321"/>
      <c r="J941" s="321"/>
    </row>
    <row r="942" spans="2:10">
      <c r="B942" s="321"/>
      <c r="C942" s="321"/>
      <c r="D942" s="321"/>
      <c r="E942" s="321"/>
      <c r="F942" s="321"/>
      <c r="G942" s="321"/>
      <c r="H942" s="321"/>
      <c r="I942" s="321"/>
      <c r="J942" s="321"/>
    </row>
    <row r="943" spans="2:10">
      <c r="B943" s="321"/>
      <c r="C943" s="321"/>
      <c r="D943" s="321"/>
      <c r="E943" s="321"/>
      <c r="F943" s="321"/>
      <c r="G943" s="321"/>
      <c r="H943" s="321"/>
      <c r="I943" s="321"/>
      <c r="J943" s="321"/>
    </row>
    <row r="944" spans="2:10">
      <c r="B944" s="321"/>
      <c r="C944" s="321"/>
      <c r="D944" s="321"/>
      <c r="E944" s="321"/>
      <c r="F944" s="321"/>
      <c r="G944" s="321"/>
      <c r="H944" s="321"/>
      <c r="I944" s="321"/>
      <c r="J944" s="321"/>
    </row>
    <row r="945" spans="2:10">
      <c r="B945" s="321"/>
      <c r="C945" s="321"/>
      <c r="D945" s="321"/>
      <c r="E945" s="321"/>
      <c r="F945" s="321"/>
      <c r="G945" s="321"/>
      <c r="H945" s="321"/>
      <c r="I945" s="321"/>
      <c r="J945" s="321"/>
    </row>
    <row r="946" spans="2:10">
      <c r="B946" s="321"/>
      <c r="C946" s="321"/>
      <c r="D946" s="321"/>
      <c r="E946" s="321"/>
      <c r="F946" s="321"/>
      <c r="G946" s="321"/>
      <c r="H946" s="321"/>
      <c r="I946" s="321"/>
      <c r="J946" s="321"/>
    </row>
    <row r="947" spans="2:10">
      <c r="B947" s="321"/>
      <c r="C947" s="321"/>
      <c r="D947" s="321"/>
      <c r="E947" s="321"/>
      <c r="F947" s="321"/>
      <c r="G947" s="321"/>
      <c r="H947" s="321"/>
      <c r="I947" s="321"/>
      <c r="J947" s="321"/>
    </row>
    <row r="948" spans="2:10">
      <c r="B948" s="321"/>
      <c r="C948" s="321"/>
      <c r="D948" s="321"/>
      <c r="E948" s="321"/>
      <c r="F948" s="321"/>
      <c r="G948" s="321"/>
      <c r="H948" s="321"/>
      <c r="I948" s="321"/>
      <c r="J948" s="321"/>
    </row>
    <row r="949" spans="2:10">
      <c r="B949" s="321"/>
      <c r="C949" s="321"/>
      <c r="D949" s="321"/>
      <c r="E949" s="321"/>
      <c r="F949" s="321"/>
      <c r="G949" s="321"/>
      <c r="H949" s="321"/>
      <c r="I949" s="321"/>
      <c r="J949" s="321"/>
    </row>
    <row r="950" spans="2:10">
      <c r="B950" s="321"/>
      <c r="C950" s="321"/>
      <c r="D950" s="321"/>
      <c r="E950" s="321"/>
      <c r="F950" s="321"/>
      <c r="G950" s="321"/>
      <c r="H950" s="321"/>
      <c r="I950" s="321"/>
      <c r="J950" s="321"/>
    </row>
    <row r="951" spans="2:10">
      <c r="B951" s="321"/>
      <c r="C951" s="321"/>
      <c r="D951" s="321"/>
      <c r="E951" s="321"/>
      <c r="F951" s="321"/>
      <c r="G951" s="321"/>
      <c r="H951" s="321"/>
      <c r="I951" s="321"/>
      <c r="J951" s="321"/>
    </row>
    <row r="952" spans="2:10">
      <c r="B952" s="321"/>
      <c r="C952" s="321"/>
      <c r="D952" s="321"/>
      <c r="E952" s="321"/>
      <c r="F952" s="321"/>
      <c r="G952" s="321"/>
      <c r="H952" s="321"/>
      <c r="I952" s="321"/>
      <c r="J952" s="321"/>
    </row>
    <row r="953" spans="2:10">
      <c r="B953" s="321"/>
      <c r="C953" s="321"/>
      <c r="D953" s="321"/>
      <c r="E953" s="321"/>
      <c r="F953" s="321"/>
      <c r="G953" s="321"/>
      <c r="H953" s="321"/>
      <c r="I953" s="321"/>
      <c r="J953" s="321"/>
    </row>
    <row r="954" spans="2:10">
      <c r="B954" s="321"/>
      <c r="C954" s="321"/>
      <c r="D954" s="321"/>
      <c r="E954" s="321"/>
      <c r="F954" s="321"/>
      <c r="G954" s="321"/>
      <c r="H954" s="321"/>
      <c r="I954" s="321"/>
      <c r="J954" s="321"/>
    </row>
    <row r="955" spans="2:10">
      <c r="B955" s="321"/>
      <c r="C955" s="321"/>
      <c r="D955" s="321"/>
      <c r="E955" s="321"/>
      <c r="F955" s="321"/>
      <c r="G955" s="321"/>
      <c r="H955" s="321"/>
      <c r="I955" s="321"/>
      <c r="J955" s="321"/>
    </row>
    <row r="956" spans="2:10">
      <c r="B956" s="321"/>
      <c r="C956" s="321"/>
      <c r="D956" s="321"/>
      <c r="E956" s="321"/>
      <c r="F956" s="321"/>
      <c r="G956" s="321"/>
      <c r="H956" s="321"/>
      <c r="I956" s="321"/>
      <c r="J956" s="321"/>
    </row>
    <row r="957" spans="2:10">
      <c r="B957" s="321"/>
      <c r="C957" s="321"/>
      <c r="D957" s="321"/>
      <c r="E957" s="321"/>
      <c r="F957" s="321"/>
      <c r="G957" s="321"/>
      <c r="H957" s="321"/>
      <c r="I957" s="321"/>
      <c r="J957" s="321"/>
    </row>
    <row r="958" spans="2:10">
      <c r="B958" s="321"/>
      <c r="C958" s="321"/>
      <c r="D958" s="321"/>
      <c r="E958" s="321"/>
      <c r="F958" s="321"/>
      <c r="G958" s="321"/>
      <c r="H958" s="321"/>
      <c r="I958" s="321"/>
      <c r="J958" s="321"/>
    </row>
    <row r="959" spans="2:10">
      <c r="B959" s="321"/>
      <c r="C959" s="321"/>
      <c r="D959" s="321"/>
      <c r="E959" s="321"/>
      <c r="F959" s="321"/>
      <c r="G959" s="321"/>
      <c r="H959" s="321"/>
      <c r="I959" s="321"/>
      <c r="J959" s="321"/>
    </row>
    <row r="960" spans="2:10">
      <c r="B960" s="321"/>
      <c r="C960" s="321"/>
      <c r="D960" s="321"/>
      <c r="E960" s="321"/>
      <c r="F960" s="321"/>
      <c r="G960" s="321"/>
      <c r="H960" s="321"/>
      <c r="I960" s="321"/>
      <c r="J960" s="321"/>
    </row>
    <row r="961" spans="2:10">
      <c r="B961" s="321"/>
      <c r="C961" s="321"/>
      <c r="D961" s="321"/>
      <c r="E961" s="321"/>
      <c r="F961" s="321"/>
      <c r="G961" s="321"/>
      <c r="H961" s="321"/>
      <c r="I961" s="321"/>
      <c r="J961" s="321"/>
    </row>
    <row r="962" spans="2:10">
      <c r="B962" s="321"/>
      <c r="C962" s="321"/>
      <c r="D962" s="321"/>
      <c r="E962" s="321"/>
      <c r="F962" s="321"/>
      <c r="G962" s="321"/>
      <c r="H962" s="321"/>
      <c r="I962" s="321"/>
      <c r="J962" s="321"/>
    </row>
    <row r="963" spans="2:10">
      <c r="B963" s="321"/>
      <c r="C963" s="321"/>
      <c r="D963" s="321"/>
      <c r="E963" s="321"/>
      <c r="F963" s="321"/>
      <c r="G963" s="321"/>
      <c r="H963" s="321"/>
      <c r="I963" s="321"/>
      <c r="J963" s="321"/>
    </row>
    <row r="964" spans="2:10">
      <c r="B964" s="321"/>
      <c r="C964" s="321"/>
      <c r="D964" s="321"/>
      <c r="E964" s="321"/>
      <c r="F964" s="321"/>
      <c r="G964" s="321"/>
      <c r="H964" s="321"/>
      <c r="I964" s="321"/>
      <c r="J964" s="321"/>
    </row>
    <row r="965" spans="2:10">
      <c r="B965" s="321"/>
      <c r="C965" s="321"/>
      <c r="D965" s="321"/>
      <c r="E965" s="321"/>
      <c r="F965" s="321"/>
      <c r="G965" s="321"/>
      <c r="H965" s="321"/>
      <c r="I965" s="321"/>
      <c r="J965" s="321"/>
    </row>
    <row r="966" spans="2:10">
      <c r="B966" s="321"/>
      <c r="C966" s="321"/>
      <c r="D966" s="321"/>
      <c r="E966" s="321"/>
      <c r="F966" s="321"/>
      <c r="G966" s="321"/>
      <c r="H966" s="321"/>
      <c r="I966" s="321"/>
      <c r="J966" s="321"/>
    </row>
    <row r="967" spans="2:10">
      <c r="B967" s="321"/>
      <c r="C967" s="321"/>
      <c r="D967" s="321"/>
      <c r="E967" s="321"/>
      <c r="F967" s="321"/>
      <c r="G967" s="321"/>
      <c r="H967" s="321"/>
      <c r="I967" s="321"/>
      <c r="J967" s="321"/>
    </row>
    <row r="968" spans="2:10">
      <c r="B968" s="321"/>
      <c r="C968" s="321"/>
      <c r="D968" s="321"/>
      <c r="E968" s="321"/>
      <c r="F968" s="321"/>
      <c r="G968" s="321"/>
      <c r="H968" s="321"/>
      <c r="I968" s="321"/>
      <c r="J968" s="321"/>
    </row>
    <row r="969" spans="2:10">
      <c r="B969" s="321"/>
      <c r="C969" s="321"/>
      <c r="D969" s="321"/>
      <c r="E969" s="321"/>
      <c r="F969" s="321"/>
      <c r="G969" s="321"/>
      <c r="H969" s="321"/>
      <c r="I969" s="321"/>
      <c r="J969" s="321"/>
    </row>
    <row r="970" spans="2:10">
      <c r="B970" s="321"/>
      <c r="C970" s="321"/>
      <c r="D970" s="321"/>
      <c r="E970" s="321"/>
      <c r="F970" s="321"/>
      <c r="G970" s="321"/>
      <c r="H970" s="321"/>
      <c r="I970" s="321"/>
      <c r="J970" s="321"/>
    </row>
    <row r="971" spans="2:10">
      <c r="B971" s="321"/>
      <c r="C971" s="321"/>
      <c r="D971" s="321"/>
      <c r="E971" s="321"/>
      <c r="F971" s="321"/>
      <c r="G971" s="321"/>
      <c r="H971" s="321"/>
      <c r="I971" s="321"/>
      <c r="J971" s="321"/>
    </row>
    <row r="972" spans="2:10">
      <c r="B972" s="321"/>
      <c r="C972" s="321"/>
      <c r="D972" s="321"/>
      <c r="E972" s="321"/>
      <c r="F972" s="321"/>
      <c r="G972" s="321"/>
      <c r="H972" s="321"/>
      <c r="I972" s="321"/>
      <c r="J972" s="321"/>
    </row>
    <row r="973" spans="2:10">
      <c r="B973" s="321"/>
      <c r="C973" s="321"/>
      <c r="D973" s="321"/>
      <c r="E973" s="321"/>
      <c r="F973" s="321"/>
      <c r="G973" s="321"/>
      <c r="H973" s="321"/>
      <c r="I973" s="321"/>
      <c r="J973" s="321"/>
    </row>
    <row r="974" spans="2:10">
      <c r="B974" s="321"/>
      <c r="C974" s="321"/>
      <c r="D974" s="321"/>
      <c r="E974" s="321"/>
      <c r="F974" s="321"/>
      <c r="G974" s="321"/>
      <c r="H974" s="321"/>
      <c r="I974" s="321"/>
      <c r="J974" s="321"/>
    </row>
    <row r="975" spans="2:10">
      <c r="B975" s="321"/>
      <c r="C975" s="321"/>
      <c r="D975" s="321"/>
      <c r="E975" s="321"/>
      <c r="F975" s="321"/>
      <c r="G975" s="321"/>
      <c r="H975" s="321"/>
      <c r="I975" s="321"/>
      <c r="J975" s="321"/>
    </row>
    <row r="976" spans="2:10">
      <c r="B976" s="321"/>
      <c r="C976" s="321"/>
      <c r="D976" s="321"/>
      <c r="E976" s="321"/>
      <c r="F976" s="321"/>
      <c r="G976" s="321"/>
      <c r="H976" s="321"/>
      <c r="I976" s="321"/>
      <c r="J976" s="321"/>
    </row>
    <row r="977" spans="2:10">
      <c r="B977" s="321"/>
      <c r="C977" s="321"/>
      <c r="D977" s="321"/>
      <c r="E977" s="321"/>
      <c r="F977" s="321"/>
      <c r="G977" s="321"/>
      <c r="H977" s="321"/>
      <c r="I977" s="321"/>
      <c r="J977" s="321"/>
    </row>
    <row r="978" spans="2:10">
      <c r="B978" s="321"/>
      <c r="C978" s="321"/>
      <c r="D978" s="321"/>
      <c r="E978" s="321"/>
      <c r="F978" s="321"/>
      <c r="G978" s="321"/>
      <c r="H978" s="321"/>
      <c r="I978" s="321"/>
      <c r="J978" s="321"/>
    </row>
    <row r="979" spans="2:10">
      <c r="B979" s="321"/>
      <c r="C979" s="321"/>
      <c r="D979" s="321"/>
      <c r="E979" s="321"/>
      <c r="F979" s="321"/>
      <c r="G979" s="321"/>
      <c r="H979" s="321"/>
      <c r="I979" s="321"/>
      <c r="J979" s="321"/>
    </row>
    <row r="980" spans="2:10">
      <c r="B980" s="321"/>
      <c r="C980" s="321"/>
      <c r="D980" s="321"/>
      <c r="E980" s="321"/>
      <c r="F980" s="321"/>
      <c r="G980" s="321"/>
      <c r="H980" s="321"/>
      <c r="I980" s="321"/>
      <c r="J980" s="321"/>
    </row>
    <row r="981" spans="2:10">
      <c r="B981" s="321"/>
      <c r="C981" s="321"/>
      <c r="D981" s="321"/>
      <c r="E981" s="321"/>
      <c r="F981" s="321"/>
      <c r="G981" s="321"/>
      <c r="H981" s="321"/>
      <c r="I981" s="321"/>
      <c r="J981" s="321"/>
    </row>
    <row r="982" spans="2:10">
      <c r="B982" s="321"/>
      <c r="C982" s="321"/>
      <c r="D982" s="321"/>
      <c r="E982" s="321"/>
      <c r="F982" s="321"/>
      <c r="G982" s="321"/>
      <c r="H982" s="321"/>
      <c r="I982" s="321"/>
      <c r="J982" s="321"/>
    </row>
    <row r="983" spans="2:10">
      <c r="B983" s="321"/>
      <c r="C983" s="321"/>
      <c r="D983" s="321"/>
      <c r="E983" s="321"/>
      <c r="F983" s="321"/>
      <c r="G983" s="321"/>
      <c r="H983" s="321"/>
      <c r="I983" s="321"/>
      <c r="J983" s="321"/>
    </row>
    <row r="984" spans="2:10">
      <c r="B984" s="321"/>
      <c r="C984" s="321"/>
      <c r="D984" s="321"/>
      <c r="E984" s="321"/>
      <c r="F984" s="321"/>
      <c r="G984" s="321"/>
      <c r="H984" s="321"/>
      <c r="I984" s="321"/>
      <c r="J984" s="321"/>
    </row>
    <row r="985" spans="2:10">
      <c r="B985" s="321"/>
      <c r="C985" s="321"/>
      <c r="D985" s="321"/>
      <c r="E985" s="321"/>
      <c r="F985" s="321"/>
      <c r="G985" s="321"/>
      <c r="H985" s="321"/>
      <c r="I985" s="321"/>
      <c r="J985" s="321"/>
    </row>
    <row r="986" spans="2:10">
      <c r="B986" s="321"/>
      <c r="C986" s="321"/>
      <c r="D986" s="321"/>
      <c r="E986" s="321"/>
      <c r="F986" s="321"/>
      <c r="G986" s="321"/>
      <c r="H986" s="321"/>
      <c r="I986" s="321"/>
      <c r="J986" s="321"/>
    </row>
    <row r="987" spans="2:10">
      <c r="B987" s="321"/>
      <c r="C987" s="321"/>
      <c r="D987" s="321"/>
      <c r="E987" s="321"/>
      <c r="F987" s="321"/>
      <c r="G987" s="321"/>
      <c r="H987" s="321"/>
      <c r="I987" s="321"/>
      <c r="J987" s="321"/>
    </row>
    <row r="988" spans="2:10">
      <c r="B988" s="321"/>
      <c r="C988" s="321"/>
      <c r="D988" s="321"/>
      <c r="E988" s="321"/>
      <c r="F988" s="321"/>
      <c r="G988" s="321"/>
      <c r="H988" s="321"/>
      <c r="I988" s="321"/>
      <c r="J988" s="321"/>
    </row>
    <row r="989" spans="2:10">
      <c r="B989" s="321"/>
      <c r="C989" s="321"/>
      <c r="D989" s="321"/>
      <c r="E989" s="321"/>
      <c r="F989" s="321"/>
      <c r="G989" s="321"/>
      <c r="H989" s="321"/>
      <c r="I989" s="321"/>
      <c r="J989" s="321"/>
    </row>
    <row r="990" spans="2:10">
      <c r="B990" s="321"/>
      <c r="C990" s="321"/>
      <c r="D990" s="321"/>
      <c r="E990" s="321"/>
      <c r="F990" s="321"/>
      <c r="G990" s="321"/>
      <c r="H990" s="321"/>
      <c r="I990" s="321"/>
      <c r="J990" s="321"/>
    </row>
    <row r="991" spans="2:10">
      <c r="B991" s="321"/>
      <c r="C991" s="321"/>
      <c r="D991" s="321"/>
      <c r="E991" s="321"/>
      <c r="F991" s="321"/>
      <c r="G991" s="321"/>
      <c r="H991" s="321"/>
      <c r="I991" s="321"/>
      <c r="J991" s="321"/>
    </row>
    <row r="992" spans="2:10">
      <c r="B992" s="321"/>
      <c r="C992" s="321"/>
      <c r="D992" s="321"/>
      <c r="E992" s="321"/>
      <c r="F992" s="321"/>
      <c r="G992" s="321"/>
      <c r="H992" s="321"/>
      <c r="I992" s="321"/>
      <c r="J992" s="321"/>
    </row>
    <row r="993" spans="2:10">
      <c r="B993" s="321"/>
      <c r="C993" s="321"/>
      <c r="D993" s="321"/>
      <c r="E993" s="321"/>
      <c r="F993" s="321"/>
      <c r="G993" s="321"/>
      <c r="H993" s="321"/>
      <c r="I993" s="321"/>
      <c r="J993" s="321"/>
    </row>
    <row r="994" spans="2:10">
      <c r="B994" s="321"/>
      <c r="C994" s="321"/>
      <c r="D994" s="321"/>
      <c r="E994" s="321"/>
      <c r="F994" s="321"/>
      <c r="G994" s="321"/>
      <c r="H994" s="321"/>
      <c r="I994" s="321"/>
      <c r="J994" s="321"/>
    </row>
    <row r="995" spans="2:10">
      <c r="B995" s="321"/>
      <c r="C995" s="321"/>
      <c r="D995" s="321"/>
      <c r="E995" s="321"/>
      <c r="F995" s="321"/>
      <c r="G995" s="321"/>
      <c r="H995" s="321"/>
      <c r="I995" s="321"/>
      <c r="J995" s="321"/>
    </row>
    <row r="996" spans="2:10">
      <c r="B996" s="321"/>
      <c r="C996" s="321"/>
      <c r="D996" s="321"/>
      <c r="E996" s="321"/>
      <c r="F996" s="321"/>
      <c r="G996" s="321"/>
      <c r="H996" s="321"/>
      <c r="I996" s="321"/>
      <c r="J996" s="321"/>
    </row>
    <row r="997" spans="2:10">
      <c r="B997" s="321"/>
      <c r="C997" s="321"/>
      <c r="D997" s="321"/>
      <c r="E997" s="321"/>
      <c r="F997" s="321"/>
      <c r="G997" s="321"/>
      <c r="H997" s="321"/>
      <c r="I997" s="321"/>
      <c r="J997" s="321"/>
    </row>
    <row r="998" spans="2:10">
      <c r="B998" s="321"/>
      <c r="C998" s="321"/>
      <c r="D998" s="321"/>
      <c r="E998" s="321"/>
      <c r="F998" s="321"/>
      <c r="G998" s="321"/>
      <c r="H998" s="321"/>
      <c r="I998" s="321"/>
      <c r="J998" s="321"/>
    </row>
    <row r="999" spans="2:10">
      <c r="B999" s="321"/>
      <c r="C999" s="321"/>
      <c r="D999" s="321"/>
      <c r="E999" s="321"/>
      <c r="F999" s="321"/>
      <c r="G999" s="321"/>
      <c r="H999" s="321"/>
      <c r="I999" s="321"/>
      <c r="J999" s="321"/>
    </row>
    <row r="1000" spans="2:10">
      <c r="B1000" s="321"/>
      <c r="C1000" s="321"/>
      <c r="D1000" s="321"/>
      <c r="E1000" s="321"/>
      <c r="F1000" s="321"/>
      <c r="G1000" s="321"/>
      <c r="H1000" s="321"/>
      <c r="I1000" s="321"/>
      <c r="J1000" s="321"/>
    </row>
    <row r="1001" spans="2:10">
      <c r="B1001" s="321"/>
      <c r="C1001" s="321"/>
      <c r="D1001" s="321"/>
      <c r="E1001" s="321"/>
      <c r="F1001" s="321"/>
      <c r="G1001" s="321"/>
      <c r="H1001" s="321"/>
      <c r="I1001" s="321"/>
      <c r="J1001" s="321"/>
    </row>
    <row r="1002" spans="2:10">
      <c r="B1002" s="321"/>
      <c r="C1002" s="321"/>
      <c r="D1002" s="321"/>
      <c r="E1002" s="321"/>
      <c r="F1002" s="321"/>
      <c r="G1002" s="321"/>
      <c r="H1002" s="321"/>
      <c r="I1002" s="321"/>
      <c r="J1002" s="321"/>
    </row>
    <row r="1003" spans="2:10">
      <c r="B1003" s="321"/>
      <c r="C1003" s="321"/>
      <c r="D1003" s="321"/>
      <c r="E1003" s="321"/>
      <c r="F1003" s="321"/>
      <c r="G1003" s="321"/>
      <c r="H1003" s="321"/>
      <c r="I1003" s="321"/>
      <c r="J1003" s="321"/>
    </row>
    <row r="1004" spans="2:10">
      <c r="B1004" s="321"/>
      <c r="C1004" s="321"/>
      <c r="D1004" s="321"/>
      <c r="E1004" s="321"/>
      <c r="F1004" s="321"/>
      <c r="G1004" s="321"/>
      <c r="H1004" s="321"/>
      <c r="I1004" s="321"/>
      <c r="J1004" s="321"/>
    </row>
    <row r="1005" spans="2:10">
      <c r="B1005" s="321"/>
      <c r="C1005" s="321"/>
      <c r="D1005" s="321"/>
      <c r="E1005" s="321"/>
      <c r="F1005" s="321"/>
      <c r="G1005" s="321"/>
      <c r="H1005" s="321"/>
      <c r="I1005" s="321"/>
      <c r="J1005" s="321"/>
    </row>
    <row r="1006" spans="2:10">
      <c r="B1006" s="321"/>
      <c r="C1006" s="321"/>
      <c r="D1006" s="321"/>
      <c r="E1006" s="321"/>
      <c r="F1006" s="321"/>
      <c r="G1006" s="321"/>
      <c r="H1006" s="321"/>
      <c r="I1006" s="321"/>
      <c r="J1006" s="321"/>
    </row>
    <row r="1007" spans="2:10">
      <c r="B1007" s="321"/>
      <c r="C1007" s="321"/>
      <c r="D1007" s="321"/>
      <c r="E1007" s="321"/>
      <c r="F1007" s="321"/>
      <c r="G1007" s="321"/>
      <c r="H1007" s="321"/>
      <c r="I1007" s="321"/>
      <c r="J1007" s="321"/>
    </row>
    <row r="1008" spans="2:10">
      <c r="B1008" s="321"/>
      <c r="C1008" s="321"/>
      <c r="D1008" s="321"/>
      <c r="E1008" s="321"/>
      <c r="F1008" s="321"/>
      <c r="G1008" s="321"/>
      <c r="H1008" s="321"/>
      <c r="I1008" s="321"/>
      <c r="J1008" s="321"/>
    </row>
    <row r="1009" spans="2:10">
      <c r="B1009" s="321"/>
      <c r="C1009" s="321"/>
      <c r="D1009" s="321"/>
      <c r="E1009" s="321"/>
      <c r="F1009" s="321"/>
      <c r="G1009" s="321"/>
      <c r="H1009" s="321"/>
      <c r="I1009" s="321"/>
      <c r="J1009" s="321"/>
    </row>
    <row r="1010" spans="2:10">
      <c r="B1010" s="321"/>
      <c r="C1010" s="321"/>
      <c r="D1010" s="321"/>
      <c r="E1010" s="321"/>
      <c r="F1010" s="321"/>
      <c r="G1010" s="321"/>
      <c r="H1010" s="321"/>
      <c r="I1010" s="321"/>
      <c r="J1010" s="321"/>
    </row>
    <row r="1011" spans="2:10">
      <c r="B1011" s="321"/>
      <c r="C1011" s="321"/>
      <c r="D1011" s="321"/>
      <c r="E1011" s="321"/>
      <c r="F1011" s="321"/>
      <c r="G1011" s="321"/>
      <c r="H1011" s="321"/>
      <c r="I1011" s="321"/>
      <c r="J1011" s="321"/>
    </row>
    <row r="1012" spans="2:10">
      <c r="B1012" s="321"/>
      <c r="C1012" s="321"/>
      <c r="D1012" s="321"/>
      <c r="E1012" s="321"/>
      <c r="F1012" s="321"/>
      <c r="G1012" s="321"/>
      <c r="H1012" s="321"/>
      <c r="I1012" s="321"/>
      <c r="J1012" s="321"/>
    </row>
    <row r="1013" spans="2:10">
      <c r="B1013" s="321"/>
      <c r="C1013" s="321"/>
      <c r="D1013" s="321"/>
      <c r="E1013" s="321"/>
      <c r="F1013" s="321"/>
      <c r="G1013" s="321"/>
      <c r="H1013" s="321"/>
      <c r="I1013" s="321"/>
      <c r="J1013" s="321"/>
    </row>
    <row r="1014" spans="2:10">
      <c r="B1014" s="321"/>
      <c r="C1014" s="321"/>
      <c r="D1014" s="321"/>
      <c r="E1014" s="321"/>
      <c r="F1014" s="321"/>
      <c r="G1014" s="321"/>
      <c r="H1014" s="321"/>
      <c r="I1014" s="321"/>
      <c r="J1014" s="321"/>
    </row>
    <row r="1015" spans="2:10">
      <c r="B1015" s="321"/>
      <c r="C1015" s="321"/>
      <c r="D1015" s="321"/>
      <c r="E1015" s="321"/>
      <c r="F1015" s="321"/>
      <c r="G1015" s="321"/>
      <c r="H1015" s="321"/>
      <c r="I1015" s="321"/>
      <c r="J1015" s="321"/>
    </row>
    <row r="1016" spans="2:10">
      <c r="B1016" s="321"/>
      <c r="C1016" s="321"/>
      <c r="D1016" s="321"/>
      <c r="E1016" s="321"/>
      <c r="F1016" s="321"/>
      <c r="G1016" s="321"/>
      <c r="H1016" s="321"/>
      <c r="I1016" s="321"/>
      <c r="J1016" s="321"/>
    </row>
    <row r="1017" spans="2:10">
      <c r="B1017" s="321"/>
      <c r="C1017" s="321"/>
      <c r="D1017" s="321"/>
      <c r="E1017" s="321"/>
      <c r="F1017" s="321"/>
      <c r="G1017" s="321"/>
      <c r="H1017" s="321"/>
      <c r="I1017" s="321"/>
      <c r="J1017" s="321"/>
    </row>
    <row r="1018" spans="2:10">
      <c r="B1018" s="321"/>
      <c r="C1018" s="321"/>
      <c r="D1018" s="321"/>
      <c r="E1018" s="321"/>
      <c r="F1018" s="321"/>
      <c r="G1018" s="321"/>
      <c r="H1018" s="321"/>
      <c r="I1018" s="321"/>
      <c r="J1018" s="321"/>
    </row>
    <row r="1019" spans="2:10">
      <c r="B1019" s="321"/>
      <c r="C1019" s="321"/>
      <c r="D1019" s="321"/>
      <c r="E1019" s="321"/>
      <c r="F1019" s="321"/>
      <c r="G1019" s="321"/>
      <c r="H1019" s="321"/>
      <c r="I1019" s="321"/>
      <c r="J1019" s="321"/>
    </row>
    <row r="1020" spans="2:10">
      <c r="B1020" s="321"/>
      <c r="C1020" s="321"/>
      <c r="D1020" s="321"/>
      <c r="E1020" s="321"/>
      <c r="F1020" s="321"/>
      <c r="G1020" s="321"/>
      <c r="H1020" s="321"/>
      <c r="I1020" s="321"/>
      <c r="J1020" s="321"/>
    </row>
    <row r="1021" spans="2:10">
      <c r="B1021" s="321"/>
      <c r="C1021" s="321"/>
      <c r="D1021" s="321"/>
      <c r="E1021" s="321"/>
      <c r="F1021" s="321"/>
      <c r="G1021" s="321"/>
      <c r="H1021" s="321"/>
      <c r="I1021" s="321"/>
      <c r="J1021" s="321"/>
    </row>
    <row r="1022" spans="2:10">
      <c r="B1022" s="321"/>
      <c r="C1022" s="321"/>
      <c r="D1022" s="321"/>
      <c r="E1022" s="321"/>
      <c r="F1022" s="321"/>
      <c r="G1022" s="321"/>
      <c r="H1022" s="321"/>
      <c r="I1022" s="321"/>
      <c r="J1022" s="321"/>
    </row>
    <row r="1023" spans="2:10">
      <c r="B1023" s="321"/>
      <c r="C1023" s="321"/>
      <c r="D1023" s="321"/>
      <c r="E1023" s="321"/>
      <c r="F1023" s="321"/>
      <c r="G1023" s="321"/>
      <c r="H1023" s="321"/>
      <c r="I1023" s="321"/>
      <c r="J1023" s="321"/>
    </row>
    <row r="1024" spans="2:10">
      <c r="B1024" s="321"/>
      <c r="C1024" s="321"/>
      <c r="D1024" s="321"/>
      <c r="E1024" s="321"/>
      <c r="F1024" s="321"/>
      <c r="G1024" s="321"/>
      <c r="H1024" s="321"/>
      <c r="I1024" s="321"/>
      <c r="J1024" s="321"/>
    </row>
    <row r="1025" spans="2:10">
      <c r="B1025" s="321"/>
      <c r="C1025" s="321"/>
      <c r="D1025" s="321"/>
      <c r="E1025" s="321"/>
      <c r="F1025" s="321"/>
      <c r="G1025" s="321"/>
      <c r="H1025" s="321"/>
      <c r="I1025" s="321"/>
      <c r="J1025" s="321"/>
    </row>
    <row r="1026" spans="2:10">
      <c r="B1026" s="321"/>
      <c r="C1026" s="321"/>
      <c r="D1026" s="321"/>
      <c r="E1026" s="321"/>
      <c r="F1026" s="321"/>
      <c r="G1026" s="321"/>
      <c r="H1026" s="321"/>
      <c r="I1026" s="321"/>
      <c r="J1026" s="321"/>
    </row>
    <row r="1027" spans="2:10">
      <c r="B1027" s="321"/>
      <c r="C1027" s="321"/>
      <c r="D1027" s="321"/>
      <c r="E1027" s="321"/>
      <c r="F1027" s="321"/>
      <c r="G1027" s="321"/>
      <c r="H1027" s="321"/>
      <c r="I1027" s="321"/>
      <c r="J1027" s="321"/>
    </row>
    <row r="1028" spans="2:10">
      <c r="B1028" s="321"/>
      <c r="C1028" s="321"/>
      <c r="D1028" s="321"/>
      <c r="E1028" s="321"/>
      <c r="F1028" s="321"/>
      <c r="G1028" s="321"/>
      <c r="H1028" s="321"/>
      <c r="I1028" s="321"/>
      <c r="J1028" s="321"/>
    </row>
    <row r="1029" spans="2:10">
      <c r="B1029" s="321"/>
      <c r="C1029" s="321"/>
      <c r="D1029" s="321"/>
      <c r="E1029" s="321"/>
      <c r="F1029" s="321"/>
      <c r="G1029" s="321"/>
      <c r="H1029" s="321"/>
      <c r="I1029" s="321"/>
      <c r="J1029" s="321"/>
    </row>
    <row r="1030" spans="2:10">
      <c r="B1030" s="321"/>
      <c r="C1030" s="321"/>
      <c r="D1030" s="321"/>
      <c r="E1030" s="321"/>
      <c r="F1030" s="321"/>
      <c r="G1030" s="321"/>
      <c r="H1030" s="321"/>
      <c r="I1030" s="321"/>
      <c r="J1030" s="321"/>
    </row>
    <row r="1031" spans="2:10">
      <c r="B1031" s="321"/>
      <c r="C1031" s="321"/>
      <c r="D1031" s="321"/>
      <c r="E1031" s="321"/>
      <c r="F1031" s="321"/>
      <c r="G1031" s="321"/>
      <c r="H1031" s="321"/>
      <c r="I1031" s="321"/>
      <c r="J1031" s="321"/>
    </row>
    <row r="1032" spans="2:10">
      <c r="B1032" s="321"/>
      <c r="C1032" s="321"/>
      <c r="D1032" s="321"/>
      <c r="E1032" s="321"/>
      <c r="F1032" s="321"/>
      <c r="G1032" s="321"/>
      <c r="H1032" s="321"/>
      <c r="I1032" s="321"/>
      <c r="J1032" s="321"/>
    </row>
    <row r="1033" spans="2:10">
      <c r="B1033" s="321"/>
      <c r="C1033" s="321"/>
      <c r="D1033" s="321"/>
      <c r="E1033" s="321"/>
      <c r="F1033" s="321"/>
      <c r="G1033" s="321"/>
      <c r="H1033" s="321"/>
      <c r="I1033" s="321"/>
      <c r="J1033" s="321"/>
    </row>
    <row r="1034" spans="2:10">
      <c r="B1034" s="321"/>
      <c r="C1034" s="321"/>
      <c r="D1034" s="321"/>
      <c r="E1034" s="321"/>
      <c r="F1034" s="321"/>
      <c r="G1034" s="321"/>
      <c r="H1034" s="321"/>
      <c r="I1034" s="321"/>
      <c r="J1034" s="321"/>
    </row>
    <row r="1035" spans="2:10">
      <c r="B1035" s="321"/>
      <c r="C1035" s="321"/>
      <c r="D1035" s="321"/>
      <c r="E1035" s="321"/>
      <c r="F1035" s="321"/>
      <c r="G1035" s="321"/>
      <c r="H1035" s="321"/>
      <c r="I1035" s="321"/>
      <c r="J1035" s="321"/>
    </row>
    <row r="1036" spans="2:10">
      <c r="B1036" s="321"/>
      <c r="C1036" s="321"/>
      <c r="D1036" s="321"/>
      <c r="E1036" s="321"/>
      <c r="F1036" s="321"/>
      <c r="G1036" s="321"/>
      <c r="H1036" s="321"/>
      <c r="I1036" s="321"/>
      <c r="J1036" s="321"/>
    </row>
    <row r="1037" spans="2:10">
      <c r="B1037" s="321"/>
      <c r="C1037" s="321"/>
      <c r="D1037" s="321"/>
      <c r="E1037" s="321"/>
      <c r="F1037" s="321"/>
      <c r="G1037" s="321"/>
      <c r="H1037" s="321"/>
      <c r="I1037" s="321"/>
      <c r="J1037" s="321"/>
    </row>
    <row r="1038" spans="2:10">
      <c r="B1038" s="321"/>
      <c r="C1038" s="321"/>
      <c r="D1038" s="321"/>
      <c r="E1038" s="321"/>
      <c r="F1038" s="321"/>
      <c r="G1038" s="321"/>
      <c r="H1038" s="321"/>
      <c r="I1038" s="321"/>
      <c r="J1038" s="321"/>
    </row>
    <row r="1039" spans="2:10">
      <c r="B1039" s="321"/>
      <c r="C1039" s="321"/>
      <c r="D1039" s="321"/>
      <c r="E1039" s="321"/>
      <c r="F1039" s="321"/>
      <c r="G1039" s="321"/>
      <c r="H1039" s="321"/>
      <c r="I1039" s="321"/>
      <c r="J1039" s="321"/>
    </row>
    <row r="1040" spans="2:10">
      <c r="B1040" s="321"/>
      <c r="C1040" s="321"/>
      <c r="D1040" s="321"/>
      <c r="E1040" s="321"/>
      <c r="F1040" s="321"/>
      <c r="G1040" s="321"/>
      <c r="H1040" s="321"/>
      <c r="I1040" s="321"/>
      <c r="J1040" s="321"/>
    </row>
    <row r="1041" spans="2:10">
      <c r="B1041" s="321"/>
      <c r="C1041" s="321"/>
      <c r="D1041" s="321"/>
      <c r="E1041" s="321"/>
      <c r="F1041" s="321"/>
      <c r="G1041" s="321"/>
      <c r="H1041" s="321"/>
      <c r="I1041" s="321"/>
      <c r="J1041" s="321"/>
    </row>
    <row r="1042" spans="2:10">
      <c r="B1042" s="321"/>
      <c r="C1042" s="321"/>
      <c r="D1042" s="321"/>
      <c r="E1042" s="321"/>
      <c r="F1042" s="321"/>
      <c r="G1042" s="321"/>
      <c r="H1042" s="321"/>
      <c r="I1042" s="321"/>
      <c r="J1042" s="321"/>
    </row>
    <row r="1043" spans="2:10">
      <c r="B1043" s="321"/>
      <c r="C1043" s="321"/>
      <c r="D1043" s="321"/>
      <c r="E1043" s="321"/>
      <c r="F1043" s="321"/>
      <c r="G1043" s="321"/>
      <c r="H1043" s="321"/>
      <c r="I1043" s="321"/>
      <c r="J1043" s="321"/>
    </row>
    <row r="1044" spans="2:10">
      <c r="B1044" s="321"/>
      <c r="C1044" s="321"/>
      <c r="D1044" s="321"/>
      <c r="E1044" s="321"/>
      <c r="F1044" s="321"/>
      <c r="G1044" s="321"/>
      <c r="H1044" s="321"/>
      <c r="I1044" s="321"/>
      <c r="J1044" s="321"/>
    </row>
    <row r="1045" spans="2:10">
      <c r="B1045" s="321"/>
      <c r="C1045" s="321"/>
      <c r="D1045" s="321"/>
      <c r="E1045" s="321"/>
      <c r="F1045" s="321"/>
      <c r="G1045" s="321"/>
      <c r="H1045" s="321"/>
      <c r="I1045" s="321"/>
      <c r="J1045" s="321"/>
    </row>
    <row r="1046" spans="2:10">
      <c r="B1046" s="321"/>
      <c r="C1046" s="321"/>
      <c r="D1046" s="321"/>
      <c r="E1046" s="321"/>
      <c r="F1046" s="321"/>
      <c r="G1046" s="321"/>
      <c r="H1046" s="321"/>
      <c r="I1046" s="321"/>
      <c r="J1046" s="321"/>
    </row>
    <row r="1047" spans="2:10">
      <c r="B1047" s="321"/>
      <c r="C1047" s="321"/>
      <c r="D1047" s="321"/>
      <c r="E1047" s="321"/>
      <c r="F1047" s="321"/>
      <c r="G1047" s="321"/>
      <c r="H1047" s="321"/>
      <c r="I1047" s="321"/>
      <c r="J1047" s="321"/>
    </row>
    <row r="1048" spans="2:10">
      <c r="B1048" s="321"/>
      <c r="C1048" s="321"/>
      <c r="D1048" s="321"/>
      <c r="E1048" s="321"/>
      <c r="F1048" s="321"/>
      <c r="G1048" s="321"/>
      <c r="H1048" s="321"/>
      <c r="I1048" s="321"/>
      <c r="J1048" s="321"/>
    </row>
    <row r="1049" spans="2:10">
      <c r="B1049" s="321"/>
      <c r="C1049" s="321"/>
      <c r="D1049" s="321"/>
      <c r="E1049" s="321"/>
      <c r="F1049" s="321"/>
      <c r="G1049" s="321"/>
      <c r="H1049" s="321"/>
      <c r="I1049" s="321"/>
      <c r="J1049" s="321"/>
    </row>
    <row r="1050" spans="2:10">
      <c r="B1050" s="321"/>
      <c r="C1050" s="321"/>
      <c r="D1050" s="321"/>
      <c r="E1050" s="321"/>
      <c r="F1050" s="321"/>
      <c r="G1050" s="321"/>
      <c r="H1050" s="321"/>
      <c r="I1050" s="321"/>
      <c r="J1050" s="321"/>
    </row>
    <row r="1051" spans="2:10">
      <c r="B1051" s="321"/>
      <c r="C1051" s="321"/>
      <c r="D1051" s="321"/>
      <c r="E1051" s="321"/>
      <c r="F1051" s="321"/>
      <c r="G1051" s="321"/>
      <c r="H1051" s="321"/>
      <c r="I1051" s="321"/>
      <c r="J1051" s="321"/>
    </row>
    <row r="1052" spans="2:10">
      <c r="B1052" s="321"/>
      <c r="C1052" s="321"/>
      <c r="D1052" s="321"/>
      <c r="E1052" s="321"/>
      <c r="F1052" s="321"/>
      <c r="G1052" s="321"/>
      <c r="H1052" s="321"/>
      <c r="I1052" s="321"/>
      <c r="J1052" s="321"/>
    </row>
    <row r="1053" spans="2:10">
      <c r="B1053" s="321"/>
      <c r="C1053" s="321"/>
      <c r="D1053" s="321"/>
      <c r="E1053" s="321"/>
      <c r="F1053" s="321"/>
      <c r="G1053" s="321"/>
      <c r="H1053" s="321"/>
      <c r="I1053" s="321"/>
      <c r="J1053" s="321"/>
    </row>
    <row r="1054" spans="2:10">
      <c r="B1054" s="321"/>
      <c r="C1054" s="321"/>
      <c r="D1054" s="321"/>
      <c r="E1054" s="321"/>
      <c r="F1054" s="321"/>
      <c r="G1054" s="321"/>
      <c r="H1054" s="321"/>
      <c r="I1054" s="321"/>
      <c r="J1054" s="321"/>
    </row>
    <row r="1055" spans="2:10">
      <c r="B1055" s="321"/>
      <c r="C1055" s="321"/>
      <c r="D1055" s="321"/>
      <c r="E1055" s="321"/>
      <c r="F1055" s="321"/>
      <c r="G1055" s="321"/>
      <c r="H1055" s="321"/>
      <c r="I1055" s="321"/>
      <c r="J1055" s="321"/>
    </row>
    <row r="1056" spans="2:10">
      <c r="B1056" s="321"/>
      <c r="C1056" s="321"/>
      <c r="D1056" s="321"/>
      <c r="E1056" s="321"/>
      <c r="F1056" s="321"/>
      <c r="G1056" s="321"/>
      <c r="H1056" s="321"/>
      <c r="I1056" s="321"/>
      <c r="J1056" s="321"/>
    </row>
    <row r="1057" spans="2:10">
      <c r="B1057" s="321"/>
      <c r="C1057" s="321"/>
      <c r="D1057" s="321"/>
      <c r="E1057" s="321"/>
      <c r="F1057" s="321"/>
      <c r="G1057" s="321"/>
      <c r="H1057" s="321"/>
      <c r="I1057" s="321"/>
      <c r="J1057" s="321"/>
    </row>
    <row r="1058" spans="2:10">
      <c r="B1058" s="321"/>
      <c r="C1058" s="321"/>
      <c r="D1058" s="321"/>
      <c r="E1058" s="321"/>
      <c r="F1058" s="321"/>
      <c r="G1058" s="321"/>
      <c r="H1058" s="321"/>
      <c r="I1058" s="321"/>
      <c r="J1058" s="321"/>
    </row>
    <row r="1059" spans="2:10">
      <c r="B1059" s="321"/>
      <c r="C1059" s="321"/>
      <c r="D1059" s="321"/>
      <c r="E1059" s="321"/>
      <c r="F1059" s="321"/>
      <c r="G1059" s="321"/>
      <c r="H1059" s="321"/>
      <c r="I1059" s="321"/>
      <c r="J1059" s="321"/>
    </row>
    <row r="1060" spans="2:10">
      <c r="B1060" s="321"/>
      <c r="C1060" s="321"/>
      <c r="D1060" s="321"/>
      <c r="E1060" s="321"/>
      <c r="F1060" s="321"/>
      <c r="G1060" s="321"/>
      <c r="H1060" s="321"/>
      <c r="I1060" s="321"/>
      <c r="J1060" s="321"/>
    </row>
    <row r="1061" spans="2:10">
      <c r="B1061" s="321"/>
      <c r="C1061" s="321"/>
      <c r="D1061" s="321"/>
      <c r="E1061" s="321"/>
      <c r="F1061" s="321"/>
      <c r="G1061" s="321"/>
      <c r="H1061" s="321"/>
      <c r="I1061" s="321"/>
      <c r="J1061" s="321"/>
    </row>
    <row r="1062" spans="2:10">
      <c r="B1062" s="321"/>
      <c r="C1062" s="321"/>
      <c r="D1062" s="321"/>
      <c r="E1062" s="321"/>
      <c r="F1062" s="321"/>
      <c r="G1062" s="321"/>
      <c r="H1062" s="321"/>
      <c r="I1062" s="321"/>
      <c r="J1062" s="321"/>
    </row>
    <row r="1063" spans="2:10">
      <c r="B1063" s="321"/>
      <c r="C1063" s="321"/>
      <c r="D1063" s="321"/>
      <c r="E1063" s="321"/>
      <c r="F1063" s="321"/>
      <c r="G1063" s="321"/>
      <c r="H1063" s="321"/>
      <c r="I1063" s="321"/>
      <c r="J1063" s="321"/>
    </row>
    <row r="1064" spans="2:10">
      <c r="B1064" s="321"/>
      <c r="C1064" s="321"/>
      <c r="D1064" s="321"/>
      <c r="E1064" s="321"/>
      <c r="F1064" s="321"/>
      <c r="G1064" s="321"/>
      <c r="H1064" s="321"/>
      <c r="I1064" s="321"/>
      <c r="J1064" s="321"/>
    </row>
    <row r="1065" spans="2:10">
      <c r="B1065" s="321"/>
      <c r="C1065" s="321"/>
      <c r="D1065" s="321"/>
      <c r="E1065" s="321"/>
      <c r="F1065" s="321"/>
      <c r="G1065" s="321"/>
      <c r="H1065" s="321"/>
      <c r="I1065" s="321"/>
      <c r="J1065" s="321"/>
    </row>
    <row r="1066" spans="2:10">
      <c r="B1066" s="321"/>
      <c r="C1066" s="321"/>
      <c r="D1066" s="321"/>
      <c r="E1066" s="321"/>
      <c r="F1066" s="321"/>
      <c r="G1066" s="321"/>
      <c r="H1066" s="321"/>
      <c r="I1066" s="321"/>
      <c r="J1066" s="321"/>
    </row>
    <row r="1067" spans="2:10">
      <c r="B1067" s="321"/>
      <c r="C1067" s="321"/>
      <c r="D1067" s="321"/>
      <c r="E1067" s="321"/>
      <c r="F1067" s="321"/>
      <c r="G1067" s="321"/>
      <c r="H1067" s="321"/>
      <c r="I1067" s="321"/>
      <c r="J1067" s="321"/>
    </row>
    <row r="1068" spans="2:10">
      <c r="B1068" s="321"/>
      <c r="C1068" s="321"/>
      <c r="D1068" s="321"/>
      <c r="E1068" s="321"/>
      <c r="F1068" s="321"/>
      <c r="G1068" s="321"/>
      <c r="H1068" s="321"/>
      <c r="I1068" s="321"/>
      <c r="J1068" s="321"/>
    </row>
    <row r="1069" spans="2:10">
      <c r="B1069" s="321"/>
      <c r="C1069" s="321"/>
      <c r="D1069" s="321"/>
      <c r="E1069" s="321"/>
      <c r="F1069" s="321"/>
      <c r="G1069" s="321"/>
      <c r="H1069" s="321"/>
      <c r="I1069" s="321"/>
      <c r="J1069" s="321"/>
    </row>
    <row r="1070" spans="2:10">
      <c r="B1070" s="321"/>
      <c r="C1070" s="321"/>
      <c r="D1070" s="321"/>
      <c r="E1070" s="321"/>
      <c r="F1070" s="321"/>
      <c r="G1070" s="321"/>
      <c r="H1070" s="321"/>
      <c r="I1070" s="321"/>
      <c r="J1070" s="321"/>
    </row>
    <row r="1071" spans="2:10">
      <c r="B1071" s="321"/>
      <c r="C1071" s="321"/>
      <c r="D1071" s="321"/>
      <c r="E1071" s="321"/>
      <c r="F1071" s="321"/>
      <c r="G1071" s="321"/>
      <c r="H1071" s="321"/>
      <c r="I1071" s="321"/>
      <c r="J1071" s="321"/>
    </row>
    <row r="1072" spans="2:10">
      <c r="B1072" s="321"/>
      <c r="C1072" s="321"/>
      <c r="D1072" s="321"/>
      <c r="E1072" s="321"/>
      <c r="F1072" s="321"/>
      <c r="G1072" s="321"/>
      <c r="H1072" s="321"/>
      <c r="I1072" s="321"/>
      <c r="J1072" s="321"/>
    </row>
    <row r="1073" spans="2:10">
      <c r="B1073" s="321"/>
      <c r="C1073" s="321"/>
      <c r="D1073" s="321"/>
      <c r="E1073" s="321"/>
      <c r="F1073" s="321"/>
      <c r="G1073" s="321"/>
      <c r="H1073" s="321"/>
      <c r="I1073" s="321"/>
      <c r="J1073" s="321"/>
    </row>
    <row r="1074" spans="2:10">
      <c r="B1074" s="321"/>
      <c r="C1074" s="321"/>
      <c r="D1074" s="321"/>
      <c r="E1074" s="321"/>
      <c r="F1074" s="321"/>
      <c r="G1074" s="321"/>
      <c r="H1074" s="321"/>
      <c r="I1074" s="321"/>
      <c r="J1074" s="321"/>
    </row>
    <row r="1075" spans="2:10">
      <c r="B1075" s="321"/>
      <c r="C1075" s="321"/>
      <c r="D1075" s="321"/>
      <c r="E1075" s="321"/>
      <c r="F1075" s="321"/>
      <c r="G1075" s="321"/>
      <c r="H1075" s="321"/>
      <c r="I1075" s="321"/>
      <c r="J1075" s="321"/>
    </row>
    <row r="1076" spans="2:10">
      <c r="B1076" s="321"/>
      <c r="C1076" s="321"/>
      <c r="D1076" s="321"/>
      <c r="E1076" s="321"/>
      <c r="F1076" s="321"/>
      <c r="G1076" s="321"/>
      <c r="H1076" s="321"/>
      <c r="I1076" s="321"/>
      <c r="J1076" s="321"/>
    </row>
    <row r="1077" spans="2:10">
      <c r="B1077" s="321"/>
      <c r="C1077" s="321"/>
      <c r="D1077" s="321"/>
      <c r="E1077" s="321"/>
      <c r="F1077" s="321"/>
      <c r="G1077" s="321"/>
      <c r="H1077" s="321"/>
      <c r="I1077" s="321"/>
      <c r="J1077" s="321"/>
    </row>
    <row r="1078" spans="2:10">
      <c r="B1078" s="321"/>
      <c r="C1078" s="321"/>
      <c r="D1078" s="321"/>
      <c r="E1078" s="321"/>
      <c r="F1078" s="321"/>
      <c r="G1078" s="321"/>
      <c r="H1078" s="321"/>
      <c r="I1078" s="321"/>
      <c r="J1078" s="321"/>
    </row>
    <row r="1079" spans="2:10">
      <c r="B1079" s="321"/>
      <c r="C1079" s="321"/>
      <c r="D1079" s="321"/>
      <c r="E1079" s="321"/>
      <c r="F1079" s="321"/>
      <c r="G1079" s="321"/>
      <c r="H1079" s="321"/>
      <c r="I1079" s="321"/>
      <c r="J1079" s="321"/>
    </row>
    <row r="1080" spans="2:10">
      <c r="B1080" s="321"/>
      <c r="C1080" s="321"/>
      <c r="D1080" s="321"/>
      <c r="E1080" s="321"/>
      <c r="F1080" s="321"/>
      <c r="G1080" s="321"/>
      <c r="H1080" s="321"/>
      <c r="I1080" s="321"/>
      <c r="J1080" s="321"/>
    </row>
    <row r="1081" spans="2:10">
      <c r="B1081" s="321"/>
      <c r="C1081" s="321"/>
      <c r="D1081" s="321"/>
      <c r="E1081" s="321"/>
      <c r="F1081" s="321"/>
      <c r="G1081" s="321"/>
      <c r="H1081" s="321"/>
      <c r="I1081" s="321"/>
      <c r="J1081" s="321"/>
    </row>
    <row r="1082" spans="2:10">
      <c r="B1082" s="321"/>
      <c r="C1082" s="321"/>
      <c r="D1082" s="321"/>
      <c r="E1082" s="321"/>
      <c r="F1082" s="321"/>
      <c r="G1082" s="321"/>
      <c r="H1082" s="321"/>
      <c r="I1082" s="321"/>
      <c r="J1082" s="321"/>
    </row>
    <row r="1083" spans="2:10">
      <c r="B1083" s="321"/>
      <c r="C1083" s="321"/>
      <c r="D1083" s="321"/>
      <c r="E1083" s="321"/>
      <c r="F1083" s="321"/>
      <c r="G1083" s="321"/>
      <c r="H1083" s="321"/>
      <c r="I1083" s="321"/>
      <c r="J1083" s="321"/>
    </row>
    <row r="1084" spans="2:10">
      <c r="B1084" s="321"/>
      <c r="C1084" s="321"/>
      <c r="D1084" s="321"/>
      <c r="E1084" s="321"/>
      <c r="F1084" s="321"/>
      <c r="G1084" s="321"/>
      <c r="H1084" s="321"/>
      <c r="I1084" s="321"/>
      <c r="J1084" s="321"/>
    </row>
    <row r="1085" spans="2:10">
      <c r="B1085" s="321"/>
      <c r="C1085" s="321"/>
      <c r="D1085" s="321"/>
      <c r="E1085" s="321"/>
      <c r="F1085" s="321"/>
      <c r="G1085" s="321"/>
      <c r="H1085" s="321"/>
      <c r="I1085" s="321"/>
      <c r="J1085" s="321"/>
    </row>
    <row r="1086" spans="2:10">
      <c r="B1086" s="321"/>
      <c r="C1086" s="321"/>
      <c r="D1086" s="321"/>
      <c r="E1086" s="321"/>
      <c r="F1086" s="321"/>
      <c r="G1086" s="321"/>
      <c r="H1086" s="321"/>
      <c r="I1086" s="321"/>
      <c r="J1086" s="321"/>
    </row>
    <row r="1087" spans="2:10">
      <c r="B1087" s="321"/>
      <c r="C1087" s="321"/>
      <c r="D1087" s="321"/>
      <c r="E1087" s="321"/>
      <c r="F1087" s="321"/>
      <c r="G1087" s="321"/>
      <c r="H1087" s="321"/>
      <c r="I1087" s="321"/>
      <c r="J1087" s="321"/>
    </row>
    <row r="1088" spans="2:10">
      <c r="B1088" s="321"/>
      <c r="C1088" s="321"/>
      <c r="D1088" s="321"/>
      <c r="E1088" s="321"/>
      <c r="F1088" s="321"/>
      <c r="G1088" s="321"/>
      <c r="H1088" s="321"/>
      <c r="I1088" s="321"/>
      <c r="J1088" s="321"/>
    </row>
    <row r="1089" spans="2:10">
      <c r="B1089" s="321"/>
      <c r="C1089" s="321"/>
      <c r="D1089" s="321"/>
      <c r="E1089" s="321"/>
      <c r="F1089" s="321"/>
      <c r="G1089" s="321"/>
      <c r="H1089" s="321"/>
      <c r="I1089" s="321"/>
      <c r="J1089" s="321"/>
    </row>
    <row r="1090" spans="2:10">
      <c r="B1090" s="321"/>
      <c r="C1090" s="321"/>
      <c r="D1090" s="321"/>
      <c r="E1090" s="321"/>
      <c r="F1090" s="321"/>
      <c r="G1090" s="321"/>
      <c r="H1090" s="321"/>
      <c r="I1090" s="321"/>
      <c r="J1090" s="321"/>
    </row>
    <row r="1091" spans="2:10">
      <c r="B1091" s="321"/>
      <c r="C1091" s="321"/>
      <c r="D1091" s="321"/>
      <c r="E1091" s="321"/>
      <c r="F1091" s="321"/>
      <c r="G1091" s="321"/>
      <c r="H1091" s="321"/>
      <c r="I1091" s="321"/>
      <c r="J1091" s="321"/>
    </row>
    <row r="1092" spans="2:10">
      <c r="B1092" s="321"/>
      <c r="C1092" s="321"/>
      <c r="D1092" s="321"/>
      <c r="E1092" s="321"/>
      <c r="F1092" s="321"/>
      <c r="G1092" s="321"/>
      <c r="H1092" s="321"/>
      <c r="I1092" s="321"/>
      <c r="J1092" s="321"/>
    </row>
    <row r="1093" spans="2:10">
      <c r="B1093" s="321"/>
      <c r="C1093" s="321"/>
      <c r="D1093" s="321"/>
      <c r="E1093" s="321"/>
      <c r="F1093" s="321"/>
      <c r="G1093" s="321"/>
      <c r="H1093" s="321"/>
      <c r="I1093" s="321"/>
      <c r="J1093" s="321"/>
    </row>
    <row r="1094" spans="2:10">
      <c r="B1094" s="321"/>
      <c r="C1094" s="321"/>
      <c r="D1094" s="321"/>
      <c r="E1094" s="321"/>
      <c r="F1094" s="321"/>
      <c r="G1094" s="321"/>
      <c r="H1094" s="321"/>
      <c r="I1094" s="321"/>
      <c r="J1094" s="321"/>
    </row>
    <row r="1095" spans="2:10">
      <c r="B1095" s="321"/>
      <c r="C1095" s="321"/>
      <c r="D1095" s="321"/>
      <c r="E1095" s="321"/>
      <c r="F1095" s="321"/>
      <c r="G1095" s="321"/>
      <c r="H1095" s="321"/>
      <c r="I1095" s="321"/>
      <c r="J1095" s="321"/>
    </row>
    <row r="1096" spans="2:10">
      <c r="B1096" s="321"/>
      <c r="C1096" s="321"/>
      <c r="D1096" s="321"/>
      <c r="E1096" s="321"/>
      <c r="F1096" s="321"/>
      <c r="G1096" s="321"/>
      <c r="H1096" s="321"/>
      <c r="I1096" s="321"/>
      <c r="J1096" s="321"/>
    </row>
    <row r="1097" spans="2:10">
      <c r="B1097" s="321"/>
      <c r="C1097" s="321"/>
      <c r="D1097" s="321"/>
      <c r="E1097" s="321"/>
      <c r="F1097" s="321"/>
      <c r="G1097" s="321"/>
      <c r="H1097" s="321"/>
      <c r="I1097" s="321"/>
      <c r="J1097" s="321"/>
    </row>
    <row r="1098" spans="2:10">
      <c r="B1098" s="321"/>
      <c r="C1098" s="321"/>
      <c r="D1098" s="321"/>
      <c r="E1098" s="321"/>
      <c r="F1098" s="321"/>
      <c r="G1098" s="321"/>
      <c r="H1098" s="321"/>
      <c r="I1098" s="321"/>
      <c r="J1098" s="321"/>
    </row>
    <row r="1099" spans="2:10">
      <c r="B1099" s="321"/>
      <c r="C1099" s="321"/>
      <c r="D1099" s="321"/>
      <c r="E1099" s="321"/>
      <c r="F1099" s="321"/>
      <c r="G1099" s="321"/>
      <c r="H1099" s="321"/>
      <c r="I1099" s="321"/>
      <c r="J1099" s="321"/>
    </row>
    <row r="1100" spans="2:10">
      <c r="B1100" s="321"/>
      <c r="C1100" s="321"/>
      <c r="D1100" s="321"/>
      <c r="E1100" s="321"/>
      <c r="F1100" s="321"/>
      <c r="G1100" s="321"/>
      <c r="H1100" s="321"/>
      <c r="I1100" s="321"/>
      <c r="J1100" s="321"/>
    </row>
    <row r="1101" spans="2:10">
      <c r="B1101" s="321"/>
      <c r="C1101" s="321"/>
      <c r="D1101" s="321"/>
      <c r="E1101" s="321"/>
      <c r="F1101" s="321"/>
      <c r="G1101" s="321"/>
      <c r="H1101" s="321"/>
      <c r="I1101" s="321"/>
      <c r="J1101" s="321"/>
    </row>
    <row r="1102" spans="2:10">
      <c r="B1102" s="321"/>
      <c r="C1102" s="321"/>
      <c r="D1102" s="321"/>
      <c r="E1102" s="321"/>
      <c r="F1102" s="321"/>
      <c r="G1102" s="321"/>
      <c r="H1102" s="321"/>
      <c r="I1102" s="321"/>
      <c r="J1102" s="321"/>
    </row>
    <row r="1103" spans="2:10">
      <c r="B1103" s="321"/>
      <c r="C1103" s="321"/>
      <c r="D1103" s="321"/>
      <c r="E1103" s="321"/>
      <c r="F1103" s="321"/>
      <c r="G1103" s="321"/>
      <c r="H1103" s="321"/>
      <c r="I1103" s="321"/>
      <c r="J1103" s="321"/>
    </row>
    <row r="1104" spans="2:10">
      <c r="B1104" s="321"/>
      <c r="C1104" s="321"/>
      <c r="D1104" s="321"/>
      <c r="E1104" s="321"/>
      <c r="F1104" s="321"/>
      <c r="G1104" s="321"/>
      <c r="H1104" s="321"/>
      <c r="I1104" s="321"/>
      <c r="J1104" s="321"/>
    </row>
    <row r="1105" spans="2:10">
      <c r="B1105" s="321"/>
      <c r="C1105" s="321"/>
      <c r="D1105" s="321"/>
      <c r="E1105" s="321"/>
      <c r="F1105" s="321"/>
      <c r="G1105" s="321"/>
      <c r="H1105" s="321"/>
      <c r="I1105" s="321"/>
      <c r="J1105" s="321"/>
    </row>
    <row r="1106" spans="2:10">
      <c r="B1106" s="321"/>
      <c r="C1106" s="321"/>
      <c r="D1106" s="321"/>
      <c r="E1106" s="321"/>
      <c r="F1106" s="321"/>
      <c r="G1106" s="321"/>
      <c r="H1106" s="321"/>
      <c r="I1106" s="321"/>
      <c r="J1106" s="321"/>
    </row>
    <row r="1107" spans="2:10">
      <c r="B1107" s="321"/>
      <c r="C1107" s="321"/>
      <c r="D1107" s="321"/>
      <c r="E1107" s="321"/>
      <c r="F1107" s="321"/>
      <c r="G1107" s="321"/>
      <c r="H1107" s="321"/>
      <c r="I1107" s="321"/>
      <c r="J1107" s="321"/>
    </row>
    <row r="1108" spans="2:10">
      <c r="B1108" s="321"/>
      <c r="C1108" s="321"/>
      <c r="D1108" s="321"/>
      <c r="E1108" s="321"/>
      <c r="F1108" s="321"/>
      <c r="G1108" s="321"/>
      <c r="H1108" s="321"/>
      <c r="I1108" s="321"/>
      <c r="J1108" s="321"/>
    </row>
    <row r="1109" spans="2:10">
      <c r="B1109" s="321"/>
      <c r="C1109" s="321"/>
      <c r="D1109" s="321"/>
      <c r="E1109" s="321"/>
      <c r="F1109" s="321"/>
      <c r="G1109" s="321"/>
      <c r="H1109" s="321"/>
      <c r="I1109" s="321"/>
      <c r="J1109" s="321"/>
    </row>
    <row r="1110" spans="2:10">
      <c r="B1110" s="321"/>
      <c r="C1110" s="321"/>
      <c r="D1110" s="321"/>
      <c r="E1110" s="321"/>
      <c r="F1110" s="321"/>
      <c r="G1110" s="321"/>
      <c r="H1110" s="321"/>
      <c r="I1110" s="321"/>
      <c r="J1110" s="321"/>
    </row>
    <row r="1111" spans="2:10">
      <c r="B1111" s="321"/>
      <c r="C1111" s="321"/>
      <c r="D1111" s="321"/>
      <c r="E1111" s="321"/>
      <c r="F1111" s="321"/>
      <c r="G1111" s="321"/>
      <c r="H1111" s="321"/>
      <c r="I1111" s="321"/>
      <c r="J1111" s="321"/>
    </row>
    <row r="1112" spans="2:10">
      <c r="B1112" s="321"/>
      <c r="C1112" s="321"/>
      <c r="D1112" s="321"/>
      <c r="E1112" s="321"/>
      <c r="F1112" s="321"/>
      <c r="G1112" s="321"/>
      <c r="H1112" s="321"/>
      <c r="I1112" s="321"/>
      <c r="J1112" s="321"/>
    </row>
    <row r="1113" spans="2:10">
      <c r="B1113" s="321"/>
      <c r="C1113" s="321"/>
      <c r="D1113" s="321"/>
      <c r="E1113" s="321"/>
      <c r="F1113" s="321"/>
      <c r="G1113" s="321"/>
      <c r="H1113" s="321"/>
      <c r="I1113" s="321"/>
      <c r="J1113" s="321"/>
    </row>
    <row r="1114" spans="2:10">
      <c r="B1114" s="321"/>
      <c r="C1114" s="321"/>
      <c r="D1114" s="321"/>
      <c r="E1114" s="321"/>
      <c r="F1114" s="321"/>
      <c r="G1114" s="321"/>
      <c r="H1114" s="321"/>
      <c r="I1114" s="321"/>
      <c r="J1114" s="321"/>
    </row>
    <row r="1115" spans="2:10">
      <c r="B1115" s="321"/>
      <c r="C1115" s="321"/>
      <c r="D1115" s="321"/>
      <c r="E1115" s="321"/>
      <c r="F1115" s="321"/>
      <c r="G1115" s="321"/>
      <c r="H1115" s="321"/>
      <c r="I1115" s="321"/>
      <c r="J1115" s="321"/>
    </row>
    <row r="1116" spans="2:10">
      <c r="B1116" s="321"/>
      <c r="C1116" s="321"/>
      <c r="D1116" s="321"/>
      <c r="E1116" s="321"/>
      <c r="F1116" s="321"/>
      <c r="G1116" s="321"/>
      <c r="H1116" s="321"/>
      <c r="I1116" s="321"/>
      <c r="J1116" s="321"/>
    </row>
    <row r="1117" spans="2:10">
      <c r="B1117" s="321"/>
      <c r="C1117" s="321"/>
      <c r="D1117" s="321"/>
      <c r="E1117" s="321"/>
      <c r="F1117" s="321"/>
      <c r="G1117" s="321"/>
      <c r="H1117" s="321"/>
      <c r="I1117" s="321"/>
      <c r="J1117" s="321"/>
    </row>
    <row r="1118" spans="2:10">
      <c r="B1118" s="321"/>
      <c r="C1118" s="321"/>
      <c r="D1118" s="321"/>
      <c r="E1118" s="321"/>
      <c r="F1118" s="321"/>
      <c r="G1118" s="321"/>
      <c r="H1118" s="321"/>
      <c r="I1118" s="321"/>
      <c r="J1118" s="321"/>
    </row>
    <row r="1119" spans="2:10">
      <c r="B1119" s="321"/>
      <c r="C1119" s="321"/>
      <c r="D1119" s="321"/>
      <c r="E1119" s="321"/>
      <c r="F1119" s="321"/>
      <c r="G1119" s="321"/>
      <c r="H1119" s="321"/>
      <c r="I1119" s="321"/>
      <c r="J1119" s="321"/>
    </row>
    <row r="1120" spans="2:10">
      <c r="B1120" s="321"/>
      <c r="C1120" s="321"/>
      <c r="D1120" s="321"/>
      <c r="E1120" s="321"/>
      <c r="F1120" s="321"/>
      <c r="G1120" s="321"/>
      <c r="H1120" s="321"/>
      <c r="I1120" s="321"/>
      <c r="J1120" s="321"/>
    </row>
    <row r="1121" spans="2:10">
      <c r="B1121" s="321"/>
      <c r="C1121" s="321"/>
      <c r="D1121" s="321"/>
      <c r="E1121" s="321"/>
      <c r="F1121" s="321"/>
      <c r="G1121" s="321"/>
      <c r="H1121" s="321"/>
      <c r="I1121" s="321"/>
      <c r="J1121" s="321"/>
    </row>
    <row r="1122" spans="2:10">
      <c r="B1122" s="321"/>
      <c r="C1122" s="321"/>
      <c r="D1122" s="321"/>
      <c r="E1122" s="321"/>
      <c r="F1122" s="321"/>
      <c r="G1122" s="321"/>
      <c r="H1122" s="321"/>
      <c r="I1122" s="321"/>
      <c r="J1122" s="321"/>
    </row>
    <row r="1123" spans="2:10">
      <c r="B1123" s="321"/>
      <c r="C1123" s="321"/>
      <c r="D1123" s="321"/>
      <c r="E1123" s="321"/>
      <c r="F1123" s="321"/>
      <c r="G1123" s="321"/>
      <c r="H1123" s="321"/>
      <c r="I1123" s="321"/>
      <c r="J1123" s="321"/>
    </row>
    <row r="1124" spans="2:10">
      <c r="B1124" s="321"/>
      <c r="C1124" s="321"/>
      <c r="D1124" s="321"/>
      <c r="E1124" s="321"/>
      <c r="F1124" s="321"/>
      <c r="G1124" s="321"/>
      <c r="H1124" s="321"/>
      <c r="I1124" s="321"/>
      <c r="J1124" s="321"/>
    </row>
    <row r="1125" spans="2:10">
      <c r="B1125" s="321"/>
      <c r="C1125" s="321"/>
      <c r="D1125" s="321"/>
      <c r="E1125" s="321"/>
      <c r="F1125" s="321"/>
      <c r="G1125" s="321"/>
      <c r="H1125" s="321"/>
      <c r="I1125" s="321"/>
      <c r="J1125" s="321"/>
    </row>
    <row r="1126" spans="2:10">
      <c r="B1126" s="321"/>
      <c r="C1126" s="321"/>
      <c r="D1126" s="321"/>
      <c r="E1126" s="321"/>
      <c r="F1126" s="321"/>
      <c r="G1126" s="321"/>
      <c r="H1126" s="321"/>
      <c r="I1126" s="321"/>
      <c r="J1126" s="321"/>
    </row>
    <row r="1127" spans="2:10">
      <c r="B1127" s="321"/>
      <c r="C1127" s="321"/>
      <c r="D1127" s="321"/>
      <c r="E1127" s="321"/>
      <c r="F1127" s="321"/>
      <c r="G1127" s="321"/>
      <c r="H1127" s="321"/>
      <c r="I1127" s="321"/>
      <c r="J1127" s="321"/>
    </row>
    <row r="1128" spans="2:10">
      <c r="B1128" s="321"/>
      <c r="C1128" s="321"/>
      <c r="D1128" s="321"/>
      <c r="E1128" s="321"/>
      <c r="F1128" s="321"/>
      <c r="G1128" s="321"/>
      <c r="H1128" s="321"/>
      <c r="I1128" s="321"/>
      <c r="J1128" s="321"/>
    </row>
    <row r="1129" spans="2:10">
      <c r="B1129" s="321"/>
      <c r="C1129" s="321"/>
      <c r="D1129" s="321"/>
      <c r="E1129" s="321"/>
      <c r="F1129" s="321"/>
      <c r="G1129" s="321"/>
      <c r="H1129" s="321"/>
      <c r="I1129" s="321"/>
      <c r="J1129" s="321"/>
    </row>
    <row r="1130" spans="2:10">
      <c r="B1130" s="321"/>
      <c r="C1130" s="321"/>
      <c r="D1130" s="321"/>
      <c r="E1130" s="321"/>
      <c r="F1130" s="321"/>
      <c r="G1130" s="321"/>
      <c r="H1130" s="321"/>
      <c r="I1130" s="321"/>
      <c r="J1130" s="321"/>
    </row>
    <row r="1131" spans="2:10">
      <c r="B1131" s="321"/>
      <c r="C1131" s="321"/>
      <c r="D1131" s="321"/>
      <c r="E1131" s="321"/>
      <c r="F1131" s="321"/>
      <c r="G1131" s="321"/>
      <c r="H1131" s="321"/>
      <c r="I1131" s="321"/>
      <c r="J1131" s="321"/>
    </row>
    <row r="1132" spans="2:10">
      <c r="B1132" s="321"/>
      <c r="C1132" s="321"/>
      <c r="D1132" s="321"/>
      <c r="E1132" s="321"/>
      <c r="F1132" s="321"/>
      <c r="G1132" s="321"/>
      <c r="H1132" s="321"/>
      <c r="I1132" s="321"/>
      <c r="J1132" s="321"/>
    </row>
    <row r="1133" spans="2:10">
      <c r="B1133" s="321"/>
      <c r="C1133" s="321"/>
      <c r="D1133" s="321"/>
      <c r="E1133" s="321"/>
      <c r="F1133" s="321"/>
      <c r="G1133" s="321"/>
      <c r="H1133" s="321"/>
      <c r="I1133" s="321"/>
      <c r="J1133" s="321"/>
    </row>
    <row r="1134" spans="2:10">
      <c r="B1134" s="321"/>
      <c r="C1134" s="321"/>
      <c r="D1134" s="321"/>
      <c r="E1134" s="321"/>
      <c r="F1134" s="321"/>
      <c r="G1134" s="321"/>
      <c r="H1134" s="321"/>
      <c r="I1134" s="321"/>
      <c r="J1134" s="321"/>
    </row>
    <row r="1135" spans="2:10">
      <c r="B1135" s="321"/>
      <c r="C1135" s="321"/>
      <c r="D1135" s="321"/>
      <c r="E1135" s="321"/>
      <c r="F1135" s="321"/>
      <c r="G1135" s="321"/>
      <c r="H1135" s="321"/>
      <c r="I1135" s="321"/>
      <c r="J1135" s="321"/>
    </row>
    <row r="1136" spans="2:10">
      <c r="B1136" s="321"/>
      <c r="C1136" s="321"/>
      <c r="D1136" s="321"/>
      <c r="E1136" s="321"/>
      <c r="F1136" s="321"/>
      <c r="G1136" s="321"/>
      <c r="H1136" s="321"/>
      <c r="I1136" s="321"/>
      <c r="J1136" s="321"/>
    </row>
    <row r="1137" spans="2:10">
      <c r="B1137" s="321"/>
      <c r="C1137" s="321"/>
      <c r="D1137" s="321"/>
      <c r="E1137" s="321"/>
      <c r="F1137" s="321"/>
      <c r="G1137" s="321"/>
      <c r="H1137" s="321"/>
      <c r="I1137" s="321"/>
      <c r="J1137" s="321"/>
    </row>
    <row r="1138" spans="2:10">
      <c r="B1138" s="321"/>
      <c r="C1138" s="321"/>
      <c r="D1138" s="321"/>
      <c r="E1138" s="321"/>
      <c r="F1138" s="321"/>
      <c r="G1138" s="321"/>
      <c r="H1138" s="321"/>
      <c r="I1138" s="321"/>
      <c r="J1138" s="321"/>
    </row>
    <row r="1139" spans="2:10">
      <c r="B1139" s="321"/>
      <c r="C1139" s="321"/>
      <c r="D1139" s="321"/>
      <c r="E1139" s="321"/>
      <c r="F1139" s="321"/>
      <c r="G1139" s="321"/>
      <c r="H1139" s="321"/>
      <c r="I1139" s="321"/>
      <c r="J1139" s="321"/>
    </row>
    <row r="1140" spans="2:10">
      <c r="B1140" s="321"/>
      <c r="C1140" s="321"/>
      <c r="D1140" s="321"/>
      <c r="E1140" s="321"/>
      <c r="F1140" s="321"/>
      <c r="G1140" s="321"/>
      <c r="H1140" s="321"/>
      <c r="I1140" s="321"/>
      <c r="J1140" s="321"/>
    </row>
    <row r="1141" spans="2:10">
      <c r="B1141" s="321"/>
      <c r="C1141" s="321"/>
      <c r="D1141" s="321"/>
      <c r="E1141" s="321"/>
      <c r="F1141" s="321"/>
      <c r="G1141" s="321"/>
      <c r="H1141" s="321"/>
      <c r="I1141" s="321"/>
      <c r="J1141" s="321"/>
    </row>
    <row r="1142" spans="2:10">
      <c r="B1142" s="321"/>
      <c r="C1142" s="321"/>
      <c r="D1142" s="321"/>
      <c r="E1142" s="321"/>
      <c r="F1142" s="321"/>
      <c r="G1142" s="321"/>
      <c r="H1142" s="321"/>
      <c r="I1142" s="321"/>
      <c r="J1142" s="321"/>
    </row>
    <row r="1143" spans="2:10">
      <c r="B1143" s="321"/>
      <c r="C1143" s="321"/>
      <c r="D1143" s="321"/>
      <c r="E1143" s="321"/>
      <c r="F1143" s="321"/>
      <c r="G1143" s="321"/>
      <c r="H1143" s="321"/>
      <c r="I1143" s="321"/>
      <c r="J1143" s="321"/>
    </row>
    <row r="1144" spans="2:10">
      <c r="B1144" s="321"/>
      <c r="C1144" s="321"/>
      <c r="D1144" s="321"/>
      <c r="E1144" s="321"/>
      <c r="F1144" s="321"/>
      <c r="G1144" s="321"/>
      <c r="H1144" s="321"/>
      <c r="I1144" s="321"/>
      <c r="J1144" s="321"/>
    </row>
    <row r="1145" spans="2:10">
      <c r="B1145" s="321"/>
      <c r="C1145" s="321"/>
      <c r="D1145" s="321"/>
      <c r="E1145" s="321"/>
      <c r="F1145" s="321"/>
      <c r="G1145" s="321"/>
      <c r="H1145" s="321"/>
      <c r="I1145" s="321"/>
      <c r="J1145" s="321"/>
    </row>
    <row r="1146" spans="2:10">
      <c r="B1146" s="321"/>
      <c r="C1146" s="321"/>
      <c r="D1146" s="321"/>
      <c r="E1146" s="321"/>
      <c r="F1146" s="321"/>
      <c r="G1146" s="321"/>
      <c r="H1146" s="321"/>
      <c r="I1146" s="321"/>
      <c r="J1146" s="321"/>
    </row>
    <row r="1147" spans="2:10">
      <c r="B1147" s="321"/>
      <c r="C1147" s="321"/>
      <c r="D1147" s="321"/>
      <c r="E1147" s="321"/>
      <c r="F1147" s="321"/>
      <c r="G1147" s="321"/>
      <c r="H1147" s="321"/>
      <c r="I1147" s="321"/>
      <c r="J1147" s="321"/>
    </row>
    <row r="1148" spans="2:10">
      <c r="B1148" s="321"/>
      <c r="C1148" s="321"/>
      <c r="D1148" s="321"/>
      <c r="E1148" s="321"/>
      <c r="F1148" s="321"/>
      <c r="G1148" s="321"/>
      <c r="H1148" s="321"/>
      <c r="I1148" s="321"/>
      <c r="J1148" s="321"/>
    </row>
    <row r="1149" spans="2:10">
      <c r="B1149" s="321"/>
      <c r="C1149" s="321"/>
      <c r="D1149" s="321"/>
      <c r="E1149" s="321"/>
      <c r="F1149" s="321"/>
      <c r="G1149" s="321"/>
      <c r="H1149" s="321"/>
      <c r="I1149" s="321"/>
      <c r="J1149" s="321"/>
    </row>
    <row r="1150" spans="2:10">
      <c r="B1150" s="321"/>
      <c r="C1150" s="321"/>
      <c r="D1150" s="321"/>
      <c r="E1150" s="321"/>
      <c r="F1150" s="321"/>
      <c r="G1150" s="321"/>
      <c r="H1150" s="321"/>
      <c r="I1150" s="321"/>
      <c r="J1150" s="321"/>
    </row>
    <row r="1151" spans="2:10">
      <c r="B1151" s="321"/>
      <c r="C1151" s="321"/>
      <c r="D1151" s="321"/>
      <c r="E1151" s="321"/>
      <c r="F1151" s="321"/>
      <c r="G1151" s="321"/>
      <c r="H1151" s="321"/>
      <c r="I1151" s="321"/>
      <c r="J1151" s="321"/>
    </row>
    <row r="1152" spans="2:10">
      <c r="B1152" s="321"/>
      <c r="C1152" s="321"/>
      <c r="D1152" s="321"/>
      <c r="E1152" s="321"/>
      <c r="F1152" s="321"/>
      <c r="G1152" s="321"/>
      <c r="H1152" s="321"/>
      <c r="I1152" s="321"/>
      <c r="J1152" s="321"/>
    </row>
    <row r="1153" spans="2:10">
      <c r="B1153" s="321"/>
      <c r="C1153" s="321"/>
      <c r="D1153" s="321"/>
      <c r="E1153" s="321"/>
      <c r="F1153" s="321"/>
      <c r="G1153" s="321"/>
      <c r="H1153" s="321"/>
      <c r="I1153" s="321"/>
      <c r="J1153" s="321"/>
    </row>
    <row r="1154" spans="2:10">
      <c r="B1154" s="321"/>
      <c r="C1154" s="321"/>
      <c r="D1154" s="321"/>
      <c r="E1154" s="321"/>
      <c r="F1154" s="321"/>
      <c r="G1154" s="321"/>
      <c r="H1154" s="321"/>
      <c r="I1154" s="321"/>
      <c r="J1154" s="321"/>
    </row>
    <row r="1155" spans="2:10">
      <c r="B1155" s="321"/>
      <c r="C1155" s="321"/>
      <c r="D1155" s="321"/>
      <c r="E1155" s="321"/>
      <c r="F1155" s="321"/>
      <c r="G1155" s="321"/>
      <c r="H1155" s="321"/>
      <c r="I1155" s="321"/>
      <c r="J1155" s="321"/>
    </row>
    <row r="1156" spans="2:10">
      <c r="B1156" s="321"/>
      <c r="C1156" s="321"/>
      <c r="D1156" s="321"/>
      <c r="E1156" s="321"/>
      <c r="F1156" s="321"/>
      <c r="G1156" s="321"/>
      <c r="H1156" s="321"/>
      <c r="I1156" s="321"/>
      <c r="J1156" s="321"/>
    </row>
    <row r="1157" spans="2:10">
      <c r="B1157" s="321"/>
      <c r="C1157" s="321"/>
      <c r="D1157" s="321"/>
      <c r="E1157" s="321"/>
      <c r="F1157" s="321"/>
      <c r="G1157" s="321"/>
      <c r="H1157" s="321"/>
      <c r="I1157" s="321"/>
      <c r="J1157" s="321"/>
    </row>
    <row r="1158" spans="2:10">
      <c r="B1158" s="321"/>
      <c r="C1158" s="321"/>
      <c r="D1158" s="321"/>
      <c r="E1158" s="321"/>
      <c r="F1158" s="321"/>
      <c r="G1158" s="321"/>
      <c r="H1158" s="321"/>
      <c r="I1158" s="321"/>
      <c r="J1158" s="321"/>
    </row>
    <row r="1159" spans="2:10">
      <c r="B1159" s="321"/>
      <c r="C1159" s="321"/>
      <c r="D1159" s="321"/>
      <c r="E1159" s="321"/>
      <c r="F1159" s="321"/>
      <c r="G1159" s="321"/>
      <c r="H1159" s="321"/>
      <c r="I1159" s="321"/>
      <c r="J1159" s="321"/>
    </row>
    <row r="1160" spans="2:10">
      <c r="B1160" s="321"/>
      <c r="C1160" s="321"/>
      <c r="D1160" s="321"/>
      <c r="E1160" s="321"/>
      <c r="F1160" s="321"/>
      <c r="G1160" s="321"/>
      <c r="H1160" s="321"/>
      <c r="I1160" s="321"/>
      <c r="J1160" s="321"/>
    </row>
    <row r="1161" spans="2:10">
      <c r="B1161" s="321"/>
      <c r="C1161" s="321"/>
      <c r="D1161" s="321"/>
      <c r="E1161" s="321"/>
      <c r="F1161" s="321"/>
      <c r="G1161" s="321"/>
      <c r="H1161" s="321"/>
      <c r="I1161" s="321"/>
      <c r="J1161" s="321"/>
    </row>
    <row r="1162" spans="2:10">
      <c r="B1162" s="321"/>
      <c r="C1162" s="321"/>
      <c r="D1162" s="321"/>
      <c r="E1162" s="321"/>
      <c r="F1162" s="321"/>
      <c r="G1162" s="321"/>
      <c r="H1162" s="321"/>
      <c r="I1162" s="321"/>
      <c r="J1162" s="321"/>
    </row>
    <row r="1163" spans="2:10">
      <c r="B1163" s="321"/>
      <c r="C1163" s="321"/>
      <c r="D1163" s="321"/>
      <c r="E1163" s="321"/>
      <c r="F1163" s="321"/>
      <c r="G1163" s="321"/>
      <c r="H1163" s="321"/>
      <c r="I1163" s="321"/>
      <c r="J1163" s="321"/>
    </row>
    <row r="1164" spans="2:10">
      <c r="B1164" s="321"/>
      <c r="C1164" s="321"/>
      <c r="D1164" s="321"/>
      <c r="E1164" s="321"/>
      <c r="F1164" s="321"/>
      <c r="G1164" s="321"/>
      <c r="H1164" s="321"/>
      <c r="I1164" s="321"/>
      <c r="J1164" s="321"/>
    </row>
    <row r="1165" spans="2:10">
      <c r="B1165" s="321"/>
      <c r="C1165" s="321"/>
      <c r="D1165" s="321"/>
      <c r="E1165" s="321"/>
      <c r="F1165" s="321"/>
      <c r="G1165" s="321"/>
      <c r="H1165" s="321"/>
      <c r="I1165" s="321"/>
      <c r="J1165" s="321"/>
    </row>
    <row r="1166" spans="2:10">
      <c r="B1166" s="321"/>
      <c r="C1166" s="321"/>
      <c r="D1166" s="321"/>
      <c r="E1166" s="321"/>
      <c r="F1166" s="321"/>
      <c r="G1166" s="321"/>
      <c r="H1166" s="321"/>
      <c r="I1166" s="321"/>
      <c r="J1166" s="321"/>
    </row>
    <row r="1167" spans="2:10">
      <c r="B1167" s="321"/>
      <c r="C1167" s="321"/>
      <c r="D1167" s="321"/>
      <c r="E1167" s="321"/>
      <c r="F1167" s="321"/>
      <c r="G1167" s="321"/>
      <c r="H1167" s="321"/>
      <c r="I1167" s="321"/>
      <c r="J1167" s="321"/>
    </row>
    <row r="1168" spans="2:10">
      <c r="B1168" s="321"/>
      <c r="C1168" s="321"/>
      <c r="D1168" s="321"/>
      <c r="E1168" s="321"/>
      <c r="F1168" s="321"/>
      <c r="G1168" s="321"/>
      <c r="H1168" s="321"/>
      <c r="I1168" s="321"/>
      <c r="J1168" s="321"/>
    </row>
    <row r="1169" spans="2:10">
      <c r="B1169" s="321"/>
      <c r="C1169" s="321"/>
      <c r="D1169" s="321"/>
      <c r="E1169" s="321"/>
      <c r="F1169" s="321"/>
      <c r="G1169" s="321"/>
      <c r="H1169" s="321"/>
      <c r="I1169" s="321"/>
      <c r="J1169" s="321"/>
    </row>
    <row r="1170" spans="2:10">
      <c r="B1170" s="321"/>
      <c r="C1170" s="321"/>
      <c r="D1170" s="321"/>
      <c r="E1170" s="321"/>
      <c r="F1170" s="321"/>
      <c r="G1170" s="321"/>
      <c r="H1170" s="321"/>
      <c r="I1170" s="321"/>
      <c r="J1170" s="321"/>
    </row>
    <row r="1171" spans="2:10">
      <c r="B1171" s="321"/>
      <c r="C1171" s="321"/>
      <c r="D1171" s="321"/>
      <c r="E1171" s="321"/>
      <c r="F1171" s="321"/>
      <c r="G1171" s="321"/>
      <c r="H1171" s="321"/>
      <c r="I1171" s="321"/>
      <c r="J1171" s="321"/>
    </row>
    <row r="1172" spans="2:10">
      <c r="B1172" s="321"/>
      <c r="C1172" s="321"/>
      <c r="D1172" s="321"/>
      <c r="E1172" s="321"/>
      <c r="F1172" s="321"/>
      <c r="G1172" s="321"/>
      <c r="H1172" s="321"/>
      <c r="I1172" s="321"/>
      <c r="J1172" s="321"/>
    </row>
    <row r="1173" spans="2:10">
      <c r="B1173" s="321"/>
      <c r="C1173" s="321"/>
      <c r="D1173" s="321"/>
      <c r="E1173" s="321"/>
      <c r="F1173" s="321"/>
      <c r="G1173" s="321"/>
      <c r="H1173" s="321"/>
      <c r="I1173" s="321"/>
      <c r="J1173" s="321"/>
    </row>
    <row r="1174" spans="2:10">
      <c r="B1174" s="321"/>
      <c r="C1174" s="321"/>
      <c r="D1174" s="321"/>
      <c r="E1174" s="321"/>
      <c r="F1174" s="321"/>
      <c r="G1174" s="321"/>
      <c r="H1174" s="321"/>
      <c r="I1174" s="321"/>
      <c r="J1174" s="321"/>
    </row>
    <row r="1175" spans="2:10">
      <c r="B1175" s="321"/>
      <c r="C1175" s="321"/>
      <c r="D1175" s="321"/>
      <c r="E1175" s="321"/>
      <c r="F1175" s="321"/>
      <c r="G1175" s="321"/>
      <c r="H1175" s="321"/>
      <c r="I1175" s="321"/>
      <c r="J1175" s="321"/>
    </row>
    <row r="1176" spans="2:10">
      <c r="B1176" s="321"/>
      <c r="C1176" s="321"/>
      <c r="D1176" s="321"/>
      <c r="E1176" s="321"/>
      <c r="F1176" s="321"/>
      <c r="G1176" s="321"/>
      <c r="H1176" s="321"/>
      <c r="I1176" s="321"/>
      <c r="J1176" s="321"/>
    </row>
    <row r="1177" spans="2:10">
      <c r="B1177" s="321"/>
      <c r="C1177" s="321"/>
      <c r="D1177" s="321"/>
      <c r="E1177" s="321"/>
      <c r="F1177" s="321"/>
      <c r="G1177" s="321"/>
      <c r="H1177" s="321"/>
      <c r="I1177" s="321"/>
      <c r="J1177" s="321"/>
    </row>
    <row r="1178" spans="2:10">
      <c r="B1178" s="321"/>
      <c r="C1178" s="321"/>
      <c r="D1178" s="321"/>
      <c r="E1178" s="321"/>
      <c r="F1178" s="321"/>
      <c r="G1178" s="321"/>
      <c r="H1178" s="321"/>
      <c r="I1178" s="321"/>
      <c r="J1178" s="321"/>
    </row>
    <row r="1179" spans="2:10">
      <c r="B1179" s="321"/>
      <c r="C1179" s="321"/>
      <c r="D1179" s="321"/>
      <c r="E1179" s="321"/>
      <c r="F1179" s="321"/>
      <c r="G1179" s="321"/>
      <c r="H1179" s="321"/>
      <c r="I1179" s="321"/>
      <c r="J1179" s="321"/>
    </row>
    <row r="1180" spans="2:10">
      <c r="B1180" s="321"/>
      <c r="C1180" s="321"/>
      <c r="D1180" s="321"/>
      <c r="E1180" s="321"/>
      <c r="F1180" s="321"/>
      <c r="G1180" s="321"/>
      <c r="H1180" s="321"/>
      <c r="I1180" s="321"/>
      <c r="J1180" s="321"/>
    </row>
    <row r="1181" spans="2:10">
      <c r="B1181" s="321"/>
      <c r="C1181" s="321"/>
      <c r="D1181" s="321"/>
      <c r="E1181" s="321"/>
      <c r="F1181" s="321"/>
      <c r="G1181" s="321"/>
      <c r="H1181" s="321"/>
      <c r="I1181" s="321"/>
      <c r="J1181" s="321"/>
    </row>
    <row r="1182" spans="2:10">
      <c r="B1182" s="321"/>
      <c r="C1182" s="321"/>
      <c r="D1182" s="321"/>
      <c r="E1182" s="321"/>
      <c r="F1182" s="321"/>
      <c r="G1182" s="321"/>
      <c r="H1182" s="321"/>
      <c r="I1182" s="321"/>
      <c r="J1182" s="321"/>
    </row>
    <row r="1183" spans="2:10">
      <c r="B1183" s="321"/>
      <c r="C1183" s="321"/>
      <c r="D1183" s="321"/>
      <c r="E1183" s="321"/>
      <c r="F1183" s="321"/>
      <c r="G1183" s="321"/>
      <c r="H1183" s="321"/>
      <c r="I1183" s="321"/>
      <c r="J1183" s="321"/>
    </row>
    <row r="1184" spans="2:10">
      <c r="B1184" s="321"/>
      <c r="C1184" s="321"/>
      <c r="D1184" s="321"/>
      <c r="E1184" s="321"/>
      <c r="F1184" s="321"/>
      <c r="G1184" s="321"/>
      <c r="H1184" s="321"/>
      <c r="I1184" s="321"/>
      <c r="J1184" s="321"/>
    </row>
    <row r="1185" spans="2:10">
      <c r="B1185" s="321"/>
      <c r="C1185" s="321"/>
      <c r="D1185" s="321"/>
      <c r="E1185" s="321"/>
      <c r="F1185" s="321"/>
      <c r="G1185" s="321"/>
      <c r="H1185" s="321"/>
      <c r="I1185" s="321"/>
      <c r="J1185" s="321"/>
    </row>
    <row r="1186" spans="2:10">
      <c r="B1186" s="321"/>
      <c r="C1186" s="321"/>
      <c r="D1186" s="321"/>
      <c r="E1186" s="321"/>
      <c r="F1186" s="321"/>
      <c r="G1186" s="321"/>
      <c r="H1186" s="321"/>
      <c r="I1186" s="321"/>
      <c r="J1186" s="321"/>
    </row>
    <row r="1187" spans="2:10">
      <c r="B1187" s="321"/>
      <c r="C1187" s="321"/>
      <c r="D1187" s="321"/>
      <c r="E1187" s="321"/>
      <c r="F1187" s="321"/>
      <c r="G1187" s="321"/>
      <c r="H1187" s="321"/>
      <c r="I1187" s="321"/>
      <c r="J1187" s="321"/>
    </row>
    <row r="1188" spans="2:10">
      <c r="B1188" s="321"/>
      <c r="C1188" s="321"/>
      <c r="D1188" s="321"/>
      <c r="E1188" s="321"/>
      <c r="F1188" s="321"/>
      <c r="G1188" s="321"/>
      <c r="H1188" s="321"/>
      <c r="I1188" s="321"/>
      <c r="J1188" s="321"/>
    </row>
    <row r="1189" spans="2:10">
      <c r="B1189" s="321"/>
      <c r="C1189" s="321"/>
      <c r="D1189" s="321"/>
      <c r="E1189" s="321"/>
      <c r="F1189" s="321"/>
      <c r="G1189" s="321"/>
      <c r="H1189" s="321"/>
      <c r="I1189" s="321"/>
      <c r="J1189" s="321"/>
    </row>
    <row r="1190" spans="2:10">
      <c r="B1190" s="321"/>
      <c r="C1190" s="321"/>
      <c r="D1190" s="321"/>
      <c r="E1190" s="321"/>
      <c r="F1190" s="321"/>
      <c r="G1190" s="321"/>
      <c r="H1190" s="321"/>
      <c r="I1190" s="321"/>
      <c r="J1190" s="321"/>
    </row>
    <row r="1191" spans="2:10">
      <c r="B1191" s="321"/>
      <c r="C1191" s="321"/>
      <c r="D1191" s="321"/>
      <c r="E1191" s="321"/>
      <c r="F1191" s="321"/>
      <c r="G1191" s="321"/>
      <c r="H1191" s="321"/>
      <c r="I1191" s="321"/>
      <c r="J1191" s="321"/>
    </row>
    <row r="1192" spans="2:10">
      <c r="B1192" s="321"/>
      <c r="C1192" s="321"/>
      <c r="D1192" s="321"/>
      <c r="E1192" s="321"/>
      <c r="F1192" s="321"/>
      <c r="G1192" s="321"/>
      <c r="H1192" s="321"/>
      <c r="I1192" s="321"/>
      <c r="J1192" s="321"/>
    </row>
    <row r="1193" spans="2:10">
      <c r="B1193" s="321"/>
      <c r="C1193" s="321"/>
      <c r="D1193" s="321"/>
      <c r="E1193" s="321"/>
      <c r="F1193" s="321"/>
      <c r="G1193" s="321"/>
      <c r="H1193" s="321"/>
      <c r="I1193" s="321"/>
      <c r="J1193" s="321"/>
    </row>
    <row r="1194" spans="2:10">
      <c r="B1194" s="321"/>
      <c r="C1194" s="321"/>
      <c r="D1194" s="321"/>
      <c r="E1194" s="321"/>
      <c r="F1194" s="321"/>
      <c r="G1194" s="321"/>
      <c r="H1194" s="321"/>
      <c r="I1194" s="321"/>
      <c r="J1194" s="321"/>
    </row>
    <row r="1195" spans="2:10">
      <c r="B1195" s="321"/>
      <c r="C1195" s="321"/>
      <c r="D1195" s="321"/>
      <c r="E1195" s="321"/>
      <c r="F1195" s="321"/>
      <c r="G1195" s="321"/>
      <c r="H1195" s="321"/>
      <c r="I1195" s="321"/>
      <c r="J1195" s="321"/>
    </row>
    <row r="1196" spans="2:10">
      <c r="B1196" s="321"/>
      <c r="C1196" s="321"/>
      <c r="D1196" s="321"/>
      <c r="E1196" s="321"/>
      <c r="F1196" s="321"/>
      <c r="G1196" s="321"/>
      <c r="H1196" s="321"/>
      <c r="I1196" s="321"/>
      <c r="J1196" s="321"/>
    </row>
    <row r="1197" spans="2:10">
      <c r="B1197" s="321"/>
      <c r="C1197" s="321"/>
      <c r="D1197" s="321"/>
      <c r="E1197" s="321"/>
      <c r="F1197" s="321"/>
      <c r="G1197" s="321"/>
      <c r="H1197" s="321"/>
      <c r="I1197" s="321"/>
      <c r="J1197" s="321"/>
    </row>
    <row r="1198" spans="2:10">
      <c r="B1198" s="321"/>
      <c r="C1198" s="321"/>
      <c r="D1198" s="321"/>
      <c r="E1198" s="321"/>
      <c r="F1198" s="321"/>
      <c r="G1198" s="321"/>
      <c r="H1198" s="321"/>
      <c r="I1198" s="321"/>
      <c r="J1198" s="321"/>
    </row>
    <row r="1199" spans="2:10">
      <c r="B1199" s="321"/>
      <c r="C1199" s="321"/>
      <c r="D1199" s="321"/>
      <c r="E1199" s="321"/>
      <c r="F1199" s="321"/>
      <c r="G1199" s="321"/>
      <c r="H1199" s="321"/>
      <c r="I1199" s="321"/>
      <c r="J1199" s="321"/>
    </row>
    <row r="1200" spans="2:10">
      <c r="B1200" s="321"/>
      <c r="C1200" s="321"/>
      <c r="D1200" s="321"/>
      <c r="E1200" s="321"/>
      <c r="F1200" s="321"/>
      <c r="G1200" s="321"/>
      <c r="H1200" s="321"/>
      <c r="I1200" s="321"/>
      <c r="J1200" s="321"/>
    </row>
    <row r="1201" spans="2:10">
      <c r="B1201" s="321"/>
      <c r="C1201" s="321"/>
      <c r="D1201" s="321"/>
      <c r="E1201" s="321"/>
      <c r="F1201" s="321"/>
      <c r="G1201" s="321"/>
      <c r="H1201" s="321"/>
      <c r="I1201" s="321"/>
      <c r="J1201" s="321"/>
    </row>
    <row r="1202" spans="2:10">
      <c r="B1202" s="321"/>
      <c r="C1202" s="321"/>
      <c r="D1202" s="321"/>
      <c r="E1202" s="321"/>
      <c r="F1202" s="321"/>
      <c r="G1202" s="321"/>
      <c r="H1202" s="321"/>
      <c r="I1202" s="321"/>
      <c r="J1202" s="321"/>
    </row>
    <row r="1203" spans="2:10">
      <c r="B1203" s="321"/>
      <c r="C1203" s="321"/>
      <c r="D1203" s="321"/>
      <c r="E1203" s="321"/>
      <c r="F1203" s="321"/>
      <c r="G1203" s="321"/>
      <c r="H1203" s="321"/>
      <c r="I1203" s="321"/>
      <c r="J1203" s="321"/>
    </row>
    <row r="1204" spans="2:10">
      <c r="B1204" s="321"/>
      <c r="C1204" s="321"/>
      <c r="D1204" s="321"/>
      <c r="E1204" s="321"/>
      <c r="F1204" s="321"/>
      <c r="G1204" s="321"/>
      <c r="H1204" s="321"/>
      <c r="I1204" s="321"/>
      <c r="J1204" s="321"/>
    </row>
    <row r="1205" spans="2:10">
      <c r="B1205" s="321"/>
      <c r="C1205" s="321"/>
      <c r="D1205" s="321"/>
      <c r="E1205" s="321"/>
      <c r="F1205" s="321"/>
      <c r="G1205" s="321"/>
      <c r="H1205" s="321"/>
      <c r="I1205" s="321"/>
      <c r="J1205" s="321"/>
    </row>
    <row r="1206" spans="2:10">
      <c r="B1206" s="321"/>
      <c r="C1206" s="321"/>
      <c r="D1206" s="321"/>
      <c r="E1206" s="321"/>
      <c r="F1206" s="321"/>
      <c r="G1206" s="321"/>
      <c r="H1206" s="321"/>
      <c r="I1206" s="321"/>
      <c r="J1206" s="321"/>
    </row>
    <row r="1207" spans="2:10">
      <c r="B1207" s="321"/>
      <c r="C1207" s="321"/>
      <c r="D1207" s="321"/>
      <c r="E1207" s="321"/>
      <c r="F1207" s="321"/>
      <c r="G1207" s="321"/>
      <c r="H1207" s="321"/>
      <c r="I1207" s="321"/>
      <c r="J1207" s="321"/>
    </row>
    <row r="1208" spans="2:10">
      <c r="B1208" s="321"/>
      <c r="C1208" s="321"/>
      <c r="D1208" s="321"/>
      <c r="E1208" s="321"/>
      <c r="F1208" s="321"/>
      <c r="G1208" s="321"/>
      <c r="H1208" s="321"/>
      <c r="I1208" s="321"/>
      <c r="J1208" s="321"/>
    </row>
    <row r="1209" spans="2:10">
      <c r="B1209" s="321"/>
      <c r="C1209" s="321"/>
      <c r="D1209" s="321"/>
      <c r="E1209" s="321"/>
      <c r="F1209" s="321"/>
      <c r="G1209" s="321"/>
      <c r="H1209" s="321"/>
      <c r="I1209" s="321"/>
      <c r="J1209" s="321"/>
    </row>
    <row r="1210" spans="2:10">
      <c r="B1210" s="321"/>
      <c r="C1210" s="321"/>
      <c r="D1210" s="321"/>
      <c r="E1210" s="321"/>
      <c r="F1210" s="321"/>
      <c r="G1210" s="321"/>
      <c r="H1210" s="321"/>
      <c r="I1210" s="321"/>
      <c r="J1210" s="321"/>
    </row>
    <row r="1211" spans="2:10">
      <c r="B1211" s="321"/>
      <c r="C1211" s="321"/>
      <c r="D1211" s="321"/>
      <c r="E1211" s="321"/>
      <c r="F1211" s="321"/>
      <c r="G1211" s="321"/>
      <c r="H1211" s="321"/>
      <c r="I1211" s="321"/>
      <c r="J1211" s="321"/>
    </row>
    <row r="1212" spans="2:10">
      <c r="B1212" s="321"/>
      <c r="C1212" s="321"/>
      <c r="D1212" s="321"/>
      <c r="E1212" s="321"/>
      <c r="F1212" s="321"/>
      <c r="G1212" s="321"/>
      <c r="H1212" s="321"/>
      <c r="I1212" s="321"/>
      <c r="J1212" s="321"/>
    </row>
    <row r="1213" spans="2:10">
      <c r="B1213" s="321"/>
      <c r="C1213" s="321"/>
      <c r="D1213" s="321"/>
      <c r="E1213" s="321"/>
      <c r="F1213" s="321"/>
      <c r="G1213" s="321"/>
      <c r="H1213" s="321"/>
      <c r="I1213" s="321"/>
      <c r="J1213" s="321"/>
    </row>
    <row r="1214" spans="2:10">
      <c r="B1214" s="321"/>
      <c r="C1214" s="321"/>
      <c r="D1214" s="321"/>
      <c r="E1214" s="321"/>
      <c r="F1214" s="321"/>
      <c r="G1214" s="321"/>
      <c r="H1214" s="321"/>
      <c r="I1214" s="321"/>
      <c r="J1214" s="321"/>
    </row>
    <row r="1215" spans="2:10">
      <c r="B1215" s="321"/>
      <c r="C1215" s="321"/>
      <c r="D1215" s="321"/>
      <c r="E1215" s="321"/>
      <c r="F1215" s="321"/>
      <c r="G1215" s="321"/>
      <c r="H1215" s="321"/>
      <c r="I1215" s="321"/>
      <c r="J1215" s="321"/>
    </row>
    <row r="1216" spans="2:10">
      <c r="B1216" s="321"/>
      <c r="C1216" s="321"/>
      <c r="D1216" s="321"/>
      <c r="E1216" s="321"/>
      <c r="F1216" s="321"/>
      <c r="G1216" s="321"/>
      <c r="H1216" s="321"/>
      <c r="I1216" s="321"/>
      <c r="J1216" s="321"/>
    </row>
    <row r="1217" spans="2:10">
      <c r="B1217" s="321"/>
      <c r="C1217" s="321"/>
      <c r="D1217" s="321"/>
      <c r="E1217" s="321"/>
      <c r="F1217" s="321"/>
      <c r="G1217" s="321"/>
      <c r="H1217" s="321"/>
      <c r="I1217" s="321"/>
      <c r="J1217" s="321"/>
    </row>
    <row r="1218" spans="2:10">
      <c r="B1218" s="321"/>
      <c r="C1218" s="321"/>
      <c r="D1218" s="321"/>
      <c r="E1218" s="321"/>
      <c r="F1218" s="321"/>
      <c r="G1218" s="321"/>
      <c r="H1218" s="321"/>
      <c r="I1218" s="321"/>
      <c r="J1218" s="321"/>
    </row>
    <row r="1219" spans="2:10">
      <c r="B1219" s="321"/>
      <c r="C1219" s="321"/>
      <c r="D1219" s="321"/>
      <c r="E1219" s="321"/>
      <c r="F1219" s="321"/>
      <c r="G1219" s="321"/>
      <c r="H1219" s="321"/>
      <c r="I1219" s="321"/>
      <c r="J1219" s="321"/>
    </row>
    <row r="1220" spans="2:10">
      <c r="B1220" s="321"/>
      <c r="C1220" s="321"/>
      <c r="D1220" s="321"/>
      <c r="E1220" s="321"/>
      <c r="F1220" s="321"/>
      <c r="G1220" s="321"/>
      <c r="H1220" s="321"/>
      <c r="I1220" s="321"/>
      <c r="J1220" s="321"/>
    </row>
    <row r="1221" spans="2:10">
      <c r="B1221" s="321"/>
      <c r="C1221" s="321"/>
      <c r="D1221" s="321"/>
      <c r="E1221" s="321"/>
      <c r="F1221" s="321"/>
      <c r="G1221" s="321"/>
      <c r="H1221" s="321"/>
      <c r="I1221" s="321"/>
      <c r="J1221" s="321"/>
    </row>
    <row r="1222" spans="2:10">
      <c r="B1222" s="321"/>
      <c r="C1222" s="321"/>
      <c r="D1222" s="321"/>
      <c r="E1222" s="321"/>
      <c r="F1222" s="321"/>
      <c r="G1222" s="321"/>
      <c r="H1222" s="321"/>
      <c r="I1222" s="321"/>
      <c r="J1222" s="321"/>
    </row>
    <row r="1223" spans="2:10">
      <c r="B1223" s="321"/>
      <c r="C1223" s="321"/>
      <c r="D1223" s="321"/>
      <c r="E1223" s="321"/>
      <c r="F1223" s="321"/>
      <c r="G1223" s="321"/>
      <c r="H1223" s="321"/>
      <c r="I1223" s="321"/>
      <c r="J1223" s="321"/>
    </row>
    <row r="1224" spans="2:10">
      <c r="B1224" s="321"/>
      <c r="C1224" s="321"/>
      <c r="D1224" s="321"/>
      <c r="E1224" s="321"/>
      <c r="F1224" s="321"/>
      <c r="G1224" s="321"/>
      <c r="H1224" s="321"/>
      <c r="I1224" s="321"/>
      <c r="J1224" s="321"/>
    </row>
    <row r="1225" spans="2:10">
      <c r="B1225" s="321"/>
      <c r="C1225" s="321"/>
      <c r="D1225" s="321"/>
      <c r="E1225" s="321"/>
      <c r="F1225" s="321"/>
      <c r="G1225" s="321"/>
      <c r="H1225" s="321"/>
      <c r="I1225" s="321"/>
      <c r="J1225" s="321"/>
    </row>
    <row r="1226" spans="2:10">
      <c r="B1226" s="321"/>
      <c r="C1226" s="321"/>
      <c r="D1226" s="321"/>
      <c r="E1226" s="321"/>
      <c r="F1226" s="321"/>
      <c r="G1226" s="321"/>
      <c r="H1226" s="321"/>
      <c r="I1226" s="321"/>
      <c r="J1226" s="321"/>
    </row>
    <row r="1227" spans="2:10">
      <c r="B1227" s="321"/>
      <c r="C1227" s="321"/>
      <c r="D1227" s="321"/>
      <c r="E1227" s="321"/>
      <c r="F1227" s="321"/>
      <c r="G1227" s="321"/>
      <c r="H1227" s="321"/>
      <c r="I1227" s="321"/>
      <c r="J1227" s="321"/>
    </row>
    <row r="1228" spans="2:10">
      <c r="B1228" s="321"/>
      <c r="C1228" s="321"/>
      <c r="D1228" s="321"/>
      <c r="E1228" s="321"/>
      <c r="F1228" s="321"/>
      <c r="G1228" s="321"/>
      <c r="H1228" s="321"/>
      <c r="I1228" s="321"/>
      <c r="J1228" s="321"/>
    </row>
    <row r="1229" spans="2:10">
      <c r="B1229" s="321"/>
      <c r="C1229" s="321"/>
      <c r="D1229" s="321"/>
      <c r="E1229" s="321"/>
      <c r="F1229" s="321"/>
      <c r="G1229" s="321"/>
      <c r="H1229" s="321"/>
      <c r="I1229" s="321"/>
      <c r="J1229" s="321"/>
    </row>
    <row r="1230" spans="2:10">
      <c r="B1230" s="321"/>
      <c r="C1230" s="321"/>
      <c r="D1230" s="321"/>
      <c r="E1230" s="321"/>
      <c r="F1230" s="321"/>
      <c r="G1230" s="321"/>
      <c r="H1230" s="321"/>
      <c r="I1230" s="321"/>
      <c r="J1230" s="321"/>
    </row>
    <row r="1231" spans="2:10">
      <c r="B1231" s="321"/>
      <c r="C1231" s="321"/>
      <c r="D1231" s="321"/>
      <c r="E1231" s="321"/>
      <c r="F1231" s="321"/>
      <c r="G1231" s="321"/>
      <c r="H1231" s="321"/>
      <c r="I1231" s="321"/>
      <c r="J1231" s="321"/>
    </row>
    <row r="1232" spans="2:10">
      <c r="B1232" s="321"/>
      <c r="C1232" s="321"/>
      <c r="D1232" s="321"/>
      <c r="E1232" s="321"/>
      <c r="F1232" s="321"/>
      <c r="G1232" s="321"/>
      <c r="H1232" s="321"/>
      <c r="I1232" s="321"/>
      <c r="J1232" s="321"/>
    </row>
    <row r="1233" spans="2:10">
      <c r="B1233" s="321"/>
      <c r="C1233" s="321"/>
      <c r="D1233" s="321"/>
      <c r="E1233" s="321"/>
      <c r="F1233" s="321"/>
      <c r="G1233" s="321"/>
      <c r="H1233" s="321"/>
      <c r="I1233" s="321"/>
      <c r="J1233" s="321"/>
    </row>
    <row r="1234" spans="2:10">
      <c r="B1234" s="321"/>
      <c r="C1234" s="321"/>
      <c r="D1234" s="321"/>
      <c r="E1234" s="321"/>
      <c r="F1234" s="321"/>
      <c r="G1234" s="321"/>
      <c r="H1234" s="321"/>
      <c r="I1234" s="321"/>
      <c r="J1234" s="321"/>
    </row>
    <row r="1235" spans="2:10">
      <c r="B1235" s="321"/>
      <c r="C1235" s="321"/>
      <c r="D1235" s="321"/>
      <c r="E1235" s="321"/>
      <c r="F1235" s="321"/>
      <c r="G1235" s="321"/>
      <c r="H1235" s="321"/>
      <c r="I1235" s="321"/>
      <c r="J1235" s="321"/>
    </row>
    <row r="1236" spans="2:10">
      <c r="B1236" s="321"/>
      <c r="C1236" s="321"/>
      <c r="D1236" s="321"/>
      <c r="E1236" s="321"/>
      <c r="F1236" s="321"/>
      <c r="G1236" s="321"/>
      <c r="H1236" s="321"/>
      <c r="I1236" s="321"/>
      <c r="J1236" s="321"/>
    </row>
    <row r="1237" spans="2:10">
      <c r="B1237" s="321"/>
      <c r="C1237" s="321"/>
      <c r="D1237" s="321"/>
      <c r="E1237" s="321"/>
      <c r="F1237" s="321"/>
      <c r="G1237" s="321"/>
      <c r="H1237" s="321"/>
      <c r="I1237" s="321"/>
      <c r="J1237" s="321"/>
    </row>
    <row r="1238" spans="2:10">
      <c r="B1238" s="321"/>
      <c r="C1238" s="321"/>
      <c r="D1238" s="321"/>
      <c r="E1238" s="321"/>
      <c r="F1238" s="321"/>
      <c r="G1238" s="321"/>
      <c r="H1238" s="321"/>
      <c r="I1238" s="321"/>
      <c r="J1238" s="321"/>
    </row>
    <row r="1239" spans="2:10">
      <c r="B1239" s="321"/>
      <c r="C1239" s="321"/>
      <c r="D1239" s="321"/>
      <c r="E1239" s="321"/>
      <c r="F1239" s="321"/>
      <c r="G1239" s="321"/>
      <c r="H1239" s="321"/>
      <c r="I1239" s="321"/>
      <c r="J1239" s="321"/>
    </row>
    <row r="1240" spans="2:10">
      <c r="B1240" s="321"/>
      <c r="C1240" s="321"/>
      <c r="D1240" s="321"/>
      <c r="E1240" s="321"/>
      <c r="F1240" s="321"/>
      <c r="G1240" s="321"/>
      <c r="H1240" s="321"/>
      <c r="I1240" s="321"/>
      <c r="J1240" s="321"/>
    </row>
    <row r="1241" spans="2:10">
      <c r="B1241" s="321"/>
      <c r="C1241" s="321"/>
      <c r="D1241" s="321"/>
      <c r="E1241" s="321"/>
      <c r="F1241" s="321"/>
      <c r="G1241" s="321"/>
      <c r="H1241" s="321"/>
      <c r="I1241" s="321"/>
      <c r="J1241" s="321"/>
    </row>
    <row r="1242" spans="2:10">
      <c r="B1242" s="321"/>
      <c r="C1242" s="321"/>
      <c r="D1242" s="321"/>
      <c r="E1242" s="321"/>
      <c r="F1242" s="321"/>
      <c r="G1242" s="321"/>
      <c r="H1242" s="321"/>
      <c r="I1242" s="321"/>
      <c r="J1242" s="321"/>
    </row>
    <row r="1243" spans="2:10">
      <c r="B1243" s="321"/>
      <c r="C1243" s="321"/>
      <c r="D1243" s="321"/>
      <c r="E1243" s="321"/>
      <c r="F1243" s="321"/>
      <c r="G1243" s="321"/>
      <c r="H1243" s="321"/>
      <c r="I1243" s="321"/>
      <c r="J1243" s="321"/>
    </row>
    <row r="1244" spans="2:10">
      <c r="B1244" s="321"/>
      <c r="C1244" s="321"/>
      <c r="D1244" s="321"/>
      <c r="E1244" s="321"/>
      <c r="F1244" s="321"/>
      <c r="G1244" s="321"/>
      <c r="H1244" s="321"/>
      <c r="I1244" s="321"/>
      <c r="J1244" s="321"/>
    </row>
    <row r="1245" spans="2:10">
      <c r="B1245" s="321"/>
      <c r="C1245" s="321"/>
      <c r="D1245" s="321"/>
      <c r="E1245" s="321"/>
      <c r="F1245" s="321"/>
      <c r="G1245" s="321"/>
      <c r="H1245" s="321"/>
      <c r="I1245" s="321"/>
      <c r="J1245" s="321"/>
    </row>
    <row r="1246" spans="2:10">
      <c r="B1246" s="321"/>
      <c r="C1246" s="321"/>
      <c r="D1246" s="321"/>
      <c r="E1246" s="321"/>
      <c r="F1246" s="321"/>
      <c r="G1246" s="321"/>
      <c r="H1246" s="321"/>
      <c r="I1246" s="321"/>
      <c r="J1246" s="321"/>
    </row>
    <row r="1247" spans="2:10">
      <c r="B1247" s="321"/>
      <c r="C1247" s="321"/>
      <c r="D1247" s="321"/>
      <c r="E1247" s="321"/>
      <c r="F1247" s="321"/>
      <c r="G1247" s="321"/>
      <c r="H1247" s="321"/>
      <c r="I1247" s="321"/>
      <c r="J1247" s="321"/>
    </row>
    <row r="1248" spans="2:10">
      <c r="B1248" s="321"/>
      <c r="C1248" s="321"/>
      <c r="D1248" s="321"/>
      <c r="E1248" s="321"/>
      <c r="F1248" s="321"/>
      <c r="G1248" s="321"/>
      <c r="H1248" s="321"/>
      <c r="I1248" s="321"/>
      <c r="J1248" s="321"/>
    </row>
    <row r="1249" spans="2:10">
      <c r="B1249" s="321"/>
      <c r="C1249" s="321"/>
      <c r="D1249" s="321"/>
      <c r="E1249" s="321"/>
      <c r="F1249" s="321"/>
      <c r="G1249" s="321"/>
      <c r="H1249" s="321"/>
      <c r="I1249" s="321"/>
      <c r="J1249" s="321"/>
    </row>
    <row r="1250" spans="2:10">
      <c r="B1250" s="321"/>
      <c r="C1250" s="321"/>
      <c r="D1250" s="321"/>
      <c r="E1250" s="321"/>
      <c r="F1250" s="321"/>
      <c r="G1250" s="321"/>
      <c r="H1250" s="321"/>
      <c r="I1250" s="321"/>
      <c r="J1250" s="321"/>
    </row>
    <row r="1251" spans="2:10">
      <c r="B1251" s="321"/>
      <c r="C1251" s="321"/>
      <c r="D1251" s="321"/>
      <c r="E1251" s="321"/>
      <c r="F1251" s="321"/>
      <c r="G1251" s="321"/>
      <c r="H1251" s="321"/>
      <c r="I1251" s="321"/>
      <c r="J1251" s="321"/>
    </row>
    <row r="1252" spans="2:10">
      <c r="B1252" s="321"/>
      <c r="C1252" s="321"/>
      <c r="D1252" s="321"/>
      <c r="E1252" s="321"/>
      <c r="F1252" s="321"/>
      <c r="G1252" s="321"/>
      <c r="H1252" s="321"/>
      <c r="I1252" s="321"/>
      <c r="J1252" s="321"/>
    </row>
    <row r="1253" spans="2:10">
      <c r="B1253" s="321"/>
      <c r="C1253" s="321"/>
      <c r="D1253" s="321"/>
      <c r="E1253" s="321"/>
      <c r="F1253" s="321"/>
      <c r="G1253" s="321"/>
      <c r="H1253" s="321"/>
      <c r="I1253" s="321"/>
      <c r="J1253" s="321"/>
    </row>
    <row r="1254" spans="2:10">
      <c r="B1254" s="321"/>
      <c r="C1254" s="321"/>
      <c r="D1254" s="321"/>
      <c r="E1254" s="321"/>
      <c r="F1254" s="321"/>
      <c r="G1254" s="321"/>
      <c r="H1254" s="321"/>
      <c r="I1254" s="321"/>
      <c r="J1254" s="321"/>
    </row>
    <row r="1255" spans="2:10">
      <c r="B1255" s="321"/>
      <c r="C1255" s="321"/>
      <c r="D1255" s="321"/>
      <c r="E1255" s="321"/>
      <c r="F1255" s="321"/>
      <c r="G1255" s="321"/>
      <c r="H1255" s="321"/>
      <c r="I1255" s="321"/>
      <c r="J1255" s="321"/>
    </row>
    <row r="1256" spans="2:10">
      <c r="B1256" s="321"/>
      <c r="C1256" s="321"/>
      <c r="D1256" s="321"/>
      <c r="E1256" s="321"/>
      <c r="F1256" s="321"/>
      <c r="G1256" s="321"/>
      <c r="H1256" s="321"/>
      <c r="I1256" s="321"/>
      <c r="J1256" s="321"/>
    </row>
    <row r="1257" spans="2:10">
      <c r="B1257" s="321"/>
      <c r="C1257" s="321"/>
      <c r="D1257" s="321"/>
      <c r="E1257" s="321"/>
      <c r="F1257" s="321"/>
      <c r="G1257" s="321"/>
      <c r="H1257" s="321"/>
      <c r="I1257" s="321"/>
      <c r="J1257" s="321"/>
    </row>
    <row r="1258" spans="2:10">
      <c r="B1258" s="321"/>
      <c r="C1258" s="321"/>
      <c r="D1258" s="321"/>
      <c r="E1258" s="321"/>
      <c r="F1258" s="321"/>
      <c r="G1258" s="321"/>
      <c r="H1258" s="321"/>
      <c r="I1258" s="321"/>
      <c r="J1258" s="321"/>
    </row>
    <row r="1259" spans="2:10">
      <c r="B1259" s="321"/>
      <c r="C1259" s="321"/>
      <c r="D1259" s="321"/>
      <c r="E1259" s="321"/>
      <c r="F1259" s="321"/>
      <c r="G1259" s="321"/>
      <c r="H1259" s="321"/>
      <c r="I1259" s="321"/>
      <c r="J1259" s="321"/>
    </row>
    <row r="1260" spans="2:10">
      <c r="B1260" s="321"/>
      <c r="C1260" s="321"/>
      <c r="D1260" s="321"/>
      <c r="E1260" s="321"/>
      <c r="F1260" s="321"/>
      <c r="G1260" s="321"/>
      <c r="H1260" s="321"/>
      <c r="I1260" s="321"/>
      <c r="J1260" s="321"/>
    </row>
    <row r="1261" spans="2:10">
      <c r="B1261" s="321"/>
      <c r="C1261" s="321"/>
      <c r="D1261" s="321"/>
      <c r="E1261" s="321"/>
      <c r="F1261" s="321"/>
      <c r="G1261" s="321"/>
      <c r="H1261" s="321"/>
      <c r="I1261" s="321"/>
      <c r="J1261" s="321"/>
    </row>
    <row r="1262" spans="2:10">
      <c r="B1262" s="321"/>
      <c r="C1262" s="321"/>
      <c r="D1262" s="321"/>
      <c r="E1262" s="321"/>
      <c r="F1262" s="321"/>
      <c r="G1262" s="321"/>
      <c r="H1262" s="321"/>
      <c r="I1262" s="321"/>
      <c r="J1262" s="321"/>
    </row>
    <row r="1263" spans="2:10">
      <c r="B1263" s="321"/>
      <c r="C1263" s="321"/>
      <c r="D1263" s="321"/>
      <c r="E1263" s="321"/>
      <c r="F1263" s="321"/>
      <c r="G1263" s="321"/>
      <c r="H1263" s="321"/>
      <c r="I1263" s="321"/>
      <c r="J1263" s="321"/>
    </row>
    <row r="1264" spans="2:10">
      <c r="B1264" s="321"/>
      <c r="C1264" s="321"/>
      <c r="D1264" s="321"/>
      <c r="E1264" s="321"/>
      <c r="F1264" s="321"/>
      <c r="G1264" s="321"/>
      <c r="H1264" s="321"/>
      <c r="I1264" s="321"/>
      <c r="J1264" s="321"/>
    </row>
    <row r="1265" spans="2:10">
      <c r="B1265" s="321"/>
      <c r="C1265" s="321"/>
      <c r="D1265" s="321"/>
      <c r="E1265" s="321"/>
      <c r="F1265" s="321"/>
      <c r="G1265" s="321"/>
      <c r="H1265" s="321"/>
      <c r="I1265" s="321"/>
      <c r="J1265" s="321"/>
    </row>
    <row r="1266" spans="2:10">
      <c r="B1266" s="321"/>
      <c r="C1266" s="321"/>
      <c r="D1266" s="321"/>
      <c r="E1266" s="321"/>
      <c r="F1266" s="321"/>
      <c r="G1266" s="321"/>
      <c r="H1266" s="321"/>
      <c r="I1266" s="321"/>
      <c r="J1266" s="321"/>
    </row>
    <row r="1267" spans="2:10">
      <c r="B1267" s="321"/>
      <c r="C1267" s="321"/>
      <c r="D1267" s="321"/>
      <c r="E1267" s="321"/>
      <c r="F1267" s="321"/>
      <c r="G1267" s="321"/>
      <c r="H1267" s="321"/>
      <c r="I1267" s="321"/>
      <c r="J1267" s="321"/>
    </row>
    <row r="1268" spans="2:10">
      <c r="B1268" s="321"/>
      <c r="C1268" s="321"/>
      <c r="D1268" s="321"/>
      <c r="E1268" s="321"/>
      <c r="F1268" s="321"/>
      <c r="G1268" s="321"/>
      <c r="H1268" s="321"/>
      <c r="I1268" s="321"/>
      <c r="J1268" s="321"/>
    </row>
    <row r="1269" spans="2:10">
      <c r="B1269" s="321"/>
      <c r="C1269" s="321"/>
      <c r="D1269" s="321"/>
      <c r="E1269" s="321"/>
      <c r="F1269" s="321"/>
      <c r="G1269" s="321"/>
      <c r="H1269" s="321"/>
      <c r="I1269" s="321"/>
      <c r="J1269" s="321"/>
    </row>
    <row r="1270" spans="2:10">
      <c r="B1270" s="321"/>
      <c r="C1270" s="321"/>
      <c r="D1270" s="321"/>
      <c r="E1270" s="321"/>
      <c r="F1270" s="321"/>
      <c r="G1270" s="321"/>
      <c r="H1270" s="321"/>
      <c r="I1270" s="321"/>
      <c r="J1270" s="321"/>
    </row>
    <row r="1271" spans="2:10">
      <c r="B1271" s="321"/>
      <c r="C1271" s="321"/>
      <c r="D1271" s="321"/>
      <c r="E1271" s="321"/>
      <c r="F1271" s="321"/>
      <c r="G1271" s="321"/>
      <c r="H1271" s="321"/>
      <c r="I1271" s="321"/>
      <c r="J1271" s="321"/>
    </row>
    <row r="1272" spans="2:10">
      <c r="B1272" s="321"/>
      <c r="C1272" s="321"/>
      <c r="D1272" s="321"/>
      <c r="E1272" s="321"/>
      <c r="F1272" s="321"/>
      <c r="G1272" s="321"/>
      <c r="H1272" s="321"/>
      <c r="I1272" s="321"/>
      <c r="J1272" s="321"/>
    </row>
    <row r="1273" spans="2:10">
      <c r="B1273" s="321"/>
      <c r="C1273" s="321"/>
      <c r="D1273" s="321"/>
      <c r="E1273" s="321"/>
      <c r="F1273" s="321"/>
      <c r="G1273" s="321"/>
      <c r="H1273" s="321"/>
      <c r="I1273" s="321"/>
      <c r="J1273" s="321"/>
    </row>
    <row r="1274" spans="2:10">
      <c r="B1274" s="321"/>
      <c r="C1274" s="321"/>
      <c r="D1274" s="321"/>
      <c r="E1274" s="321"/>
      <c r="F1274" s="321"/>
      <c r="G1274" s="321"/>
      <c r="H1274" s="321"/>
      <c r="I1274" s="321"/>
      <c r="J1274" s="321"/>
    </row>
  </sheetData>
  <sheetProtection algorithmName="SHA-512" hashValue="5wsVatQwVd+z/f0Z8/Yaa5xNrSnC9Igauo1iSZzaObeosIsHRGTs+mUHdtfTZn//CtQKu0LwWBUZmZJlAGoqkw==" saltValue="8EtWEKmyP4AtHXYrZU+hJw==" spinCount="100000" sheet="1" objects="1" scenarios="1"/>
  <mergeCells count="10">
    <mergeCell ref="B78:D78"/>
    <mergeCell ref="B82:D82"/>
    <mergeCell ref="B46:D46"/>
    <mergeCell ref="B62:D62"/>
    <mergeCell ref="B66:D66"/>
    <mergeCell ref="B70:D70"/>
    <mergeCell ref="B74:D74"/>
    <mergeCell ref="B50:D50"/>
    <mergeCell ref="B54:D54"/>
    <mergeCell ref="B58:D58"/>
  </mergeCells>
  <phoneticPr fontId="0" type="noConversion"/>
  <dataValidations xWindow="339" yWindow="397" count="103">
    <dataValidation type="list" allowBlank="1" showInputMessage="1" showErrorMessage="1" promptTitle="Plant Codes:" prompt="Hopkins:2101_x000a_El Paso: 2103_x000a_Mexico: 2104" sqref="B2">
      <formula1>MDPlantList</formula1>
    </dataValidation>
    <dataValidation allowBlank="1" showInputMessage="1" showErrorMessage="1" promptTitle="Labor:" prompt="Enter the % of operator required._x000a_" sqref="L45 L49 L53 L57 L61 L73 L77 L81 L65 L69"/>
    <dataValidation allowBlank="1" showInputMessage="1" showErrorMessage="1" promptTitle="Rate Adjust:" prompt="Allows you to adjust the press rate by adding to or subtracting from the base press rate.  You may enter a positive or negative number.  Example: Add $3.00/Hour for every $ 100M automation equipment cost." sqref="G45 G49 G53 G57 G61 G69 G73 G77 G65 G81"/>
    <dataValidation type="decimal" allowBlank="1" showInputMessage="1" showErrorMessage="1" promptTitle="Press Minimums:" prompt="* Volumes less than 50M, enter 1_x000a_* Volumes less than 100M, enter 2_x000a_* Volumes greater than 100M, enter 4-6_x000a_* Volumes greater than 1MM, enter 7-12" sqref="H77 H81">
      <formula1>1</formula1>
      <formula2>24</formula2>
    </dataValidation>
    <dataValidation allowBlank="1" showInputMessage="1" showErrorMessage="1" promptTitle="Cycle Guide" prompt="* Small size parts .040-.070 thick wall, quote 8-12 seconds_x000a_* Medium size parts .080-.100 thick wall, quote 12-19 seconds_x000a_* Large size parts .110-.200 thick wall, quote 20-35 seconds_x000a__x000a_Consult moldcool estimator software if in doubt" sqref="N45 N61 N49 N53 N57 N65 N69 N73 N77 N81"/>
    <dataValidation type="decimal" allowBlank="1" showInputMessage="1" showErrorMessage="1" promptTitle="Calculated Field" prompt="This field is a calculated entry based on the cycle time entered in the &quot;seconds&quot; field" sqref="O45:P45 O49:P49 O53:P53 O57:P57 O61:P61 O65:P65 O69:P69 O73:P73 O77:P77 O81:P81">
      <formula1>0</formula1>
      <formula2>50000</formula2>
    </dataValidation>
    <dataValidation type="decimal" allowBlank="1" showInputMessage="1" showErrorMessage="1" promptTitle="Tool Maintenance Rate:" prompt="This field will automatically populate a value based on your entry in the previous field." sqref="K45 K49 K53 K57 K61 K73 K77 K81 K65 K69">
      <formula1>0</formula1>
      <formula2>50</formula2>
    </dataValidation>
    <dataValidation type="decimal" allowBlank="1" showInputMessage="1" showErrorMessage="1" promptTitle="Labor Rate:" prompt="This field will automatically populate a value based on your entry in the &quot;press/Mach&quot; field." sqref="M45 M49 M53 M57 M61 M73 M77 M81 M65 M69">
      <formula1>0</formula1>
      <formula2>100</formula2>
    </dataValidation>
    <dataValidation type="decimal" allowBlank="1" showInputMessage="1" showErrorMessage="1" promptTitle="Automation" prompt="Enter total dollars value of all automation equipment for this quotation." sqref="B89:C89">
      <formula1>0</formula1>
      <formula2>1000000</formula2>
    </dataValidation>
    <dataValidation type="decimal" allowBlank="1" showInputMessage="1" showErrorMessage="1" promptTitle="Mfg Rate:" prompt="This field will automatically populate a value based on your entry in the &quot;Press/Mach&quot; field." sqref="F45 F49 F53 F57 F61 F73 F77 F81 F65 F69">
      <formula1>0</formula1>
      <formula2>250</formula2>
    </dataValidation>
    <dataValidation type="decimal" allowBlank="1" showInputMessage="1" showErrorMessage="1" promptTitle="Press Minimum:" prompt="This field will automatically populate a value based on your entry in the &quot;Press/Mach&quot; field." sqref="I45 I49 I53 I57 I61 I73 I77 I81 I65 I69">
      <formula1>0</formula1>
      <formula2>5000</formula2>
    </dataValidation>
    <dataValidation type="list" allowBlank="1" showInputMessage="1" showErrorMessage="1" promptTitle="Rep Number:" prompt="Enter rep number here" sqref="F2">
      <formula1>SalesContact</formula1>
    </dataValidation>
    <dataValidation type="decimal" allowBlank="1" showInputMessage="1" showErrorMessage="1" promptTitle="Rep Commission:" prompt="Enter the expected rep commission to be paid, this number will be used to calculate the rep cost portion of the total cost." sqref="F3">
      <formula1>0</formula1>
      <formula2>50</formula2>
    </dataValidation>
    <dataValidation allowBlank="1" showInputMessage="1" showErrorMessage="1" promptTitle="Cost Per Thousand" prompt="Cost of material per thousand pieces." sqref="G19:K19 G15:K15 G13:K13 G17:K17 G21:K21 G23:K23 G25:K25 G27:K27 G29:K29 G31:K31 G39:K39 G33:K33 G35:K35 G37:K37 G41:K41"/>
    <dataValidation allowBlank="1" showInputMessage="1" showErrorMessage="1" promptTitle="Qty Req" prompt="Enter the quantity required per M pieces." sqref="E28 E30 E40 E18 E22 E24 E26 E16 E32 E34 E36 E38 E20"/>
    <dataValidation allowBlank="1" showInputMessage="1" showErrorMessage="1" promptTitle="Qty Req" prompt="This value will fill in from the &quot;Part Wgt:&quot; section above.  Do not make entry here." sqref="E12:E15 E17 E19 E21 E23 E25 E27 E29 E31 E33 E35 E37 E39 E41"/>
    <dataValidation allowBlank="1" showInputMessage="1" showErrorMessage="1" promptTitle="GFL Cost Per M Pieces" prompt="Select the GFL On button and the value will appear and become part of the quotation._x000a__x000a_Select the GFL Off buttom to remove the value from the quotation." sqref="L94:M94"/>
    <dataValidation allowBlank="1" showInputMessage="1" showErrorMessage="1" promptTitle="Material Cost " prompt="Enter all material cost per thousand units or pounds." sqref="G12:K12 G14:K14 G40:K40 G16:K16 G18:K18 G22:K22 G24:K24 G26:K26 G28:K28 G30:K30 G32:K32 G34:K34 G36:K36 G38:K38 G20:K20"/>
    <dataValidation allowBlank="1" showInputMessage="1" showErrorMessage="1" promptTitle="Markup" prompt="Enter markup for each material here." sqref="F12 F14 F16 F18 F20 F22 F24 F26 F28 F30 F32 F34 F36 F38 F40"/>
    <dataValidation allowBlank="1" showInputMessage="1" showErrorMessage="1" promptTitle="Hyperlinks" prompt="Click here to link to this website." sqref="O2 O6:O7 O9:P9 P4:P8 N14:N41"/>
    <dataValidation allowBlank="1" showInputMessage="1" showErrorMessage="1" promptTitle="Routing Yield Two" prompt="Enter routing yield here.  This yield will apply to all scenario two routing data." sqref="C86"/>
    <dataValidation allowBlank="1" showInputMessage="1" showErrorMessage="1" promptTitle="Cavities" prompt="Enter cavities for scenario one." sqref="M2"/>
    <dataValidation allowBlank="1" showInputMessage="1" showErrorMessage="1" promptTitle="Cavities" prompt="Enter cavities for scenario two." sqref="N2"/>
    <dataValidation allowBlank="1" showInputMessage="1" showErrorMessage="1" promptTitle="Part Weight Per Thousand Pieces" prompt="If known, you may enter the part weight here or select the &quot;calculator&quot; button and use the part weight calculator.  If you use the part weight calculator, you may type over that value or use the &quot;Reset Wgt&quot; button to use the calculated weight" sqref="M3:N3"/>
    <dataValidation allowBlank="1" showInputMessage="1" showErrorMessage="1" promptTitle="Runner Weight Per Thousand Shots" prompt="If known, you may enter the runner weight here or select the &quot;calculator&quot; button and use the runner weight calculator.  If you use the runner weight calculator, you may type over that value or use the &quot;Reset Wgt&quot; button to use the calculated weight" sqref="M4:N4"/>
    <dataValidation allowBlank="1" showInputMessage="1" showErrorMessage="1" promptTitle="Regrind %" prompt="Enter the allowable regrind %." sqref="M5:N5"/>
    <dataValidation allowBlank="1" showInputMessage="1" showErrorMessage="1" promptTitle="Quantity Require Per Thousand" prompt="This is a calculated field showing the required BOM weight for resin." sqref="M6:N6"/>
    <dataValidation allowBlank="1" showInputMessage="1" showErrorMessage="1" promptTitle="Deselect Option" prompt="Place an &quot;X&quot; under the column if you do not want this to print out on the Customer Quote form" sqref="B146:F146 H146:L146"/>
    <dataValidation type="list" allowBlank="1" showInputMessage="1" showErrorMessage="1" promptTitle="Sales Contact" prompt="Enter the sales contact number.  Upon update of quote, the sales contact name will appear on this sheet." sqref="F4">
      <formula1>SalesContact</formula1>
    </dataValidation>
    <dataValidation type="list" allowBlank="1" showInputMessage="1" showErrorMessage="1" promptTitle="Estimator" prompt="Enter the estimator number.  Upon update of quote, the estimators name will appear on this sheet." sqref="F6">
      <formula1>EstNum</formula1>
    </dataValidation>
    <dataValidation allowBlank="1" showInputMessage="1" showErrorMessage="1" promptTitle="Shot Size In Ounces" prompt="This is a calculated field showing the shot size in ounces." sqref="M7:N7"/>
    <dataValidation allowBlank="1" showInputMessage="1" showErrorMessage="1" promptTitle="Lead Time Scenario One" prompt="You may enter a lead time here, or use the calculator sheet to calculate a lead time.  Use the reset tool button to use the calculated value." sqref="L93:M93 L95:M95"/>
    <dataValidation type="list" allowBlank="1" showInputMessage="1" showErrorMessage="1" promptTitle="Order Contact" prompt="Enter the order contact number.  Upon update of quote, the order contact name will appear on this sheet." sqref="F5">
      <formula1>SalesContact</formula1>
    </dataValidation>
    <dataValidation allowBlank="1" showInputMessage="1" showErrorMessage="1" promptTitle="Amortizable Tool Dollars One" prompt="Enter the amortizable tool dollars for scenario one.  Example, customer want full tool price amortized over life of program (3 years).  _x000a_Tool Cost:  $ 100,000_x000a_Mark Up for Project Management 1.15%_x000a_Add Compounded interest calculation from Accounting_x000a_" sqref="I89"/>
    <dataValidation allowBlank="1" showInputMessage="1" showErrorMessage="1" promptTitle="Amortizable Tool Dollars Two" prompt="Enter the amortizable tool dollars for scenario two.  Example, customer want full tool price amortized over life of program (3 years).  _x000a_Tool Cost:  $ 100,000_x000a_Mark Up for Project Management 1.15%_x000a_Add Compounded interest calculation from Accounting_x000a_" sqref="I90"/>
    <dataValidation allowBlank="1" showInputMessage="1" showErrorMessage="1" promptTitle="Number of Years for Amortization" prompt="Enter the number of years of amortization." sqref="I91 C92:C95"/>
    <dataValidation type="textLength" allowBlank="1" showInputMessage="1" showErrorMessage="1" promptTitle="Material Name" prompt="Enter descriptive material name._x000a_" sqref="B12:B41">
      <formula1>1</formula1>
      <formula2>50</formula2>
    </dataValidation>
    <dataValidation allowBlank="1" showInputMessage="1" showErrorMessage="1" promptTitle="Cost Adjuster Field" prompt="Allows user to enter a positive or negative number to be added in to total cost." sqref="B129:F129 H129:L129"/>
    <dataValidation allowBlank="1" showInputMessage="1" showErrorMessage="1" promptTitle="Material Yield" prompt="Enter material yield here.  This yield will apply to all material data." sqref="B42"/>
    <dataValidation allowBlank="1" showInputMessage="1" showErrorMessage="1" promptTitle="Price Adjuster Field" prompt="Allows user to enter a positive or negative number to be added in to total selling price." sqref="B131:F131 H131:L131"/>
    <dataValidation type="list" allowBlank="1" showInputMessage="1" showErrorMessage="1" promptTitle="Scenario" prompt="For Scenario one only, enter 1_x000a_For Scenario two only, enter 2_x000a_For both Scenarios, enter B_x000a_" sqref="C65 C69 C49 C53 C57 C61 C73 C77 C81 C45 C12:C41">
      <formula1>"1, 2, B"</formula1>
    </dataValidation>
    <dataValidation type="list" allowBlank="1" showInputMessage="1" showErrorMessage="1" sqref="B3">
      <formula1>CustNum1</formula1>
    </dataValidation>
    <dataValidation type="list" allowBlank="1" showInputMessage="1" showErrorMessage="1" promptTitle="Status Indicator" prompt="Current Status " sqref="D8">
      <formula1>Status</formula1>
    </dataValidation>
    <dataValidation type="list" allowBlank="1" showInputMessage="1" showErrorMessage="1" promptTitle="Robot Amortization" prompt="If &quot;Yes&quot;, $ 12,000 is being amortized by the total annual quantities being quoted." sqref="B91:C91">
      <formula1>"Yes,  No"</formula1>
    </dataValidation>
    <dataValidation allowBlank="1" showInputMessage="1" showErrorMessage="1" promptTitle="Robot Amortization" sqref="A91"/>
    <dataValidation allowBlank="1" showInputMessage="1" showErrorMessage="1" promptTitle="Quoted Gross Profit" prompt="Value does not include commissions or tooling amortizations." sqref="B138:F138 H138:L138"/>
    <dataValidation type="list" allowBlank="1" showInputMessage="1" showErrorMessage="1" promptTitle="Material Type" prompt="Resin or Buyout.  Buyout will not be included in the commission calculation._x000a__x000a_" sqref="D12:D41">
      <formula1>"Resin, Buyout"</formula1>
    </dataValidation>
    <dataValidation allowBlank="1" showInputMessage="1" showErrorMessage="1" promptTitle="Ratio" prompt="This value is the cost of resin for scenario one and two as a % of the selling price without commissions/amortizations minus the set-up price._x000a__x000a_If this value is equal to or greater than 35 %, please process a MuCell quotation." sqref="H148:L148 B148:F148"/>
    <dataValidation allowBlank="1" showInputMessage="1" showErrorMessage="1" promptTitle="Minimum Release Flag" prompt="Place and &quot; 1 &quot; here if you want the customer quote form to state the minimum release quantity._x000a_" sqref="N122"/>
    <dataValidation allowBlank="1" showInputMessage="1" showErrorMessage="1" promptTitle="Minimum Ship Flag" prompt="Place and &quot; 1 &quot; here if you want the customer quote form to state the minimum ship quantity._x000a_" sqref="N124"/>
    <dataValidation type="decimal" allowBlank="1" showInputMessage="1" showErrorMessage="1" promptTitle="Press Minimums:" prompt="* Volumes less than 50M, enter 1_x000a_* Volumes less than 100M, enter 2_x000a_* Volumes greater than 100M, enter 4-6_x000a_* Volumes greater than 1MM, enter 7-12" sqref="H45 H49 H53 H57 H61 H73 H65 H69">
      <formula1>1</formula1>
      <formula2>50</formula2>
    </dataValidation>
    <dataValidation allowBlank="1" showInputMessage="1" showErrorMessage="1" promptTitle="Cost Per Thousand Press/Ops" sqref="P83 O59:P60 O75:P76 O79:P80 O58 O62 O74 O78 O63:P64 O66 O67:P68 O71:P72 O70 O82:O83 M84:P84"/>
    <dataValidation allowBlank="1" showInputMessage="1" showErrorMessage="1" promptTitle="Amortized Dollars Per Thousand" prompt="This value is the amortized dollars divided by the quantities being quoted and the number of years specified.  This value is added to the &quot;Final Price&quot; value only._x000a_" sqref="B145:F145 H145:L145"/>
    <dataValidation allowBlank="1" showInputMessage="1" showErrorMessage="1" promptTitle="Final Price" prompt="Final price includes any commissions and amortizations._x000a_" sqref="B136:L136"/>
    <dataValidation allowBlank="1" showInputMessage="1" showErrorMessage="1" promptTitle="Burried Packaging Costs" prompt="Burried Packaging Included In The Press Rates.  Calculated by dividing 1000 by the pieces per hour times the burried packaging amount per hour by press category" sqref="E91:F91"/>
    <dataValidation allowBlank="1" showInputMessage="1" showErrorMessage="1" promptTitle="Resin Release Amount" prompt="Number is calculated by taking the press minimum * 2 and dividing into the total resin requirement.  Scenario one looks at press 1 and scenario two looks at press 2 only." sqref="G99"/>
    <dataValidation allowBlank="1" showInputMessage="1" showErrorMessage="1" promptTitle="Tool Maint Cost" prompt="Tool Maint Cost_x000a_" sqref="I80 J46:J47 I52 I56 I60 I72 I76 I48:J48 J50:J52 J54:J56 J58:J60 J74:J76 J78:J80 J62:J64 I64 J66:J68 J70:J72 J82:J83 G84:H84"/>
    <dataValidation allowBlank="1" showInputMessage="1" showErrorMessage="1" promptTitle="Labor Cost " prompt="Labor Cost" sqref="L80:M80 L76:M76 L48:M48 L52:M52 L56 L60:M60 J84:K84 M46:M47 M50:M51 M54:M56 M58:M59 M62:M63 M74:M75 M78:M79 M82:M83 L64:M64 L72:M72 M66:M68 M70:M71"/>
    <dataValidation allowBlank="1" showInputMessage="1" showErrorMessage="1" promptTitle="Press Cost" prompt="Press Cost" sqref="O51:P52 O47:P48 O46 O50 O54 O55:P56"/>
    <dataValidation allowBlank="1" showInputMessage="1" showErrorMessage="1" promptTitle="Sales To Tooling Cost Ratio" prompt="Thermotech's guideline has been to have annual sales equal to or greater than 3X the quoted tool price.  _x000a__x000a_This number should be greater than 3.  If number is less than 3, be sure that we have the tool cost and qualification cost appropriately covered." sqref="B147:F147 H147:L147"/>
    <dataValidation allowBlank="1" showInputMessage="1" showErrorMessage="1" promptTitle="Minimum Shipment Quantity" prompt="This value is the minimum shipment quantity required to meet the $ 1,000 minimum or does not exceed 4 shipments in a 30 day period." sqref="B158:F158 H158:L158"/>
    <dataValidation allowBlank="1" showInputMessage="1" showErrorMessage="1" promptTitle="Ratio" prompt="This value is the cost of Buyouts for scenario one and two as a % of the selling price without commissions/amortizations minus the set-up price." sqref="B149:F149 H149:L149"/>
    <dataValidation allowBlank="1" showInputMessage="1" showErrorMessage="1" promptTitle="Ratio" prompt="This value is the cost of the press for scenario one and two as a % of the selling price without commissions/amortizations minus the set-up price." sqref="B150:F150 H150:L150"/>
    <dataValidation allowBlank="1" showInputMessage="1" showErrorMessage="1" promptTitle="Ratio" prompt="This value is the cost of the tool maintenance for scenario one and two as a % of the selling price without commissions/amortizations minus the set-up price." sqref="H151:L151 B151:F151"/>
    <dataValidation allowBlank="1" showInputMessage="1" showErrorMessage="1" promptTitle="Ratio" prompt="This value is the cost of labor for scenario one and two as a % of the selling price without commissions/amortizations minus the set-up price." sqref="B152:L152"/>
    <dataValidation allowBlank="1" showInputMessage="1" showErrorMessage="1" promptTitle="Ratio" prompt="This value is the cost of the minimum for scenario one and two as a % of the selling price without commissions/amortizations minus the set-up price." sqref="B153:L153"/>
    <dataValidation allowBlank="1" showInputMessage="1" showErrorMessage="1" promptTitle="Ratio" prompt="This value is the cost of the GFL/Robot for scenario one and two as a % of the selling price without commissions/amortizations minus the set-up price." sqref="B154:L155"/>
    <dataValidation allowBlank="1" showInputMessage="1" showErrorMessage="1" promptTitle="Ratio" prompt="This value is the cost of the packaging for scenario one and two as a % of the selling price without commissions/amortizations minus the set-up price." sqref="B156:L156"/>
    <dataValidation allowBlank="1" showInputMessage="1" showErrorMessage="1" promptTitle="Attention To:" prompt="This is who the quotation is addressed to and you may change the name here.  The name seen or entered here will show up on the customer quotation form." sqref="B6"/>
    <dataValidation allowBlank="1" showInputMessage="1" showErrorMessage="1" promptTitle="Resin Release Amount" prompt="Number is calculated by taking the number of press minimum and dividing into the total resin requirement.  Scenario one looks at press 1 and scenario two looks at press 2 only." sqref="B99:F99 H99:L99"/>
    <dataValidation allowBlank="1" showInputMessage="1" showErrorMessage="1" promptTitle="Minimum Release Quantity" prompt="The recovery of our set-up cost per release._x000a_" sqref="B157:F157 H157:L157"/>
    <dataValidation allowBlank="1" showInputMessage="1" showErrorMessage="1" prompt="_x000a_" sqref="G157"/>
    <dataValidation allowBlank="1" showInputMessage="1" showErrorMessage="1" promptTitle="Value Added Per Hour" prompt="Valued added per hour is the selling price without commission minus the manufacturing cost.  This value is divided by the hours per thousand pieces." sqref="B139:F142 H139:L142"/>
    <dataValidation allowBlank="1" showInputMessage="1" showErrorMessage="1" promptTitle="Annual Sales Plus Tool Price" prompt="Quoted quantity * piece part price + tooling price." sqref="B144:F144 H144:L144"/>
    <dataValidation type="list" allowBlank="1" showInputMessage="1" showErrorMessage="1" promptTitle="Tool Maintenance:" prompt="Enter one of the following:_x000a_1_x000a_2_x000a_3" sqref="J45 J77 J49 J61 J53 J57 J73 J81 J65 J69">
      <formula1>ToolMaintList</formula1>
    </dataValidation>
    <dataValidation allowBlank="1" showInputMessage="1" showErrorMessage="1" promptTitle="Scenario One Routing Markup" prompt="Enter routing markup here.  This markup will apply to all routing data." sqref="B85"/>
    <dataValidation allowBlank="1" showInputMessage="1" showErrorMessage="1" promptTitle="Scenario Two Routing Markup" prompt="Enter routing markup here.  This markup will apply to all routing data." sqref="C85"/>
    <dataValidation allowBlank="1" showInputMessage="1" showErrorMessage="1" promptTitle="Price Reduction Year 1 and 6" prompt="This is the baseline starting point for completing the price reduction procedure.  Please make sure this starting value represents the price you want to begin with." sqref="B137 H137"/>
    <dataValidation allowBlank="1" showInputMessage="1" showErrorMessage="1" promptTitle="Price Reduction Year 2 and 7" prompt="Enter the % of reduction." sqref="I137 C137"/>
    <dataValidation allowBlank="1" showInputMessage="1" showErrorMessage="1" promptTitle="Price Reduction Year 3 and 8" prompt="Enter the % of reduction." sqref="D137 J137"/>
    <dataValidation allowBlank="1" showInputMessage="1" showErrorMessage="1" promptTitle="Price Reduction Year 4 and 9" prompt="Enter the % of reduction." sqref="E137 K137"/>
    <dataValidation allowBlank="1" showInputMessage="1" showErrorMessage="1" promptTitle="Price Reduction Year 5 and 10" prompt="Enter the % of reduction." sqref="F137 L137"/>
    <dataValidation type="list" allowBlank="1" showInputMessage="1" showErrorMessage="1" sqref="B46 B50 B54 B58 B62 B74 B78 B82 B66 B70">
      <formula1>FSOpsDesc</formula1>
    </dataValidation>
    <dataValidation allowBlank="1" showInputMessage="1" showErrorMessage="1" promptTitle="Annual Sales" prompt="Quoted quantity * piece part price" sqref="B143:F143 H143:L143"/>
    <dataValidation allowBlank="1" showInputMessage="1" showErrorMessage="1" promptTitle="Automation Press Adder" prompt="Based on the automation cost value at the press, we will add $ 3.00 per every $ 100,000 dollars of equipment at or run in conjunction with molding to the press rate._x000a_" sqref="B90:C90"/>
    <dataValidation allowBlank="1" showInputMessage="1" showErrorMessage="1" promptTitle="Date Due" prompt="Date quotation is due to customer." sqref="D7"/>
    <dataValidation allowBlank="1" showInputMessage="1" showErrorMessage="1" promptTitle="Delivered Mold Cost" prompt="Delivered mold cost as computed on the calculator sheet" sqref="L87:M87"/>
    <dataValidation allowBlank="1" showInputMessage="1" showErrorMessage="1" promptTitle="Mold Qualification Cost" prompt="Mold qualification cost as computed on the calculator sheet" sqref="L88:M88"/>
    <dataValidation allowBlank="1" showInputMessage="1" showErrorMessage="1" promptTitle="Auxillary Equipment Cost" prompt="Includes, automation, stamping dies, reels, plating racks and other." sqref="L90:M90"/>
    <dataValidation allowBlank="1" showInputMessage="1" showErrorMessage="1" promptTitle="Mold Cost With Mark-Up" prompt="Mold cost as computed on the calculator sheet with mark-up" sqref="L89:M89"/>
    <dataValidation allowBlank="1" showInputMessage="1" showErrorMessage="1" promptTitle="Auxillary  Equipment Price " prompt="Includes, automation, stamping dies, reels, plating racks and other" sqref="L91:M91"/>
    <dataValidation allowBlank="1" showInputMessage="1" showErrorMessage="1" promptTitle="Total Customer Tooling Price" prompt="This is the total mold and automation price.  You may enter a number directly or compute from the calculator sheet.  The reset button will reset the formula to display the calculate total tooling price." sqref="L92:M92"/>
    <dataValidation allowBlank="1" showInputMessage="1" showErrorMessage="1" promptTitle="Weekly Production" prompt="Used .85% of a 100 hour week X the calculated pieces per hour." sqref="C203:C204"/>
    <dataValidation type="list" allowBlank="1" showInputMessage="1" showErrorMessage="1" promptTitle="Market Codes" prompt="Please select the appropriate market code" sqref="D9">
      <formula1>MarketCodes</formula1>
    </dataValidation>
    <dataValidation type="list" allowBlank="1" showInputMessage="1" showErrorMessage="1" promptTitle="Market Codes" prompt="Please select the appropriate market code" sqref="F7">
      <formula1>Hierarchy1</formula1>
    </dataValidation>
    <dataValidation type="list" allowBlank="1" showInputMessage="1" showErrorMessage="1" promptTitle="Market Codes" prompt="Please select the appropriate market code" sqref="F8">
      <formula1>Hierarchy2</formula1>
    </dataValidation>
    <dataValidation type="list" allowBlank="1" showInputMessage="1" showErrorMessage="1" promptTitle="Market Codes" prompt="Please select the appropriate market code" sqref="F9">
      <formula1>Hierarchy3</formula1>
    </dataValidation>
    <dataValidation type="list" allowBlank="1" showInputMessage="1" showErrorMessage="1" promptTitle="Press Option" prompt="Enter press option here by selecting from the list.  After all routing entries have been made, click on the update button." sqref="B45 B61 B73 B69 B53 B77 B57 B81 B65 B49">
      <formula1>PRList</formula1>
    </dataValidation>
    <dataValidation allowBlank="1" showInputMessage="1" showErrorMessage="1" promptTitle="Number Of Set-Ups" prompt="Enter the number of set-ups by quantity" sqref="B120:F120 H120:L120"/>
    <dataValidation allowBlank="1" showInputMessage="1" showErrorMessage="1" promptTitle="Routing Yield One" prompt="Enter routing yield here.  This yield will apply to all scenario one routing data." sqref="B86"/>
    <dataValidation type="list" operator="equal" allowBlank="1" showInputMessage="1" showErrorMessage="1" promptTitle="Packaging Information:" prompt="Enter one of the following values" sqref="E89">
      <formula1>PSPack</formula1>
    </dataValidation>
    <dataValidation operator="equal" allowBlank="1" showInputMessage="1" showErrorMessage="1" promptTitle="Packaging Information:" prompt="Enter one of the following values" sqref="F89"/>
    <dataValidation allowBlank="1" showInputMessage="1" showErrorMessage="1" promptTitle="Part Weight" prompt="Rounds to two places the part weight entered above._x000a_" sqref="C193"/>
  </dataValidations>
  <hyperlinks>
    <hyperlink ref="P4" r:id="rId1"/>
    <hyperlink ref="P5" r:id="rId2"/>
    <hyperlink ref="P8" r:id="rId3"/>
    <hyperlink ref="P7" r:id="rId4"/>
    <hyperlink ref="P6" r:id="rId5"/>
    <hyperlink ref="O9" r:id="rId6"/>
    <hyperlink ref="P9" r:id="rId7"/>
    <hyperlink ref="O2" r:id="rId8"/>
    <hyperlink ref="O3" r:id="rId9"/>
    <hyperlink ref="O7" r:id="rId10"/>
    <hyperlink ref="O6" r:id="rId11"/>
    <hyperlink ref="O4" r:id="rId12"/>
    <hyperlink ref="O5" r:id="rId13"/>
    <hyperlink ref="O8" r:id="rId14"/>
    <hyperlink ref="P2" r:id="rId15"/>
    <hyperlink ref="P3" r:id="rId16"/>
    <hyperlink ref="O10" r:id="rId17"/>
    <hyperlink ref="P10" r:id="rId18"/>
  </hyperlinks>
  <pageMargins left="0.1" right="0.1" top="0.4" bottom="0.15" header="0.25" footer="0"/>
  <pageSetup scale="59" fitToHeight="2" orientation="landscape" horizontalDpi="4294967292" verticalDpi="300" r:id="rId19"/>
  <headerFooter alignWithMargins="0">
    <oddHeader>&amp;L&amp;"Arial,Bold"&amp;12Quote Number &amp;F&amp;C&amp;"Arial,Bold"&amp;12Thermotech Quotation&amp;R&amp;12 &amp;"Arial,Bold"&amp;T        &amp;D</oddHeader>
    <oddFooter>&amp;RPart Cost 2002</oddFooter>
  </headerFooter>
  <drawing r:id="rId20"/>
  <legacyDrawing r:id="rId21"/>
  <mc:AlternateContent xmlns:mc="http://schemas.openxmlformats.org/markup-compatibility/2006">
    <mc:Choice Requires="x14">
      <controls>
        <mc:AlternateContent xmlns:mc="http://schemas.openxmlformats.org/markup-compatibility/2006">
          <mc:Choice Requires="x14">
            <control shapeId="1048" r:id="rId22" name="Button 24">
              <controlPr defaultSize="0" print="0" autoFill="0" autoPict="0" macro="[0]!QuoteEntry">
                <anchor moveWithCells="1">
                  <from>
                    <xdr:col>3</xdr:col>
                    <xdr:colOff>9525</xdr:colOff>
                    <xdr:row>84</xdr:row>
                    <xdr:rowOff>76200</xdr:rowOff>
                  </from>
                  <to>
                    <xdr:col>3</xdr:col>
                    <xdr:colOff>742950</xdr:colOff>
                    <xdr:row>85</xdr:row>
                    <xdr:rowOff>142875</xdr:rowOff>
                  </to>
                </anchor>
              </controlPr>
            </control>
          </mc:Choice>
        </mc:AlternateContent>
        <mc:AlternateContent xmlns:mc="http://schemas.openxmlformats.org/markup-compatibility/2006">
          <mc:Choice Requires="x14">
            <control shapeId="1052" r:id="rId23" name="Button 28">
              <controlPr defaultSize="0" print="0" autoFill="0" autoPict="0" macro="[0]!toPressRates">
                <anchor moveWithCells="1">
                  <from>
                    <xdr:col>3</xdr:col>
                    <xdr:colOff>742950</xdr:colOff>
                    <xdr:row>84</xdr:row>
                    <xdr:rowOff>76200</xdr:rowOff>
                  </from>
                  <to>
                    <xdr:col>4</xdr:col>
                    <xdr:colOff>561975</xdr:colOff>
                    <xdr:row>85</xdr:row>
                    <xdr:rowOff>142875</xdr:rowOff>
                  </to>
                </anchor>
              </controlPr>
            </control>
          </mc:Choice>
        </mc:AlternateContent>
        <mc:AlternateContent xmlns:mc="http://schemas.openxmlformats.org/markup-compatibility/2006">
          <mc:Choice Requires="x14">
            <control shapeId="1061" r:id="rId24" name="Button 37">
              <controlPr defaultSize="0" print="0" autoFill="0" autoPict="0" macro="[0]!tonotes">
                <anchor moveWithCells="1">
                  <from>
                    <xdr:col>0</xdr:col>
                    <xdr:colOff>0</xdr:colOff>
                    <xdr:row>162</xdr:row>
                    <xdr:rowOff>0</xdr:rowOff>
                  </from>
                  <to>
                    <xdr:col>0</xdr:col>
                    <xdr:colOff>914400</xdr:colOff>
                    <xdr:row>163</xdr:row>
                    <xdr:rowOff>66675</xdr:rowOff>
                  </to>
                </anchor>
              </controlPr>
            </control>
          </mc:Choice>
        </mc:AlternateContent>
        <mc:AlternateContent xmlns:mc="http://schemas.openxmlformats.org/markup-compatibility/2006">
          <mc:Choice Requires="x14">
            <control shapeId="1066" r:id="rId25" name="Button 42">
              <controlPr defaultSize="0" print="0" autoFill="0" autoPict="0" macro="[0]!tosalescontact">
                <anchor moveWithCells="1">
                  <from>
                    <xdr:col>2</xdr:col>
                    <xdr:colOff>390525</xdr:colOff>
                    <xdr:row>0</xdr:row>
                    <xdr:rowOff>0</xdr:rowOff>
                  </from>
                  <to>
                    <xdr:col>3</xdr:col>
                    <xdr:colOff>238125</xdr:colOff>
                    <xdr:row>0</xdr:row>
                    <xdr:rowOff>180975</xdr:rowOff>
                  </to>
                </anchor>
              </controlPr>
            </control>
          </mc:Choice>
        </mc:AlternateContent>
        <mc:AlternateContent xmlns:mc="http://schemas.openxmlformats.org/markup-compatibility/2006">
          <mc:Choice Requires="x14">
            <control shapeId="1071" r:id="rId26" name="Button 47">
              <controlPr defaultSize="0" print="0" autoFill="0" autoPict="0" macro="[0]!Automation">
                <anchor moveWithCells="1">
                  <from>
                    <xdr:col>4</xdr:col>
                    <xdr:colOff>571500</xdr:colOff>
                    <xdr:row>84</xdr:row>
                    <xdr:rowOff>76200</xdr:rowOff>
                  </from>
                  <to>
                    <xdr:col>5</xdr:col>
                    <xdr:colOff>476250</xdr:colOff>
                    <xdr:row>85</xdr:row>
                    <xdr:rowOff>142875</xdr:rowOff>
                  </to>
                </anchor>
              </controlPr>
            </control>
          </mc:Choice>
        </mc:AlternateContent>
        <mc:AlternateContent xmlns:mc="http://schemas.openxmlformats.org/markup-compatibility/2006">
          <mc:Choice Requires="x14">
            <control shapeId="1073" r:id="rId27" name="Button 49">
              <controlPr defaultSize="0" print="0" autoFill="0" autoPict="0" macro="[0]!tocalculatorsheet">
                <anchor moveWithCells="1">
                  <from>
                    <xdr:col>12</xdr:col>
                    <xdr:colOff>0</xdr:colOff>
                    <xdr:row>7</xdr:row>
                    <xdr:rowOff>9525</xdr:rowOff>
                  </from>
                  <to>
                    <xdr:col>12</xdr:col>
                    <xdr:colOff>828675</xdr:colOff>
                    <xdr:row>8</xdr:row>
                    <xdr:rowOff>28575</xdr:rowOff>
                  </to>
                </anchor>
              </controlPr>
            </control>
          </mc:Choice>
        </mc:AlternateContent>
        <mc:AlternateContent xmlns:mc="http://schemas.openxmlformats.org/markup-compatibility/2006">
          <mc:Choice Requires="x14">
            <control shapeId="1081" r:id="rId28" name="Button 57">
              <controlPr defaultSize="0" print="0" autoFill="0" autoPict="0" macro="[0]!GFL">
                <anchor moveWithCells="1">
                  <from>
                    <xdr:col>13</xdr:col>
                    <xdr:colOff>9525</xdr:colOff>
                    <xdr:row>92</xdr:row>
                    <xdr:rowOff>123825</xdr:rowOff>
                  </from>
                  <to>
                    <xdr:col>13</xdr:col>
                    <xdr:colOff>466725</xdr:colOff>
                    <xdr:row>94</xdr:row>
                    <xdr:rowOff>9525</xdr:rowOff>
                  </to>
                </anchor>
              </controlPr>
            </control>
          </mc:Choice>
        </mc:AlternateContent>
        <mc:AlternateContent xmlns:mc="http://schemas.openxmlformats.org/markup-compatibility/2006">
          <mc:Choice Requires="x14">
            <control shapeId="1082" r:id="rId29" name="Button 58">
              <controlPr defaultSize="0" print="0" autoFill="0" autoPict="0" macro="[0]!PartRunnerWgt">
                <anchor moveWithCells="1">
                  <from>
                    <xdr:col>12</xdr:col>
                    <xdr:colOff>0</xdr:colOff>
                    <xdr:row>10</xdr:row>
                    <xdr:rowOff>66675</xdr:rowOff>
                  </from>
                  <to>
                    <xdr:col>12</xdr:col>
                    <xdr:colOff>819150</xdr:colOff>
                    <xdr:row>11</xdr:row>
                    <xdr:rowOff>47625</xdr:rowOff>
                  </to>
                </anchor>
              </controlPr>
            </control>
          </mc:Choice>
        </mc:AlternateContent>
        <mc:AlternateContent xmlns:mc="http://schemas.openxmlformats.org/markup-compatibility/2006">
          <mc:Choice Requires="x14">
            <control shapeId="1083" r:id="rId30" name="Button 59">
              <controlPr defaultSize="0" print="0" autoFill="0" autoPict="0" macro="[0]!MuCell">
                <anchor moveWithCells="1">
                  <from>
                    <xdr:col>2</xdr:col>
                    <xdr:colOff>723900</xdr:colOff>
                    <xdr:row>41</xdr:row>
                    <xdr:rowOff>0</xdr:rowOff>
                  </from>
                  <to>
                    <xdr:col>3</xdr:col>
                    <xdr:colOff>438150</xdr:colOff>
                    <xdr:row>42</xdr:row>
                    <xdr:rowOff>28575</xdr:rowOff>
                  </to>
                </anchor>
              </controlPr>
            </control>
          </mc:Choice>
        </mc:AlternateContent>
        <mc:AlternateContent xmlns:mc="http://schemas.openxmlformats.org/markup-compatibility/2006">
          <mc:Choice Requires="x14">
            <control shapeId="1088" r:id="rId31" name="Button 64">
              <controlPr defaultSize="0" print="0" autoFill="0" autoPict="0" macro="[0]!PrintQuoteEntry">
                <anchor moveWithCells="1">
                  <from>
                    <xdr:col>3</xdr:col>
                    <xdr:colOff>66675</xdr:colOff>
                    <xdr:row>184</xdr:row>
                    <xdr:rowOff>66675</xdr:rowOff>
                  </from>
                  <to>
                    <xdr:col>4</xdr:col>
                    <xdr:colOff>47625</xdr:colOff>
                    <xdr:row>185</xdr:row>
                    <xdr:rowOff>152400</xdr:rowOff>
                  </to>
                </anchor>
              </controlPr>
            </control>
          </mc:Choice>
        </mc:AlternateContent>
        <mc:AlternateContent xmlns:mc="http://schemas.openxmlformats.org/markup-compatibility/2006">
          <mc:Choice Requires="x14">
            <control shapeId="1091" r:id="rId32" name="Button 67">
              <controlPr defaultSize="0" print="0" autoFill="0" autoPict="0" macro="[0]!PrintCustomerQuoteEa">
                <anchor moveWithCells="1">
                  <from>
                    <xdr:col>4</xdr:col>
                    <xdr:colOff>47625</xdr:colOff>
                    <xdr:row>184</xdr:row>
                    <xdr:rowOff>66675</xdr:rowOff>
                  </from>
                  <to>
                    <xdr:col>5</xdr:col>
                    <xdr:colOff>28575</xdr:colOff>
                    <xdr:row>185</xdr:row>
                    <xdr:rowOff>152400</xdr:rowOff>
                  </to>
                </anchor>
              </controlPr>
            </control>
          </mc:Choice>
        </mc:AlternateContent>
        <mc:AlternateContent xmlns:mc="http://schemas.openxmlformats.org/markup-compatibility/2006">
          <mc:Choice Requires="x14">
            <control shapeId="1098" r:id="rId33" name="Button 74">
              <controlPr defaultSize="0" print="0" autoFill="0" autoPict="0" macro="[0]!ResetToolCalc">
                <anchor moveWithCells="1">
                  <from>
                    <xdr:col>13</xdr:col>
                    <xdr:colOff>9525</xdr:colOff>
                    <xdr:row>91</xdr:row>
                    <xdr:rowOff>47625</xdr:rowOff>
                  </from>
                  <to>
                    <xdr:col>13</xdr:col>
                    <xdr:colOff>466725</xdr:colOff>
                    <xdr:row>92</xdr:row>
                    <xdr:rowOff>114300</xdr:rowOff>
                  </to>
                </anchor>
              </controlPr>
            </control>
          </mc:Choice>
        </mc:AlternateContent>
        <mc:AlternateContent xmlns:mc="http://schemas.openxmlformats.org/markup-compatibility/2006">
          <mc:Choice Requires="x14">
            <control shapeId="1102" r:id="rId34" name="Button 78">
              <controlPr defaultSize="0" print="0" autoFill="0" autoPict="0" macro="[0]!ClearQuoteEntry">
                <anchor moveWithCells="1">
                  <from>
                    <xdr:col>0</xdr:col>
                    <xdr:colOff>1323975</xdr:colOff>
                    <xdr:row>0</xdr:row>
                    <xdr:rowOff>0</xdr:rowOff>
                  </from>
                  <to>
                    <xdr:col>1</xdr:col>
                    <xdr:colOff>800100</xdr:colOff>
                    <xdr:row>0</xdr:row>
                    <xdr:rowOff>180975</xdr:rowOff>
                  </to>
                </anchor>
              </controlPr>
            </control>
          </mc:Choice>
        </mc:AlternateContent>
        <mc:AlternateContent xmlns:mc="http://schemas.openxmlformats.org/markup-compatibility/2006">
          <mc:Choice Requires="x14">
            <control shapeId="1106" r:id="rId35" name="Button 82">
              <controlPr defaultSize="0" print="0" autoFill="0" autoPict="0" macro="[0]!SalesData">
                <anchor moveWithCells="1">
                  <from>
                    <xdr:col>6</xdr:col>
                    <xdr:colOff>9525</xdr:colOff>
                    <xdr:row>5</xdr:row>
                    <xdr:rowOff>314325</xdr:rowOff>
                  </from>
                  <to>
                    <xdr:col>6</xdr:col>
                    <xdr:colOff>523875</xdr:colOff>
                    <xdr:row>7</xdr:row>
                    <xdr:rowOff>19050</xdr:rowOff>
                  </to>
                </anchor>
              </controlPr>
            </control>
          </mc:Choice>
        </mc:AlternateContent>
        <mc:AlternateContent xmlns:mc="http://schemas.openxmlformats.org/markup-compatibility/2006">
          <mc:Choice Requires="x14">
            <control shapeId="1107" r:id="rId36" name="Button 83">
              <controlPr defaultSize="0" print="0" autoFill="0" autoPict="0" macro="[0]!tocustomermaster">
                <anchor moveWithCells="1">
                  <from>
                    <xdr:col>3</xdr:col>
                    <xdr:colOff>238125</xdr:colOff>
                    <xdr:row>0</xdr:row>
                    <xdr:rowOff>0</xdr:rowOff>
                  </from>
                  <to>
                    <xdr:col>4</xdr:col>
                    <xdr:colOff>76200</xdr:colOff>
                    <xdr:row>0</xdr:row>
                    <xdr:rowOff>180975</xdr:rowOff>
                  </to>
                </anchor>
              </controlPr>
            </control>
          </mc:Choice>
        </mc:AlternateContent>
        <mc:AlternateContent xmlns:mc="http://schemas.openxmlformats.org/markup-compatibility/2006">
          <mc:Choice Requires="x14">
            <control shapeId="1108" r:id="rId37" name="Button 84">
              <controlPr defaultSize="0" print="0" autoFill="0" autoPict="0" macro="[0]!Module1.OtherSheets">
                <anchor moveWithCells="1">
                  <from>
                    <xdr:col>5</xdr:col>
                    <xdr:colOff>476250</xdr:colOff>
                    <xdr:row>84</xdr:row>
                    <xdr:rowOff>76200</xdr:rowOff>
                  </from>
                  <to>
                    <xdr:col>6</xdr:col>
                    <xdr:colOff>390525</xdr:colOff>
                    <xdr:row>85</xdr:row>
                    <xdr:rowOff>142875</xdr:rowOff>
                  </to>
                </anchor>
              </controlPr>
            </control>
          </mc:Choice>
        </mc:AlternateContent>
        <mc:AlternateContent xmlns:mc="http://schemas.openxmlformats.org/markup-compatibility/2006">
          <mc:Choice Requires="x14">
            <control shapeId="1116" r:id="rId38" name="Button 92">
              <controlPr defaultSize="0" print="0" autoFill="0" autoPict="0" macro="[0]!PrintFullQuote">
                <anchor moveWithCells="1">
                  <from>
                    <xdr:col>5</xdr:col>
                    <xdr:colOff>28575</xdr:colOff>
                    <xdr:row>184</xdr:row>
                    <xdr:rowOff>66675</xdr:rowOff>
                  </from>
                  <to>
                    <xdr:col>6</xdr:col>
                    <xdr:colOff>9525</xdr:colOff>
                    <xdr:row>185</xdr:row>
                    <xdr:rowOff>152400</xdr:rowOff>
                  </to>
                </anchor>
              </controlPr>
            </control>
          </mc:Choice>
        </mc:AlternateContent>
        <mc:AlternateContent xmlns:mc="http://schemas.openxmlformats.org/markup-compatibility/2006">
          <mc:Choice Requires="x14">
            <control shapeId="1117" r:id="rId39" name="Button 93">
              <controlPr defaultSize="0" print="0" autoFill="0" autoPict="0" macro="[0]!tonotes">
                <anchor moveWithCells="1">
                  <from>
                    <xdr:col>0</xdr:col>
                    <xdr:colOff>9525</xdr:colOff>
                    <xdr:row>189</xdr:row>
                    <xdr:rowOff>95250</xdr:rowOff>
                  </from>
                  <to>
                    <xdr:col>0</xdr:col>
                    <xdr:colOff>895350</xdr:colOff>
                    <xdr:row>191</xdr:row>
                    <xdr:rowOff>9525</xdr:rowOff>
                  </to>
                </anchor>
              </controlPr>
            </control>
          </mc:Choice>
        </mc:AlternateContent>
        <mc:AlternateContent xmlns:mc="http://schemas.openxmlformats.org/markup-compatibility/2006">
          <mc:Choice Requires="x14">
            <control shapeId="1122" r:id="rId40" name="Button 98">
              <controlPr defaultSize="0" print="0" autoFill="0" autoPict="0" macro="[0]!StandardNotes">
                <anchor moveWithCells="1">
                  <from>
                    <xdr:col>0</xdr:col>
                    <xdr:colOff>9525</xdr:colOff>
                    <xdr:row>191</xdr:row>
                    <xdr:rowOff>9525</xdr:rowOff>
                  </from>
                  <to>
                    <xdr:col>0</xdr:col>
                    <xdr:colOff>895350</xdr:colOff>
                    <xdr:row>192</xdr:row>
                    <xdr:rowOff>76200</xdr:rowOff>
                  </to>
                </anchor>
              </controlPr>
            </control>
          </mc:Choice>
        </mc:AlternateContent>
        <mc:AlternateContent xmlns:mc="http://schemas.openxmlformats.org/markup-compatibility/2006">
          <mc:Choice Requires="x14">
            <control shapeId="1123" r:id="rId41" name="Button 99">
              <controlPr defaultSize="0" print="0" autoFill="0" autoPict="0" macro="[0]!InsertNotes">
                <anchor moveWithCells="1">
                  <from>
                    <xdr:col>0</xdr:col>
                    <xdr:colOff>9525</xdr:colOff>
                    <xdr:row>192</xdr:row>
                    <xdr:rowOff>85725</xdr:rowOff>
                  </from>
                  <to>
                    <xdr:col>0</xdr:col>
                    <xdr:colOff>895350</xdr:colOff>
                    <xdr:row>193</xdr:row>
                    <xdr:rowOff>152400</xdr:rowOff>
                  </to>
                </anchor>
              </controlPr>
            </control>
          </mc:Choice>
        </mc:AlternateContent>
        <mc:AlternateContent xmlns:mc="http://schemas.openxmlformats.org/markup-compatibility/2006">
          <mc:Choice Requires="x14">
            <control shapeId="1124" r:id="rId42" name="Button 100">
              <controlPr defaultSize="0" print="0" autoFill="0" autoPict="0" macro="[0]!CFTOOLNotes">
                <anchor moveWithCells="1">
                  <from>
                    <xdr:col>0</xdr:col>
                    <xdr:colOff>9525</xdr:colOff>
                    <xdr:row>193</xdr:row>
                    <xdr:rowOff>152400</xdr:rowOff>
                  </from>
                  <to>
                    <xdr:col>0</xdr:col>
                    <xdr:colOff>895350</xdr:colOff>
                    <xdr:row>195</xdr:row>
                    <xdr:rowOff>57150</xdr:rowOff>
                  </to>
                </anchor>
              </controlPr>
            </control>
          </mc:Choice>
        </mc:AlternateContent>
        <mc:AlternateContent xmlns:mc="http://schemas.openxmlformats.org/markup-compatibility/2006">
          <mc:Choice Requires="x14">
            <control shapeId="1125" r:id="rId43" name="Button 101">
              <controlPr defaultSize="0" print="0" autoFill="0" autoPict="0" macro="[0]!ResetBuyOutOneButton">
                <anchor moveWithCells="1">
                  <from>
                    <xdr:col>11</xdr:col>
                    <xdr:colOff>9525</xdr:colOff>
                    <xdr:row>16</xdr:row>
                    <xdr:rowOff>161925</xdr:rowOff>
                  </from>
                  <to>
                    <xdr:col>11</xdr:col>
                    <xdr:colOff>466725</xdr:colOff>
                    <xdr:row>42</xdr:row>
                    <xdr:rowOff>19050</xdr:rowOff>
                  </to>
                </anchor>
              </controlPr>
            </control>
          </mc:Choice>
        </mc:AlternateContent>
        <mc:AlternateContent xmlns:mc="http://schemas.openxmlformats.org/markup-compatibility/2006">
          <mc:Choice Requires="x14">
            <control shapeId="1126" r:id="rId44" name="Button 102">
              <controlPr defaultSize="0" print="0" autoFill="0" autoPict="0" macro="[0]!ResetMaterialThreeButton">
                <anchor moveWithCells="1">
                  <from>
                    <xdr:col>11</xdr:col>
                    <xdr:colOff>9525</xdr:colOff>
                    <xdr:row>14</xdr:row>
                    <xdr:rowOff>161925</xdr:rowOff>
                  </from>
                  <to>
                    <xdr:col>11</xdr:col>
                    <xdr:colOff>466725</xdr:colOff>
                    <xdr:row>42</xdr:row>
                    <xdr:rowOff>19050</xdr:rowOff>
                  </to>
                </anchor>
              </controlPr>
            </control>
          </mc:Choice>
        </mc:AlternateContent>
        <mc:AlternateContent xmlns:mc="http://schemas.openxmlformats.org/markup-compatibility/2006">
          <mc:Choice Requires="x14">
            <control shapeId="1127" r:id="rId45" name="Button 103">
              <controlPr defaultSize="0" print="0" autoFill="0" autoPict="0" macro="[0]!ResetMaterialTwoButton">
                <anchor moveWithCells="1">
                  <from>
                    <xdr:col>11</xdr:col>
                    <xdr:colOff>9525</xdr:colOff>
                    <xdr:row>12</xdr:row>
                    <xdr:rowOff>161925</xdr:rowOff>
                  </from>
                  <to>
                    <xdr:col>11</xdr:col>
                    <xdr:colOff>466725</xdr:colOff>
                    <xdr:row>42</xdr:row>
                    <xdr:rowOff>0</xdr:rowOff>
                  </to>
                </anchor>
              </controlPr>
            </control>
          </mc:Choice>
        </mc:AlternateContent>
        <mc:AlternateContent xmlns:mc="http://schemas.openxmlformats.org/markup-compatibility/2006">
          <mc:Choice Requires="x14">
            <control shapeId="1128" r:id="rId46" name="Button 104">
              <controlPr defaultSize="0" print="0" autoFill="0" autoPict="0" macro="[0]!ResetMaterialOneButton">
                <anchor moveWithCells="1">
                  <from>
                    <xdr:col>11</xdr:col>
                    <xdr:colOff>9525</xdr:colOff>
                    <xdr:row>10</xdr:row>
                    <xdr:rowOff>190500</xdr:rowOff>
                  </from>
                  <to>
                    <xdr:col>11</xdr:col>
                    <xdr:colOff>466725</xdr:colOff>
                    <xdr:row>11</xdr:row>
                    <xdr:rowOff>161925</xdr:rowOff>
                  </to>
                </anchor>
              </controlPr>
            </control>
          </mc:Choice>
        </mc:AlternateContent>
        <mc:AlternateContent xmlns:mc="http://schemas.openxmlformats.org/markup-compatibility/2006">
          <mc:Choice Requires="x14">
            <control shapeId="1129" r:id="rId47" name="Button 105">
              <controlPr defaultSize="0" print="0" autoFill="0" autoPict="0" macro="[0]!ProjectAnalystNotes">
                <anchor moveWithCells="1">
                  <from>
                    <xdr:col>0</xdr:col>
                    <xdr:colOff>0</xdr:colOff>
                    <xdr:row>163</xdr:row>
                    <xdr:rowOff>66675</xdr:rowOff>
                  </from>
                  <to>
                    <xdr:col>0</xdr:col>
                    <xdr:colOff>914400</xdr:colOff>
                    <xdr:row>164</xdr:row>
                    <xdr:rowOff>142875</xdr:rowOff>
                  </to>
                </anchor>
              </controlPr>
            </control>
          </mc:Choice>
        </mc:AlternateContent>
        <mc:AlternateContent xmlns:mc="http://schemas.openxmlformats.org/markup-compatibility/2006">
          <mc:Choice Requires="x14">
            <control shapeId="1132" r:id="rId48" name="Button 108">
              <controlPr defaultSize="0" print="0" autoFill="0" autoPict="0" macro="[0]!ResetCostAdjusterOneButton">
                <anchor moveWithCells="1">
                  <from>
                    <xdr:col>6</xdr:col>
                    <xdr:colOff>9525</xdr:colOff>
                    <xdr:row>127</xdr:row>
                    <xdr:rowOff>152400</xdr:rowOff>
                  </from>
                  <to>
                    <xdr:col>6</xdr:col>
                    <xdr:colOff>466725</xdr:colOff>
                    <xdr:row>128</xdr:row>
                    <xdr:rowOff>152400</xdr:rowOff>
                  </to>
                </anchor>
              </controlPr>
            </control>
          </mc:Choice>
        </mc:AlternateContent>
        <mc:AlternateContent xmlns:mc="http://schemas.openxmlformats.org/markup-compatibility/2006">
          <mc:Choice Requires="x14">
            <control shapeId="1133" r:id="rId49" name="Button 109">
              <controlPr defaultSize="0" print="0" autoFill="0" autoPict="0" macro="[0]!ResetPriceAdjusterOneButton">
                <anchor moveWithCells="1">
                  <from>
                    <xdr:col>6</xdr:col>
                    <xdr:colOff>9525</xdr:colOff>
                    <xdr:row>129</xdr:row>
                    <xdr:rowOff>161925</xdr:rowOff>
                  </from>
                  <to>
                    <xdr:col>6</xdr:col>
                    <xdr:colOff>466725</xdr:colOff>
                    <xdr:row>130</xdr:row>
                    <xdr:rowOff>161925</xdr:rowOff>
                  </to>
                </anchor>
              </controlPr>
            </control>
          </mc:Choice>
        </mc:AlternateContent>
        <mc:AlternateContent xmlns:mc="http://schemas.openxmlformats.org/markup-compatibility/2006">
          <mc:Choice Requires="x14">
            <control shapeId="1134" r:id="rId50" name="Button 110">
              <controlPr defaultSize="0" print="0" autoFill="0" autoPict="0" macro="[0]!ResetBuyOutTwoButton">
                <anchor moveWithCells="1">
                  <from>
                    <xdr:col>11</xdr:col>
                    <xdr:colOff>9525</xdr:colOff>
                    <xdr:row>18</xdr:row>
                    <xdr:rowOff>161925</xdr:rowOff>
                  </from>
                  <to>
                    <xdr:col>11</xdr:col>
                    <xdr:colOff>466725</xdr:colOff>
                    <xdr:row>42</xdr:row>
                    <xdr:rowOff>9525</xdr:rowOff>
                  </to>
                </anchor>
              </controlPr>
            </control>
          </mc:Choice>
        </mc:AlternateContent>
        <mc:AlternateContent xmlns:mc="http://schemas.openxmlformats.org/markup-compatibility/2006">
          <mc:Choice Requires="x14">
            <control shapeId="1135" r:id="rId51" name="Button 111">
              <controlPr defaultSize="0" print="0" autoFill="0" autoPict="0" macro="[0]!ResetCostAdjusterTwoButton">
                <anchor moveWithCells="1">
                  <from>
                    <xdr:col>12</xdr:col>
                    <xdr:colOff>9525</xdr:colOff>
                    <xdr:row>128</xdr:row>
                    <xdr:rowOff>9525</xdr:rowOff>
                  </from>
                  <to>
                    <xdr:col>12</xdr:col>
                    <xdr:colOff>466725</xdr:colOff>
                    <xdr:row>129</xdr:row>
                    <xdr:rowOff>9525</xdr:rowOff>
                  </to>
                </anchor>
              </controlPr>
            </control>
          </mc:Choice>
        </mc:AlternateContent>
        <mc:AlternateContent xmlns:mc="http://schemas.openxmlformats.org/markup-compatibility/2006">
          <mc:Choice Requires="x14">
            <control shapeId="1136" r:id="rId52" name="Button 112">
              <controlPr defaultSize="0" print="0" autoFill="0" autoPict="0" macro="[0]!ResetPriceAdjusterTwoButton">
                <anchor moveWithCells="1">
                  <from>
                    <xdr:col>12</xdr:col>
                    <xdr:colOff>9525</xdr:colOff>
                    <xdr:row>130</xdr:row>
                    <xdr:rowOff>9525</xdr:rowOff>
                  </from>
                  <to>
                    <xdr:col>12</xdr:col>
                    <xdr:colOff>466725</xdr:colOff>
                    <xdr:row>131</xdr:row>
                    <xdr:rowOff>9525</xdr:rowOff>
                  </to>
                </anchor>
              </controlPr>
            </control>
          </mc:Choice>
        </mc:AlternateContent>
        <mc:AlternateContent xmlns:mc="http://schemas.openxmlformats.org/markup-compatibility/2006">
          <mc:Choice Requires="x14">
            <control shapeId="1194" r:id="rId53" name="Button 170">
              <controlPr defaultSize="0" print="0" autoFill="0" autoPict="0" macro="[0]!ToRevisionSheet">
                <anchor moveWithCells="1">
                  <from>
                    <xdr:col>4</xdr:col>
                    <xdr:colOff>85725</xdr:colOff>
                    <xdr:row>0</xdr:row>
                    <xdr:rowOff>0</xdr:rowOff>
                  </from>
                  <to>
                    <xdr:col>4</xdr:col>
                    <xdr:colOff>476250</xdr:colOff>
                    <xdr:row>0</xdr:row>
                    <xdr:rowOff>180975</xdr:rowOff>
                  </to>
                </anchor>
              </controlPr>
            </control>
          </mc:Choice>
        </mc:AlternateContent>
        <mc:AlternateContent xmlns:mc="http://schemas.openxmlformats.org/markup-compatibility/2006">
          <mc:Choice Requires="x14">
            <control shapeId="1234" r:id="rId54" name="Button 210">
              <controlPr defaultSize="0" print="0" autoFill="0" autoPict="0" macro="[0]!GearDataNotes">
                <anchor moveWithCells="1">
                  <from>
                    <xdr:col>0</xdr:col>
                    <xdr:colOff>0</xdr:colOff>
                    <xdr:row>164</xdr:row>
                    <xdr:rowOff>142875</xdr:rowOff>
                  </from>
                  <to>
                    <xdr:col>0</xdr:col>
                    <xdr:colOff>914400</xdr:colOff>
                    <xdr:row>166</xdr:row>
                    <xdr:rowOff>47625</xdr:rowOff>
                  </to>
                </anchor>
              </controlPr>
            </control>
          </mc:Choice>
        </mc:AlternateContent>
        <mc:AlternateContent xmlns:mc="http://schemas.openxmlformats.org/markup-compatibility/2006">
          <mc:Choice Requires="x14">
            <control shapeId="1240" r:id="rId55" name="Button 216">
              <controlPr defaultSize="0" print="0" autoFill="0" autoPict="0" macro="[0]!toCustomerQuoteSheetEach">
                <anchor moveWithCells="1">
                  <from>
                    <xdr:col>6</xdr:col>
                    <xdr:colOff>9525</xdr:colOff>
                    <xdr:row>184</xdr:row>
                    <xdr:rowOff>66675</xdr:rowOff>
                  </from>
                  <to>
                    <xdr:col>6</xdr:col>
                    <xdr:colOff>895350</xdr:colOff>
                    <xdr:row>185</xdr:row>
                    <xdr:rowOff>152400</xdr:rowOff>
                  </to>
                </anchor>
              </controlPr>
            </control>
          </mc:Choice>
        </mc:AlternateContent>
        <mc:AlternateContent xmlns:mc="http://schemas.openxmlformats.org/markup-compatibility/2006">
          <mc:Choice Requires="x14">
            <control shapeId="1407" r:id="rId56" name="Button 383">
              <controlPr defaultSize="0" print="0" autoFill="0" autoPict="0" macro="[0]!PrototypeNotes">
                <anchor moveWithCells="1">
                  <from>
                    <xdr:col>0</xdr:col>
                    <xdr:colOff>9525</xdr:colOff>
                    <xdr:row>195</xdr:row>
                    <xdr:rowOff>57150</xdr:rowOff>
                  </from>
                  <to>
                    <xdr:col>0</xdr:col>
                    <xdr:colOff>895350</xdr:colOff>
                    <xdr:row>196</xdr:row>
                    <xdr:rowOff>123825</xdr:rowOff>
                  </to>
                </anchor>
              </controlPr>
            </control>
          </mc:Choice>
        </mc:AlternateContent>
        <mc:AlternateContent xmlns:mc="http://schemas.openxmlformats.org/markup-compatibility/2006">
          <mc:Choice Requires="x14">
            <control shapeId="1417" r:id="rId57" name="Button 393">
              <controlPr defaultSize="0" print="0" autoFill="0" autoPict="0" macro="[0]!SpellCheck">
                <anchor moveWithCells="1">
                  <from>
                    <xdr:col>0</xdr:col>
                    <xdr:colOff>9525</xdr:colOff>
                    <xdr:row>199</xdr:row>
                    <xdr:rowOff>123825</xdr:rowOff>
                  </from>
                  <to>
                    <xdr:col>0</xdr:col>
                    <xdr:colOff>895350</xdr:colOff>
                    <xdr:row>201</xdr:row>
                    <xdr:rowOff>28575</xdr:rowOff>
                  </to>
                </anchor>
              </controlPr>
            </control>
          </mc:Choice>
        </mc:AlternateContent>
        <mc:AlternateContent xmlns:mc="http://schemas.openxmlformats.org/markup-compatibility/2006">
          <mc:Choice Requires="x14">
            <control shapeId="1479" r:id="rId58" name="Button 455">
              <controlPr defaultSize="0" print="0" autoFill="0" autoPict="0" macro="[0]!NewQuoteForm">
                <anchor moveWithCells="1">
                  <from>
                    <xdr:col>1</xdr:col>
                    <xdr:colOff>800100</xdr:colOff>
                    <xdr:row>0</xdr:row>
                    <xdr:rowOff>0</xdr:rowOff>
                  </from>
                  <to>
                    <xdr:col>2</xdr:col>
                    <xdr:colOff>381000</xdr:colOff>
                    <xdr:row>0</xdr:row>
                    <xdr:rowOff>180975</xdr:rowOff>
                  </to>
                </anchor>
              </controlPr>
            </control>
          </mc:Choice>
        </mc:AlternateContent>
        <mc:AlternateContent xmlns:mc="http://schemas.openxmlformats.org/markup-compatibility/2006">
          <mc:Choice Requires="x14">
            <control shapeId="1532" r:id="rId59" name="Button 508">
              <controlPr defaultSize="0" print="0" autoFill="0" autoPict="0" macro="[0]!DeleteBlankLine">
                <anchor moveWithCells="1">
                  <from>
                    <xdr:col>0</xdr:col>
                    <xdr:colOff>9525</xdr:colOff>
                    <xdr:row>201</xdr:row>
                    <xdr:rowOff>28575</xdr:rowOff>
                  </from>
                  <to>
                    <xdr:col>0</xdr:col>
                    <xdr:colOff>895350</xdr:colOff>
                    <xdr:row>202</xdr:row>
                    <xdr:rowOff>95250</xdr:rowOff>
                  </to>
                </anchor>
              </controlPr>
            </control>
          </mc:Choice>
        </mc:AlternateContent>
        <mc:AlternateContent xmlns:mc="http://schemas.openxmlformats.org/markup-compatibility/2006">
          <mc:Choice Requires="x14">
            <control shapeId="1816" r:id="rId60" name="Button 792">
              <controlPr defaultSize="0" print="0" autoFill="0" autoPict="0" macro="[0]!AddMaterialLine">
                <anchor moveWithCells="1">
                  <from>
                    <xdr:col>2</xdr:col>
                    <xdr:colOff>38100</xdr:colOff>
                    <xdr:row>41</xdr:row>
                    <xdr:rowOff>0</xdr:rowOff>
                  </from>
                  <to>
                    <xdr:col>2</xdr:col>
                    <xdr:colOff>723900</xdr:colOff>
                    <xdr:row>42</xdr:row>
                    <xdr:rowOff>28575</xdr:rowOff>
                  </to>
                </anchor>
              </controlPr>
            </control>
          </mc:Choice>
        </mc:AlternateContent>
        <mc:AlternateContent xmlns:mc="http://schemas.openxmlformats.org/markup-compatibility/2006">
          <mc:Choice Requires="x14">
            <control shapeId="1823" r:id="rId61" name="Button 799">
              <controlPr defaultSize="0" print="0" autoFill="0" autoPict="0" macro="[0]!ResetMaterialSevenButton">
                <anchor moveWithCells="1">
                  <from>
                    <xdr:col>11</xdr:col>
                    <xdr:colOff>9525</xdr:colOff>
                    <xdr:row>22</xdr:row>
                    <xdr:rowOff>152400</xdr:rowOff>
                  </from>
                  <to>
                    <xdr:col>11</xdr:col>
                    <xdr:colOff>466725</xdr:colOff>
                    <xdr:row>42</xdr:row>
                    <xdr:rowOff>9525</xdr:rowOff>
                  </to>
                </anchor>
              </controlPr>
            </control>
          </mc:Choice>
        </mc:AlternateContent>
        <mc:AlternateContent xmlns:mc="http://schemas.openxmlformats.org/markup-compatibility/2006">
          <mc:Choice Requires="x14">
            <control shapeId="1824" r:id="rId62" name="Button 800">
              <controlPr defaultSize="0" print="0" autoFill="0" autoPict="0" macro="[0]!ResetMaterialSixButton">
                <anchor moveWithCells="1">
                  <from>
                    <xdr:col>11</xdr:col>
                    <xdr:colOff>9525</xdr:colOff>
                    <xdr:row>20</xdr:row>
                    <xdr:rowOff>152400</xdr:rowOff>
                  </from>
                  <to>
                    <xdr:col>11</xdr:col>
                    <xdr:colOff>466725</xdr:colOff>
                    <xdr:row>42</xdr:row>
                    <xdr:rowOff>9525</xdr:rowOff>
                  </to>
                </anchor>
              </controlPr>
            </control>
          </mc:Choice>
        </mc:AlternateContent>
        <mc:AlternateContent xmlns:mc="http://schemas.openxmlformats.org/markup-compatibility/2006">
          <mc:Choice Requires="x14">
            <control shapeId="1825" r:id="rId63" name="Button 801">
              <controlPr defaultSize="0" print="0" autoFill="0" autoPict="0" macro="[0]!ResetMaterialEightButton">
                <anchor moveWithCells="1">
                  <from>
                    <xdr:col>11</xdr:col>
                    <xdr:colOff>9525</xdr:colOff>
                    <xdr:row>24</xdr:row>
                    <xdr:rowOff>152400</xdr:rowOff>
                  </from>
                  <to>
                    <xdr:col>11</xdr:col>
                    <xdr:colOff>466725</xdr:colOff>
                    <xdr:row>42</xdr:row>
                    <xdr:rowOff>9525</xdr:rowOff>
                  </to>
                </anchor>
              </controlPr>
            </control>
          </mc:Choice>
        </mc:AlternateContent>
        <mc:AlternateContent xmlns:mc="http://schemas.openxmlformats.org/markup-compatibility/2006">
          <mc:Choice Requires="x14">
            <control shapeId="1826" r:id="rId64" name="Button 802">
              <controlPr defaultSize="0" print="0" autoFill="0" autoPict="0" macro="[0]!ResetMaterialNineButton">
                <anchor moveWithCells="1">
                  <from>
                    <xdr:col>11</xdr:col>
                    <xdr:colOff>9525</xdr:colOff>
                    <xdr:row>26</xdr:row>
                    <xdr:rowOff>152400</xdr:rowOff>
                  </from>
                  <to>
                    <xdr:col>11</xdr:col>
                    <xdr:colOff>466725</xdr:colOff>
                    <xdr:row>42</xdr:row>
                    <xdr:rowOff>9525</xdr:rowOff>
                  </to>
                </anchor>
              </controlPr>
            </control>
          </mc:Choice>
        </mc:AlternateContent>
        <mc:AlternateContent xmlns:mc="http://schemas.openxmlformats.org/markup-compatibility/2006">
          <mc:Choice Requires="x14">
            <control shapeId="1827" r:id="rId65" name="Button 803">
              <controlPr defaultSize="0" print="0" autoFill="0" autoPict="0" macro="[0]!ResetMaterialTenButton">
                <anchor moveWithCells="1">
                  <from>
                    <xdr:col>11</xdr:col>
                    <xdr:colOff>9525</xdr:colOff>
                    <xdr:row>28</xdr:row>
                    <xdr:rowOff>152400</xdr:rowOff>
                  </from>
                  <to>
                    <xdr:col>11</xdr:col>
                    <xdr:colOff>466725</xdr:colOff>
                    <xdr:row>42</xdr:row>
                    <xdr:rowOff>9525</xdr:rowOff>
                  </to>
                </anchor>
              </controlPr>
            </control>
          </mc:Choice>
        </mc:AlternateContent>
        <mc:AlternateContent xmlns:mc="http://schemas.openxmlformats.org/markup-compatibility/2006">
          <mc:Choice Requires="x14">
            <control shapeId="1840" r:id="rId66" name="Button 816">
              <controlPr defaultSize="0" print="0" autoFill="0" autoPict="0" macro="[0]!AddPressLine">
                <anchor moveWithCells="1">
                  <from>
                    <xdr:col>6</xdr:col>
                    <xdr:colOff>390525</xdr:colOff>
                    <xdr:row>84</xdr:row>
                    <xdr:rowOff>76200</xdr:rowOff>
                  </from>
                  <to>
                    <xdr:col>7</xdr:col>
                    <xdr:colOff>285750</xdr:colOff>
                    <xdr:row>85</xdr:row>
                    <xdr:rowOff>142875</xdr:rowOff>
                  </to>
                </anchor>
              </controlPr>
            </control>
          </mc:Choice>
        </mc:AlternateContent>
        <mc:AlternateContent xmlns:mc="http://schemas.openxmlformats.org/markup-compatibility/2006">
          <mc:Choice Requires="x14">
            <control shapeId="1895" r:id="rId67" name="Button 871">
              <controlPr defaultSize="0" print="0" autoFill="0" autoPict="0" macro="[0]!AmortizationNotes">
                <anchor moveWithCells="1">
                  <from>
                    <xdr:col>0</xdr:col>
                    <xdr:colOff>9525</xdr:colOff>
                    <xdr:row>198</xdr:row>
                    <xdr:rowOff>47625</xdr:rowOff>
                  </from>
                  <to>
                    <xdr:col>0</xdr:col>
                    <xdr:colOff>895350</xdr:colOff>
                    <xdr:row>199</xdr:row>
                    <xdr:rowOff>114300</xdr:rowOff>
                  </to>
                </anchor>
              </controlPr>
            </control>
          </mc:Choice>
        </mc:AlternateContent>
        <mc:AlternateContent xmlns:mc="http://schemas.openxmlformats.org/markup-compatibility/2006">
          <mc:Choice Requires="x14">
            <control shapeId="1939" r:id="rId68" name="Button 915">
              <controlPr defaultSize="0" print="0" autoFill="0" autoPict="0" macro="[0]!PrintRFQForm">
                <anchor moveWithCells="1">
                  <from>
                    <xdr:col>9</xdr:col>
                    <xdr:colOff>9525</xdr:colOff>
                    <xdr:row>5</xdr:row>
                    <xdr:rowOff>295275</xdr:rowOff>
                  </from>
                  <to>
                    <xdr:col>9</xdr:col>
                    <xdr:colOff>771525</xdr:colOff>
                    <xdr:row>7</xdr:row>
                    <xdr:rowOff>19050</xdr:rowOff>
                  </to>
                </anchor>
              </controlPr>
            </control>
          </mc:Choice>
        </mc:AlternateContent>
        <mc:AlternateContent xmlns:mc="http://schemas.openxmlformats.org/markup-compatibility/2006">
          <mc:Choice Requires="x14">
            <control shapeId="1944" r:id="rId69" name="Button 920">
              <controlPr defaultSize="0" print="0" autoFill="0" autoPict="0" macro="[0]!PrintRFQForm">
                <anchor moveWithCells="1">
                  <from>
                    <xdr:col>0</xdr:col>
                    <xdr:colOff>0</xdr:colOff>
                    <xdr:row>166</xdr:row>
                    <xdr:rowOff>47625</xdr:rowOff>
                  </from>
                  <to>
                    <xdr:col>0</xdr:col>
                    <xdr:colOff>914400</xdr:colOff>
                    <xdr:row>167</xdr:row>
                    <xdr:rowOff>114300</xdr:rowOff>
                  </to>
                </anchor>
              </controlPr>
            </control>
          </mc:Choice>
        </mc:AlternateContent>
        <mc:AlternateContent xmlns:mc="http://schemas.openxmlformats.org/markup-compatibility/2006">
          <mc:Choice Requires="x14">
            <control shapeId="2036" r:id="rId70" name="Button 1012">
              <controlPr defaultSize="0" print="0" autoFill="0" autoPict="0" macro="[0]!ResetRunQty2Button">
                <anchor moveWithCells="1">
                  <from>
                    <xdr:col>10</xdr:col>
                    <xdr:colOff>542925</xdr:colOff>
                    <xdr:row>6</xdr:row>
                    <xdr:rowOff>9525</xdr:rowOff>
                  </from>
                  <to>
                    <xdr:col>11</xdr:col>
                    <xdr:colOff>85725</xdr:colOff>
                    <xdr:row>6</xdr:row>
                    <xdr:rowOff>161925</xdr:rowOff>
                  </to>
                </anchor>
              </controlPr>
            </control>
          </mc:Choice>
        </mc:AlternateContent>
        <mc:AlternateContent xmlns:mc="http://schemas.openxmlformats.org/markup-compatibility/2006">
          <mc:Choice Requires="x14">
            <control shapeId="44113" r:id="rId71" name="Button 1105">
              <controlPr defaultSize="0" print="0" autoFill="0" autoPict="0" macro="[0]!Percentage">
                <anchor moveWithCells="1">
                  <from>
                    <xdr:col>6</xdr:col>
                    <xdr:colOff>9525</xdr:colOff>
                    <xdr:row>157</xdr:row>
                    <xdr:rowOff>9525</xdr:rowOff>
                  </from>
                  <to>
                    <xdr:col>6</xdr:col>
                    <xdr:colOff>466725</xdr:colOff>
                    <xdr:row>158</xdr:row>
                    <xdr:rowOff>28575</xdr:rowOff>
                  </to>
                </anchor>
              </controlPr>
            </control>
          </mc:Choice>
        </mc:AlternateContent>
        <mc:AlternateContent xmlns:mc="http://schemas.openxmlformats.org/markup-compatibility/2006">
          <mc:Choice Requires="x14">
            <control shapeId="44138" r:id="rId72" name="Button 1130">
              <controlPr defaultSize="0" print="0" autoFill="0" autoPict="0" macro="[0]!ResetMinRelAndShip">
                <anchor moveWithCells="1">
                  <from>
                    <xdr:col>6</xdr:col>
                    <xdr:colOff>9525</xdr:colOff>
                    <xdr:row>146</xdr:row>
                    <xdr:rowOff>142875</xdr:rowOff>
                  </from>
                  <to>
                    <xdr:col>6</xdr:col>
                    <xdr:colOff>466725</xdr:colOff>
                    <xdr:row>157</xdr:row>
                    <xdr:rowOff>0</xdr:rowOff>
                  </to>
                </anchor>
              </controlPr>
            </control>
          </mc:Choice>
        </mc:AlternateContent>
        <mc:AlternateContent xmlns:mc="http://schemas.openxmlformats.org/markup-compatibility/2006">
          <mc:Choice Requires="x14">
            <control shapeId="44390" r:id="rId73" name="Button 1382">
              <controlPr defaultSize="0" print="0" autoFill="0" autoPict="0" macro="[0]!toolingsheet">
                <anchor moveWithCells="1">
                  <from>
                    <xdr:col>12</xdr:col>
                    <xdr:colOff>0</xdr:colOff>
                    <xdr:row>8</xdr:row>
                    <xdr:rowOff>28575</xdr:rowOff>
                  </from>
                  <to>
                    <xdr:col>12</xdr:col>
                    <xdr:colOff>828675</xdr:colOff>
                    <xdr:row>9</xdr:row>
                    <xdr:rowOff>38100</xdr:rowOff>
                  </to>
                </anchor>
              </controlPr>
            </control>
          </mc:Choice>
        </mc:AlternateContent>
        <mc:AlternateContent xmlns:mc="http://schemas.openxmlformats.org/markup-compatibility/2006">
          <mc:Choice Requires="x14">
            <control shapeId="44453" r:id="rId74" name="Button 1445">
              <controlPr defaultSize="0" print="0" autoFill="0" autoPict="0" macro="[0]!EQuote">
                <anchor moveWithCells="1" sizeWithCells="1">
                  <from>
                    <xdr:col>6</xdr:col>
                    <xdr:colOff>895350</xdr:colOff>
                    <xdr:row>184</xdr:row>
                    <xdr:rowOff>66675</xdr:rowOff>
                  </from>
                  <to>
                    <xdr:col>7</xdr:col>
                    <xdr:colOff>876300</xdr:colOff>
                    <xdr:row>185</xdr:row>
                    <xdr:rowOff>152400</xdr:rowOff>
                  </to>
                </anchor>
              </controlPr>
            </control>
          </mc:Choice>
        </mc:AlternateContent>
        <mc:AlternateContent xmlns:mc="http://schemas.openxmlformats.org/markup-compatibility/2006">
          <mc:Choice Requires="x14">
            <control shapeId="44544" r:id="rId75" name="Button 1536">
              <controlPr defaultSize="0" print="0" autoFill="0" autoPict="0" macro="[0]!ResetSetUp">
                <anchor moveWithCells="1">
                  <from>
                    <xdr:col>6</xdr:col>
                    <xdr:colOff>9525</xdr:colOff>
                    <xdr:row>119</xdr:row>
                    <xdr:rowOff>0</xdr:rowOff>
                  </from>
                  <to>
                    <xdr:col>6</xdr:col>
                    <xdr:colOff>466725</xdr:colOff>
                    <xdr:row>120</xdr:row>
                    <xdr:rowOff>0</xdr:rowOff>
                  </to>
                </anchor>
              </controlPr>
            </control>
          </mc:Choice>
        </mc:AlternateContent>
        <mc:AlternateContent xmlns:mc="http://schemas.openxmlformats.org/markup-compatibility/2006">
          <mc:Choice Requires="x14">
            <control shapeId="44601" r:id="rId76" name="Button 1593">
              <controlPr defaultSize="0" print="0" autoFill="0" autoPict="0" macro="[0]!Automationsheet">
                <anchor moveWithCells="1">
                  <from>
                    <xdr:col>12</xdr:col>
                    <xdr:colOff>0</xdr:colOff>
                    <xdr:row>9</xdr:row>
                    <xdr:rowOff>38100</xdr:rowOff>
                  </from>
                  <to>
                    <xdr:col>12</xdr:col>
                    <xdr:colOff>828675</xdr:colOff>
                    <xdr:row>10</xdr:row>
                    <xdr:rowOff>57150</xdr:rowOff>
                  </to>
                </anchor>
              </controlPr>
            </control>
          </mc:Choice>
        </mc:AlternateContent>
        <mc:AlternateContent xmlns:mc="http://schemas.openxmlformats.org/markup-compatibility/2006">
          <mc:Choice Requires="x14">
            <control shapeId="44633" r:id="rId77" name="Button 1625">
              <controlPr defaultSize="0" print="0" autoFill="0" autoPict="0" macro="[0]!ResetMaterialElevenButton">
                <anchor moveWithCells="1">
                  <from>
                    <xdr:col>11</xdr:col>
                    <xdr:colOff>9525</xdr:colOff>
                    <xdr:row>30</xdr:row>
                    <xdr:rowOff>152400</xdr:rowOff>
                  </from>
                  <to>
                    <xdr:col>11</xdr:col>
                    <xdr:colOff>466725</xdr:colOff>
                    <xdr:row>42</xdr:row>
                    <xdr:rowOff>9525</xdr:rowOff>
                  </to>
                </anchor>
              </controlPr>
            </control>
          </mc:Choice>
        </mc:AlternateContent>
        <mc:AlternateContent xmlns:mc="http://schemas.openxmlformats.org/markup-compatibility/2006">
          <mc:Choice Requires="x14">
            <control shapeId="44634" r:id="rId78" name="Button 1626">
              <controlPr defaultSize="0" print="0" autoFill="0" autoPict="0" macro="[0]!ResetMaterialTwelveButton">
                <anchor moveWithCells="1">
                  <from>
                    <xdr:col>11</xdr:col>
                    <xdr:colOff>9525</xdr:colOff>
                    <xdr:row>32</xdr:row>
                    <xdr:rowOff>152400</xdr:rowOff>
                  </from>
                  <to>
                    <xdr:col>11</xdr:col>
                    <xdr:colOff>466725</xdr:colOff>
                    <xdr:row>42</xdr:row>
                    <xdr:rowOff>9525</xdr:rowOff>
                  </to>
                </anchor>
              </controlPr>
            </control>
          </mc:Choice>
        </mc:AlternateContent>
        <mc:AlternateContent xmlns:mc="http://schemas.openxmlformats.org/markup-compatibility/2006">
          <mc:Choice Requires="x14">
            <control shapeId="44635" r:id="rId79" name="Button 1627">
              <controlPr defaultSize="0" print="0" autoFill="0" autoPict="0" macro="[0]!ResetMaterialTenButton">
                <anchor moveWithCells="1">
                  <from>
                    <xdr:col>11</xdr:col>
                    <xdr:colOff>9525</xdr:colOff>
                    <xdr:row>34</xdr:row>
                    <xdr:rowOff>161925</xdr:rowOff>
                  </from>
                  <to>
                    <xdr:col>11</xdr:col>
                    <xdr:colOff>466725</xdr:colOff>
                    <xdr:row>42</xdr:row>
                    <xdr:rowOff>9525</xdr:rowOff>
                  </to>
                </anchor>
              </controlPr>
            </control>
          </mc:Choice>
        </mc:AlternateContent>
        <mc:AlternateContent xmlns:mc="http://schemas.openxmlformats.org/markup-compatibility/2006">
          <mc:Choice Requires="x14">
            <control shapeId="44636" r:id="rId80" name="Button 1628">
              <controlPr defaultSize="0" print="0" autoFill="0" autoPict="0" macro="[0]!ResetMaterialThirteenButton">
                <anchor moveWithCells="1">
                  <from>
                    <xdr:col>11</xdr:col>
                    <xdr:colOff>9525</xdr:colOff>
                    <xdr:row>34</xdr:row>
                    <xdr:rowOff>152400</xdr:rowOff>
                  </from>
                  <to>
                    <xdr:col>11</xdr:col>
                    <xdr:colOff>466725</xdr:colOff>
                    <xdr:row>42</xdr:row>
                    <xdr:rowOff>9525</xdr:rowOff>
                  </to>
                </anchor>
              </controlPr>
            </control>
          </mc:Choice>
        </mc:AlternateContent>
        <mc:AlternateContent xmlns:mc="http://schemas.openxmlformats.org/markup-compatibility/2006">
          <mc:Choice Requires="x14">
            <control shapeId="44637" r:id="rId81" name="Button 1629">
              <controlPr defaultSize="0" print="0" autoFill="0" autoPict="0" macro="[0]!ResetMaterialTenButton">
                <anchor moveWithCells="1">
                  <from>
                    <xdr:col>11</xdr:col>
                    <xdr:colOff>9525</xdr:colOff>
                    <xdr:row>36</xdr:row>
                    <xdr:rowOff>161925</xdr:rowOff>
                  </from>
                  <to>
                    <xdr:col>11</xdr:col>
                    <xdr:colOff>466725</xdr:colOff>
                    <xdr:row>42</xdr:row>
                    <xdr:rowOff>9525</xdr:rowOff>
                  </to>
                </anchor>
              </controlPr>
            </control>
          </mc:Choice>
        </mc:AlternateContent>
        <mc:AlternateContent xmlns:mc="http://schemas.openxmlformats.org/markup-compatibility/2006">
          <mc:Choice Requires="x14">
            <control shapeId="44638" r:id="rId82" name="Button 1630">
              <controlPr defaultSize="0" print="0" autoFill="0" autoPict="0" macro="[0]!ResetMaterialForteenButton">
                <anchor moveWithCells="1">
                  <from>
                    <xdr:col>11</xdr:col>
                    <xdr:colOff>9525</xdr:colOff>
                    <xdr:row>36</xdr:row>
                    <xdr:rowOff>152400</xdr:rowOff>
                  </from>
                  <to>
                    <xdr:col>11</xdr:col>
                    <xdr:colOff>466725</xdr:colOff>
                    <xdr:row>42</xdr:row>
                    <xdr:rowOff>9525</xdr:rowOff>
                  </to>
                </anchor>
              </controlPr>
            </control>
          </mc:Choice>
        </mc:AlternateContent>
        <mc:AlternateContent xmlns:mc="http://schemas.openxmlformats.org/markup-compatibility/2006">
          <mc:Choice Requires="x14">
            <control shapeId="44639" r:id="rId83" name="Button 1631">
              <controlPr defaultSize="0" print="0" autoFill="0" autoPict="0" macro="[0]!ResetMaterialTenButton">
                <anchor moveWithCells="1">
                  <from>
                    <xdr:col>11</xdr:col>
                    <xdr:colOff>9525</xdr:colOff>
                    <xdr:row>38</xdr:row>
                    <xdr:rowOff>161925</xdr:rowOff>
                  </from>
                  <to>
                    <xdr:col>11</xdr:col>
                    <xdr:colOff>466725</xdr:colOff>
                    <xdr:row>42</xdr:row>
                    <xdr:rowOff>9525</xdr:rowOff>
                  </to>
                </anchor>
              </controlPr>
            </control>
          </mc:Choice>
        </mc:AlternateContent>
        <mc:AlternateContent xmlns:mc="http://schemas.openxmlformats.org/markup-compatibility/2006">
          <mc:Choice Requires="x14">
            <control shapeId="44640" r:id="rId84" name="Button 1632">
              <controlPr defaultSize="0" print="0" autoFill="0" autoPict="0" macro="[0]!ResetMaterialFifteenButton">
                <anchor moveWithCells="1">
                  <from>
                    <xdr:col>11</xdr:col>
                    <xdr:colOff>9525</xdr:colOff>
                    <xdr:row>38</xdr:row>
                    <xdr:rowOff>152400</xdr:rowOff>
                  </from>
                  <to>
                    <xdr:col>11</xdr:col>
                    <xdr:colOff>466725</xdr:colOff>
                    <xdr:row>42</xdr:row>
                    <xdr:rowOff>9525</xdr:rowOff>
                  </to>
                </anchor>
              </controlPr>
            </control>
          </mc:Choice>
        </mc:AlternateContent>
        <mc:AlternateContent xmlns:mc="http://schemas.openxmlformats.org/markup-compatibility/2006">
          <mc:Choice Requires="x14">
            <control shapeId="44696" r:id="rId85" name="Button 1688">
              <controlPr defaultSize="0" print="0" autoFill="0" autoPict="0" macro="[0]!ResetPressCavities">
                <anchor moveWithCells="1">
                  <from>
                    <xdr:col>7</xdr:col>
                    <xdr:colOff>285750</xdr:colOff>
                    <xdr:row>84</xdr:row>
                    <xdr:rowOff>76200</xdr:rowOff>
                  </from>
                  <to>
                    <xdr:col>8</xdr:col>
                    <xdr:colOff>200025</xdr:colOff>
                    <xdr:row>85</xdr:row>
                    <xdr:rowOff>142875</xdr:rowOff>
                  </to>
                </anchor>
              </controlPr>
            </control>
          </mc:Choice>
        </mc:AlternateContent>
        <mc:AlternateContent xmlns:mc="http://schemas.openxmlformats.org/markup-compatibility/2006">
          <mc:Choice Requires="x14">
            <control shapeId="44825" r:id="rId86" name="Button 1817">
              <controlPr defaultSize="0" print="0" autoFill="0" autoPict="0" macro="[0]!PriceDevelopment">
                <anchor moveWithCells="1">
                  <from>
                    <xdr:col>0</xdr:col>
                    <xdr:colOff>9525</xdr:colOff>
                    <xdr:row>202</xdr:row>
                    <xdr:rowOff>95250</xdr:rowOff>
                  </from>
                  <to>
                    <xdr:col>0</xdr:col>
                    <xdr:colOff>895350</xdr:colOff>
                    <xdr:row>204</xdr:row>
                    <xdr:rowOff>0</xdr:rowOff>
                  </to>
                </anchor>
              </controlPr>
            </control>
          </mc:Choice>
        </mc:AlternateContent>
        <mc:AlternateContent xmlns:mc="http://schemas.openxmlformats.org/markup-compatibility/2006">
          <mc:Choice Requires="x14">
            <control shapeId="44912" r:id="rId87" name="Button 1904">
              <controlPr defaultSize="0" print="0" autoFill="0" autoPict="0" macro="[0]!FamilyNotes">
                <anchor moveWithCells="1">
                  <from>
                    <xdr:col>0</xdr:col>
                    <xdr:colOff>9525</xdr:colOff>
                    <xdr:row>196</xdr:row>
                    <xdr:rowOff>142875</xdr:rowOff>
                  </from>
                  <to>
                    <xdr:col>0</xdr:col>
                    <xdr:colOff>895350</xdr:colOff>
                    <xdr:row>198</xdr:row>
                    <xdr:rowOff>47625</xdr:rowOff>
                  </to>
                </anchor>
              </controlPr>
            </control>
          </mc:Choice>
        </mc:AlternateContent>
      </controls>
    </mc:Choice>
  </mc:AlternateConten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C28"/>
  <sheetViews>
    <sheetView showGridLines="0" showZeros="0" workbookViewId="0">
      <selection activeCell="B28" sqref="B28"/>
    </sheetView>
  </sheetViews>
  <sheetFormatPr defaultRowHeight="12.75"/>
  <cols>
    <col min="1" max="1" width="14.85546875" style="1" bestFit="1" customWidth="1"/>
    <col min="2" max="2" width="7.85546875" style="1" bestFit="1" customWidth="1"/>
    <col min="3" max="16384" width="9.140625" style="1"/>
  </cols>
  <sheetData>
    <row r="1" spans="1:3">
      <c r="A1" s="14" t="s">
        <v>4665</v>
      </c>
    </row>
    <row r="2" spans="1:3" ht="25.5">
      <c r="A2" s="13" t="s">
        <v>6050</v>
      </c>
      <c r="B2" s="13" t="s">
        <v>6048</v>
      </c>
      <c r="C2" s="12"/>
    </row>
    <row r="3" spans="1:3">
      <c r="A3" s="8">
        <v>0</v>
      </c>
      <c r="B3" s="9">
        <v>0</v>
      </c>
    </row>
    <row r="4" spans="1:3">
      <c r="A4" s="8">
        <v>1</v>
      </c>
      <c r="B4" s="9">
        <v>1</v>
      </c>
    </row>
    <row r="5" spans="1:3">
      <c r="A5" s="8">
        <v>2</v>
      </c>
      <c r="B5" s="9">
        <v>2</v>
      </c>
    </row>
    <row r="6" spans="1:3">
      <c r="A6" s="8">
        <v>3</v>
      </c>
      <c r="B6" s="9">
        <v>3</v>
      </c>
    </row>
    <row r="7" spans="1:3">
      <c r="A7" s="8">
        <v>4</v>
      </c>
      <c r="B7" s="9">
        <v>4</v>
      </c>
    </row>
    <row r="8" spans="1:3">
      <c r="A8" s="8">
        <v>5</v>
      </c>
      <c r="B8" s="9">
        <v>5</v>
      </c>
    </row>
    <row r="9" spans="1:3">
      <c r="A9" s="8">
        <v>6</v>
      </c>
      <c r="B9" s="9">
        <v>6</v>
      </c>
    </row>
    <row r="10" spans="1:3">
      <c r="A10" s="8">
        <v>7</v>
      </c>
      <c r="B10" s="9">
        <v>7</v>
      </c>
    </row>
    <row r="11" spans="1:3">
      <c r="A11" s="8">
        <v>8</v>
      </c>
      <c r="B11" s="9">
        <v>8</v>
      </c>
    </row>
    <row r="12" spans="1:3">
      <c r="A12" s="8">
        <v>9</v>
      </c>
      <c r="B12" s="9">
        <v>9</v>
      </c>
    </row>
    <row r="13" spans="1:3">
      <c r="A13" s="8">
        <v>10</v>
      </c>
      <c r="B13" s="9">
        <v>10</v>
      </c>
    </row>
    <row r="14" spans="1:3">
      <c r="A14" s="8">
        <v>11</v>
      </c>
      <c r="B14" s="9">
        <v>11</v>
      </c>
    </row>
    <row r="15" spans="1:3">
      <c r="A15" s="8">
        <v>12</v>
      </c>
      <c r="B15" s="9">
        <v>12</v>
      </c>
    </row>
    <row r="16" spans="1:3">
      <c r="A16" s="8">
        <v>13</v>
      </c>
      <c r="B16" s="9">
        <v>13</v>
      </c>
    </row>
    <row r="17" spans="1:2">
      <c r="A17" s="8">
        <v>14</v>
      </c>
      <c r="B17" s="9">
        <v>14</v>
      </c>
    </row>
    <row r="18" spans="1:2">
      <c r="A18" s="8">
        <v>15</v>
      </c>
      <c r="B18" s="9">
        <v>15</v>
      </c>
    </row>
    <row r="19" spans="1:2">
      <c r="A19" s="8">
        <v>16</v>
      </c>
      <c r="B19" s="9">
        <v>16</v>
      </c>
    </row>
    <row r="20" spans="1:2">
      <c r="A20" s="8">
        <v>17</v>
      </c>
      <c r="B20" s="9">
        <v>17</v>
      </c>
    </row>
    <row r="21" spans="1:2">
      <c r="A21" s="8">
        <v>18</v>
      </c>
      <c r="B21" s="9">
        <v>18</v>
      </c>
    </row>
    <row r="22" spans="1:2">
      <c r="A22" s="8">
        <v>19</v>
      </c>
      <c r="B22" s="9">
        <v>19</v>
      </c>
    </row>
    <row r="23" spans="1:2">
      <c r="A23" s="8">
        <v>20</v>
      </c>
      <c r="B23" s="9">
        <v>20</v>
      </c>
    </row>
    <row r="24" spans="1:2">
      <c r="A24" s="8">
        <v>21</v>
      </c>
      <c r="B24" s="9">
        <v>21</v>
      </c>
    </row>
    <row r="25" spans="1:2">
      <c r="A25" s="8">
        <v>22</v>
      </c>
      <c r="B25" s="9">
        <v>22</v>
      </c>
    </row>
    <row r="26" spans="1:2">
      <c r="A26" s="8">
        <v>23</v>
      </c>
      <c r="B26" s="9">
        <v>23</v>
      </c>
    </row>
    <row r="27" spans="1:2">
      <c r="A27" s="8">
        <v>24</v>
      </c>
      <c r="B27" s="9">
        <v>24</v>
      </c>
    </row>
    <row r="28" spans="1:2">
      <c r="A28" s="8">
        <v>25</v>
      </c>
      <c r="B28" s="9">
        <v>25</v>
      </c>
    </row>
  </sheetData>
  <sheetProtection algorithmName="SHA-512" hashValue="U23uMVTzRaZpY4snHj3Q3Zr2FAQSWjdtlPLVNEMwvyvUQprRwyE/CkhqKOfMXQJKPbV/QfWRY8Hfk3gukGvfcA==" saltValue="uYgk7AhJnJ1Itbzu970uGQ==" spinCount="100000" sheet="1" objects="1" scenarios="1"/>
  <phoneticPr fontId="0" type="noConversion"/>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2529" r:id="rId4" name="Button 1">
              <controlPr defaultSize="0" print="0" autoFill="0" autoPict="0" macro="[0]!AddChangePressRate">
                <anchor>
                  <from>
                    <xdr:col>2</xdr:col>
                    <xdr:colOff>352425</xdr:colOff>
                    <xdr:row>0</xdr:row>
                    <xdr:rowOff>9525</xdr:rowOff>
                  </from>
                  <to>
                    <xdr:col>3</xdr:col>
                    <xdr:colOff>190500</xdr:colOff>
                    <xdr:row>1</xdr:row>
                    <xdr:rowOff>133350</xdr:rowOff>
                  </to>
                </anchor>
              </controlPr>
            </control>
          </mc:Choice>
        </mc:AlternateContent>
        <mc:AlternateContent xmlns:mc="http://schemas.openxmlformats.org/markup-compatibility/2006">
          <mc:Choice Requires="x14">
            <control shapeId="22530" r:id="rId5" name="Button 2">
              <controlPr defaultSize="0" print="0" autoFill="0" autoPict="0" macro="[0]!toquoteentry">
                <anchor>
                  <from>
                    <xdr:col>3</xdr:col>
                    <xdr:colOff>200025</xdr:colOff>
                    <xdr:row>0</xdr:row>
                    <xdr:rowOff>9525</xdr:rowOff>
                  </from>
                  <to>
                    <xdr:col>4</xdr:col>
                    <xdr:colOff>38100</xdr:colOff>
                    <xdr:row>1</xdr:row>
                    <xdr:rowOff>133350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K49"/>
  <sheetViews>
    <sheetView topLeftCell="D5" workbookViewId="0">
      <selection activeCell="D1" sqref="D1:G8"/>
    </sheetView>
  </sheetViews>
  <sheetFormatPr defaultColWidth="20.5703125" defaultRowHeight="47.25" customHeight="1"/>
  <cols>
    <col min="1" max="1" width="22.140625" style="130" customWidth="1"/>
    <col min="2" max="2" width="16" style="130" bestFit="1" customWidth="1"/>
    <col min="3" max="3" width="28.140625" style="130" customWidth="1"/>
    <col min="4" max="16384" width="20.5703125" style="130"/>
  </cols>
  <sheetData>
    <row r="1" spans="1:11" s="1024" customFormat="1" ht="47.25" customHeight="1">
      <c r="A1" s="1107" t="s">
        <v>5608</v>
      </c>
      <c r="B1" s="1107" t="s">
        <v>3641</v>
      </c>
      <c r="C1" s="1107" t="s">
        <v>3640</v>
      </c>
      <c r="D1" s="1024" t="s">
        <v>5840</v>
      </c>
      <c r="E1" s="1024" t="s">
        <v>5846</v>
      </c>
      <c r="F1" s="1024" t="s">
        <v>3475</v>
      </c>
      <c r="G1" s="1024" t="s">
        <v>5481</v>
      </c>
      <c r="H1" s="1024" t="s">
        <v>4857</v>
      </c>
      <c r="I1" s="1024" t="s">
        <v>3874</v>
      </c>
      <c r="J1" s="1024" t="s">
        <v>2672</v>
      </c>
      <c r="K1" s="1024" t="s">
        <v>5032</v>
      </c>
    </row>
    <row r="2" spans="1:11" ht="47.25" customHeight="1">
      <c r="A2" s="584" t="s">
        <v>4701</v>
      </c>
      <c r="B2" s="572" t="s">
        <v>5945</v>
      </c>
      <c r="C2" s="572" t="s">
        <v>2404</v>
      </c>
      <c r="D2" s="130" t="s">
        <v>5841</v>
      </c>
      <c r="E2" s="130" t="s">
        <v>5931</v>
      </c>
      <c r="F2" s="130" t="s">
        <v>4751</v>
      </c>
      <c r="G2" s="130" t="s">
        <v>5482</v>
      </c>
      <c r="H2" s="130" t="s">
        <v>546</v>
      </c>
      <c r="I2" s="130" t="s">
        <v>4024</v>
      </c>
      <c r="J2" s="130" t="s">
        <v>2671</v>
      </c>
      <c r="K2" s="130">
        <v>2101</v>
      </c>
    </row>
    <row r="3" spans="1:11" ht="47.25" customHeight="1">
      <c r="A3" s="584" t="s">
        <v>5933</v>
      </c>
      <c r="B3" s="572" t="s">
        <v>5946</v>
      </c>
      <c r="C3" s="572" t="s">
        <v>2407</v>
      </c>
      <c r="D3" s="130" t="s">
        <v>5842</v>
      </c>
      <c r="E3" s="130" t="s">
        <v>3469</v>
      </c>
      <c r="F3" s="130" t="s">
        <v>4752</v>
      </c>
      <c r="G3" s="130" t="s">
        <v>548</v>
      </c>
      <c r="H3" s="130" t="s">
        <v>547</v>
      </c>
      <c r="I3" s="130" t="s">
        <v>3875</v>
      </c>
      <c r="J3" s="130" t="s">
        <v>2670</v>
      </c>
      <c r="K3" s="130">
        <v>2103</v>
      </c>
    </row>
    <row r="4" spans="1:11" ht="47.25" customHeight="1">
      <c r="A4" s="584" t="s">
        <v>5934</v>
      </c>
      <c r="B4" s="572" t="s">
        <v>5947</v>
      </c>
      <c r="C4" s="572" t="s">
        <v>2408</v>
      </c>
      <c r="D4" s="130" t="s">
        <v>5843</v>
      </c>
      <c r="E4" s="130" t="s">
        <v>3470</v>
      </c>
      <c r="F4" s="130" t="s">
        <v>4753</v>
      </c>
      <c r="G4" s="130" t="s">
        <v>5483</v>
      </c>
      <c r="H4" s="130" t="s">
        <v>4995</v>
      </c>
      <c r="I4" s="130" t="s">
        <v>3876</v>
      </c>
      <c r="K4" s="130">
        <v>2104</v>
      </c>
    </row>
    <row r="5" spans="1:11" ht="47.25" customHeight="1">
      <c r="A5" s="584" t="s">
        <v>4554</v>
      </c>
      <c r="B5" s="572" t="s">
        <v>5957</v>
      </c>
      <c r="C5" s="572" t="s">
        <v>2409</v>
      </c>
      <c r="D5" s="130" t="s">
        <v>5844</v>
      </c>
      <c r="E5" s="130" t="s">
        <v>3471</v>
      </c>
      <c r="F5" s="130" t="s">
        <v>5479</v>
      </c>
      <c r="G5" s="130" t="s">
        <v>5484</v>
      </c>
      <c r="H5" s="130" t="s">
        <v>5487</v>
      </c>
      <c r="I5" s="130" t="s">
        <v>3877</v>
      </c>
    </row>
    <row r="6" spans="1:11" ht="47.25" customHeight="1">
      <c r="A6" s="584" t="s">
        <v>4555</v>
      </c>
      <c r="B6" s="572" t="s">
        <v>5958</v>
      </c>
      <c r="C6" s="572" t="s">
        <v>2410</v>
      </c>
      <c r="D6" s="130" t="s">
        <v>5845</v>
      </c>
      <c r="E6" s="130" t="s">
        <v>3472</v>
      </c>
      <c r="F6" s="130" t="s">
        <v>5480</v>
      </c>
      <c r="G6" s="130" t="s">
        <v>5485</v>
      </c>
      <c r="I6" s="130" t="s">
        <v>3878</v>
      </c>
    </row>
    <row r="7" spans="1:11" ht="47.25" customHeight="1">
      <c r="A7" s="584" t="s">
        <v>4556</v>
      </c>
      <c r="B7" s="572" t="s">
        <v>5959</v>
      </c>
      <c r="C7" s="572" t="s">
        <v>2412</v>
      </c>
      <c r="D7" s="130" t="s">
        <v>3523</v>
      </c>
      <c r="E7" s="130" t="s">
        <v>3473</v>
      </c>
      <c r="I7" s="130" t="s">
        <v>4019</v>
      </c>
    </row>
    <row r="8" spans="1:11" ht="47.25" customHeight="1">
      <c r="A8" s="584" t="s">
        <v>5935</v>
      </c>
      <c r="B8" s="572" t="s">
        <v>5967</v>
      </c>
      <c r="C8" s="572" t="s">
        <v>2411</v>
      </c>
      <c r="E8" s="130" t="s">
        <v>3474</v>
      </c>
      <c r="I8" s="130" t="s">
        <v>4020</v>
      </c>
    </row>
    <row r="9" spans="1:11" ht="47.25" customHeight="1">
      <c r="A9" s="584" t="s">
        <v>5936</v>
      </c>
      <c r="B9" s="572" t="s">
        <v>5968</v>
      </c>
      <c r="C9" s="572" t="s">
        <v>2413</v>
      </c>
      <c r="I9" s="130" t="s">
        <v>4021</v>
      </c>
    </row>
    <row r="10" spans="1:11" ht="47.25" customHeight="1">
      <c r="A10" s="584" t="s">
        <v>5937</v>
      </c>
      <c r="B10" s="572" t="s">
        <v>646</v>
      </c>
      <c r="C10" s="572" t="s">
        <v>2414</v>
      </c>
      <c r="I10" s="130" t="s">
        <v>4022</v>
      </c>
    </row>
    <row r="11" spans="1:11" ht="47.25" customHeight="1">
      <c r="A11" s="584" t="s">
        <v>5938</v>
      </c>
      <c r="B11" s="572"/>
      <c r="C11" s="572" t="s">
        <v>2416</v>
      </c>
      <c r="I11" s="130" t="s">
        <v>4023</v>
      </c>
    </row>
    <row r="12" spans="1:11" ht="47.25" customHeight="1">
      <c r="A12" s="584" t="s">
        <v>5939</v>
      </c>
      <c r="B12" s="572"/>
      <c r="C12" s="572" t="s">
        <v>2417</v>
      </c>
    </row>
    <row r="13" spans="1:11" ht="47.25" customHeight="1">
      <c r="A13" s="584" t="s">
        <v>5940</v>
      </c>
      <c r="B13" s="572"/>
      <c r="C13" s="572" t="s">
        <v>2418</v>
      </c>
    </row>
    <row r="14" spans="1:11" ht="47.25" customHeight="1">
      <c r="A14" s="584" t="s">
        <v>5395</v>
      </c>
      <c r="B14" s="572"/>
      <c r="C14" s="572" t="s">
        <v>2419</v>
      </c>
    </row>
    <row r="15" spans="1:11" ht="47.25" customHeight="1">
      <c r="A15" s="584" t="s">
        <v>5394</v>
      </c>
      <c r="B15" s="572"/>
      <c r="C15" s="572" t="s">
        <v>3643</v>
      </c>
    </row>
    <row r="16" spans="1:11" ht="47.25" customHeight="1">
      <c r="A16" s="584" t="s">
        <v>5941</v>
      </c>
      <c r="B16" s="572"/>
      <c r="C16" s="572" t="s">
        <v>3642</v>
      </c>
    </row>
    <row r="17" spans="1:3" ht="47.25" customHeight="1">
      <c r="A17" s="584" t="s">
        <v>5942</v>
      </c>
      <c r="B17" s="572"/>
      <c r="C17" s="572" t="s">
        <v>3520</v>
      </c>
    </row>
    <row r="18" spans="1:3" ht="47.25" customHeight="1">
      <c r="A18" s="584" t="s">
        <v>5943</v>
      </c>
      <c r="B18" s="572"/>
      <c r="C18" s="572" t="s">
        <v>3644</v>
      </c>
    </row>
    <row r="19" spans="1:3" ht="47.25" customHeight="1">
      <c r="A19" s="584" t="s">
        <v>5944</v>
      </c>
      <c r="B19" s="572"/>
      <c r="C19" s="572" t="s">
        <v>2415</v>
      </c>
    </row>
    <row r="20" spans="1:3" ht="47.25" customHeight="1">
      <c r="A20" s="584" t="s">
        <v>5948</v>
      </c>
      <c r="B20" s="572"/>
      <c r="C20" s="572" t="s">
        <v>4752</v>
      </c>
    </row>
    <row r="21" spans="1:3" ht="47.25" customHeight="1">
      <c r="A21" s="584" t="s">
        <v>5949</v>
      </c>
      <c r="B21" s="572"/>
      <c r="C21" s="572" t="s">
        <v>658</v>
      </c>
    </row>
    <row r="22" spans="1:3" ht="47.25" customHeight="1">
      <c r="A22" s="584" t="s">
        <v>5950</v>
      </c>
      <c r="B22" s="572"/>
      <c r="C22" s="572" t="s">
        <v>659</v>
      </c>
    </row>
    <row r="23" spans="1:3" ht="47.25" customHeight="1">
      <c r="A23" s="584" t="s">
        <v>5951</v>
      </c>
      <c r="B23" s="572"/>
      <c r="C23" s="572" t="s">
        <v>660</v>
      </c>
    </row>
    <row r="24" spans="1:3" ht="47.25" customHeight="1">
      <c r="A24" s="584" t="s">
        <v>5952</v>
      </c>
      <c r="B24" s="572"/>
      <c r="C24" s="572" t="s">
        <v>2420</v>
      </c>
    </row>
    <row r="25" spans="1:3" ht="47.25" customHeight="1">
      <c r="A25" s="584" t="s">
        <v>5953</v>
      </c>
      <c r="B25" s="572"/>
      <c r="C25" s="572" t="s">
        <v>664</v>
      </c>
    </row>
    <row r="26" spans="1:3" ht="47.25" customHeight="1">
      <c r="A26" s="584" t="s">
        <v>4557</v>
      </c>
      <c r="B26" s="572"/>
      <c r="C26" s="572" t="s">
        <v>2089</v>
      </c>
    </row>
    <row r="27" spans="1:3" ht="47.25" customHeight="1">
      <c r="A27" s="584" t="s">
        <v>4558</v>
      </c>
      <c r="B27" s="572"/>
      <c r="C27" s="572" t="s">
        <v>3517</v>
      </c>
    </row>
    <row r="28" spans="1:3" ht="47.25" customHeight="1">
      <c r="A28" s="584" t="s">
        <v>5954</v>
      </c>
      <c r="B28" s="572"/>
      <c r="C28" s="572"/>
    </row>
    <row r="29" spans="1:3" ht="47.25" customHeight="1">
      <c r="A29" s="584" t="s">
        <v>5955</v>
      </c>
      <c r="B29" s="572"/>
      <c r="C29" s="572" t="s">
        <v>3518</v>
      </c>
    </row>
    <row r="30" spans="1:3" ht="47.25" customHeight="1">
      <c r="A30" s="584" t="s">
        <v>5956</v>
      </c>
      <c r="B30" s="572"/>
      <c r="C30" s="572"/>
    </row>
    <row r="31" spans="1:3" ht="47.25" customHeight="1">
      <c r="A31" s="584" t="s">
        <v>5393</v>
      </c>
      <c r="B31" s="572"/>
      <c r="C31" s="572"/>
    </row>
    <row r="32" spans="1:3" ht="47.25" customHeight="1">
      <c r="A32" s="718" t="s">
        <v>5960</v>
      </c>
      <c r="B32" s="572"/>
      <c r="C32" s="572"/>
    </row>
    <row r="33" spans="1:3" ht="47.25" customHeight="1">
      <c r="A33" s="718" t="s">
        <v>5961</v>
      </c>
      <c r="B33" s="572"/>
      <c r="C33" s="572"/>
    </row>
    <row r="34" spans="1:3" ht="47.25" customHeight="1">
      <c r="A34" s="718" t="s">
        <v>5962</v>
      </c>
      <c r="B34" s="572"/>
      <c r="C34" s="572"/>
    </row>
    <row r="35" spans="1:3" ht="47.25" customHeight="1">
      <c r="A35" s="718" t="s">
        <v>3191</v>
      </c>
      <c r="B35" s="572"/>
      <c r="C35" s="572"/>
    </row>
    <row r="36" spans="1:3" ht="47.25" customHeight="1">
      <c r="A36" s="718" t="s">
        <v>5398</v>
      </c>
      <c r="B36" s="572"/>
      <c r="C36" s="572"/>
    </row>
    <row r="37" spans="1:3" ht="47.25" customHeight="1">
      <c r="A37" s="718" t="s">
        <v>4559</v>
      </c>
      <c r="B37" s="572"/>
      <c r="C37" s="572"/>
    </row>
    <row r="38" spans="1:3" ht="47.25" customHeight="1">
      <c r="A38" s="718" t="s">
        <v>5963</v>
      </c>
      <c r="B38" s="572"/>
      <c r="C38" s="572"/>
    </row>
    <row r="39" spans="1:3" ht="47.25" customHeight="1">
      <c r="A39" s="718" t="s">
        <v>5964</v>
      </c>
      <c r="B39" s="572"/>
      <c r="C39" s="572"/>
    </row>
    <row r="40" spans="1:3" ht="47.25" customHeight="1">
      <c r="A40" s="718" t="s">
        <v>5965</v>
      </c>
      <c r="B40" s="572"/>
      <c r="C40" s="572"/>
    </row>
    <row r="41" spans="1:3" ht="47.25" customHeight="1">
      <c r="A41" s="584" t="s">
        <v>5966</v>
      </c>
      <c r="B41" s="572"/>
      <c r="C41" s="572"/>
    </row>
    <row r="42" spans="1:3" ht="47.25" customHeight="1">
      <c r="A42" s="718" t="s">
        <v>5392</v>
      </c>
      <c r="B42" s="572"/>
      <c r="C42" s="572"/>
    </row>
    <row r="43" spans="1:3" ht="47.25" customHeight="1">
      <c r="C43" s="572"/>
    </row>
    <row r="44" spans="1:3" ht="47.25" customHeight="1">
      <c r="C44" s="572"/>
    </row>
    <row r="45" spans="1:3" ht="47.25" customHeight="1">
      <c r="C45" s="572"/>
    </row>
    <row r="46" spans="1:3" ht="47.25" customHeight="1">
      <c r="C46" s="572"/>
    </row>
    <row r="47" spans="1:3" ht="47.25" customHeight="1">
      <c r="C47" s="572"/>
    </row>
    <row r="48" spans="1:3" ht="47.25" customHeight="1">
      <c r="C48" s="572"/>
    </row>
    <row r="49" spans="3:3" ht="47.25" customHeight="1">
      <c r="C49" s="572"/>
    </row>
  </sheetData>
  <sheetProtection algorithmName="SHA-512" hashValue="7GVBLXX4mKLffmfNPFJqMzi1+y8Io6way7DTDY6IMmqpo1zqTVbXTF7Ru3KoWJap7kiJnzJAIkSGYusqdk1fyw==" saltValue="9JwvXfpdJv/MNLvcMjdoUg==" spinCount="100000" sheet="1" objects="1" scenarios="1"/>
  <phoneticPr fontId="22" type="noConversion"/>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51201" r:id="rId3" name="Button 1">
              <controlPr defaultSize="0" print="0" autoFill="0" autoPict="0" macro="[0]!AddChangePressRate">
                <anchor>
                  <from>
                    <xdr:col>0</xdr:col>
                    <xdr:colOff>9525</xdr:colOff>
                    <xdr:row>0</xdr:row>
                    <xdr:rowOff>9525</xdr:rowOff>
                  </from>
                  <to>
                    <xdr:col>0</xdr:col>
                    <xdr:colOff>466725</xdr:colOff>
                    <xdr:row>0</xdr:row>
                    <xdr:rowOff>238125</xdr:rowOff>
                  </to>
                </anchor>
              </controlPr>
            </control>
          </mc:Choice>
        </mc:AlternateContent>
        <mc:AlternateContent xmlns:mc="http://schemas.openxmlformats.org/markup-compatibility/2006">
          <mc:Choice Requires="x14">
            <control shapeId="51202" r:id="rId4" name="Button 2">
              <controlPr defaultSize="0" print="0" autoFill="0" autoPict="0" macro="[0]!toquoteentry">
                <anchor>
                  <from>
                    <xdr:col>0</xdr:col>
                    <xdr:colOff>466725</xdr:colOff>
                    <xdr:row>0</xdr:row>
                    <xdr:rowOff>9525</xdr:rowOff>
                  </from>
                  <to>
                    <xdr:col>0</xdr:col>
                    <xdr:colOff>923925</xdr:colOff>
                    <xdr:row>0</xdr:row>
                    <xdr:rowOff>238125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U57"/>
  <sheetViews>
    <sheetView showGridLines="0" showZeros="0" topLeftCell="A31" zoomScale="65" zoomScaleNormal="75" zoomScaleSheetLayoutView="75" workbookViewId="0">
      <selection activeCell="E60" sqref="E60"/>
    </sheetView>
  </sheetViews>
  <sheetFormatPr defaultRowHeight="12.75"/>
  <cols>
    <col min="1" max="3" width="12.7109375" customWidth="1"/>
    <col min="4" max="4" width="7.140625" customWidth="1"/>
    <col min="5" max="5" width="18.5703125" customWidth="1"/>
    <col min="6" max="6" width="1.85546875" customWidth="1"/>
    <col min="7" max="7" width="9.7109375" customWidth="1"/>
    <col min="8" max="8" width="1.7109375" customWidth="1"/>
    <col min="9" max="9" width="9.7109375" style="160" customWidth="1"/>
    <col min="10" max="10" width="1.7109375" customWidth="1"/>
    <col min="11" max="11" width="11.28515625" style="160" customWidth="1"/>
    <col min="12" max="12" width="1.28515625" style="265" customWidth="1"/>
    <col min="13" max="13" width="1.42578125" customWidth="1"/>
    <col min="14" max="14" width="20.140625" customWidth="1"/>
    <col min="15" max="15" width="1.85546875" customWidth="1"/>
    <col min="16" max="16" width="9.7109375" customWidth="1"/>
    <col min="17" max="17" width="1.7109375" customWidth="1"/>
    <col min="18" max="18" width="10.7109375" customWidth="1"/>
    <col min="19" max="19" width="1.7109375" customWidth="1"/>
    <col min="20" max="20" width="9.7109375" customWidth="1"/>
  </cols>
  <sheetData>
    <row r="1" spans="1:21" ht="18">
      <c r="D1" s="611" t="s">
        <v>1163</v>
      </c>
    </row>
    <row r="2" spans="1:21" ht="18">
      <c r="D2" s="611"/>
      <c r="G2" s="612"/>
      <c r="I2" s="613" t="s">
        <v>3051</v>
      </c>
      <c r="O2" s="612"/>
      <c r="P2" s="614" t="s">
        <v>3052</v>
      </c>
      <c r="R2" s="701">
        <f ca="1">NOW()</f>
        <v>41250.802090277779</v>
      </c>
      <c r="S2" s="355"/>
      <c r="T2" s="355"/>
    </row>
    <row r="3" spans="1:21" ht="18">
      <c r="D3" s="611"/>
      <c r="G3" s="612"/>
      <c r="O3" s="612"/>
      <c r="R3" s="612"/>
    </row>
    <row r="4" spans="1:21" ht="18">
      <c r="D4" s="611"/>
      <c r="E4" s="615"/>
      <c r="F4" s="615"/>
      <c r="G4" s="615"/>
      <c r="H4" s="615"/>
      <c r="I4" s="615"/>
      <c r="J4" s="615"/>
      <c r="K4" s="611"/>
      <c r="L4" s="616"/>
      <c r="M4" s="615"/>
      <c r="N4" s="615"/>
      <c r="O4" s="615"/>
      <c r="P4" s="615"/>
      <c r="Q4" s="615"/>
      <c r="R4" s="612" t="s">
        <v>3053</v>
      </c>
      <c r="S4" s="615"/>
      <c r="T4" s="615"/>
    </row>
    <row r="5" spans="1:21" ht="14.25">
      <c r="E5" s="617" t="s">
        <v>3054</v>
      </c>
      <c r="G5" s="355" t="str">
        <f>QECustInq</f>
        <v>6058</v>
      </c>
      <c r="H5" s="355"/>
      <c r="I5" s="355"/>
      <c r="K5" s="618" t="s">
        <v>6149</v>
      </c>
      <c r="M5" s="362"/>
      <c r="N5" s="355" t="str">
        <f>QEPtNum</f>
        <v>HL328823</v>
      </c>
    </row>
    <row r="6" spans="1:21" ht="14.25">
      <c r="E6" s="617" t="s">
        <v>1485</v>
      </c>
      <c r="G6" s="355" t="str">
        <f>QEPtName</f>
        <v>Adjust Screw</v>
      </c>
      <c r="H6" s="355"/>
      <c r="I6" s="355"/>
      <c r="K6" s="619" t="s">
        <v>1486</v>
      </c>
      <c r="L6" s="264"/>
      <c r="M6" s="362"/>
      <c r="N6" s="357">
        <f>QERevLevel</f>
        <v>0</v>
      </c>
      <c r="O6" s="362"/>
      <c r="P6" s="620"/>
      <c r="Q6" s="362"/>
      <c r="R6" s="307"/>
      <c r="S6" s="362"/>
      <c r="T6" s="362"/>
    </row>
    <row r="7" spans="1:21" ht="14.25">
      <c r="D7" s="621"/>
      <c r="E7" s="621" t="s">
        <v>1487</v>
      </c>
      <c r="F7" s="622"/>
      <c r="G7" s="355" t="s">
        <v>2912</v>
      </c>
      <c r="H7" s="355"/>
      <c r="I7" s="355"/>
      <c r="K7" s="619" t="s">
        <v>1488</v>
      </c>
      <c r="L7" s="264"/>
      <c r="M7" s="362"/>
      <c r="N7" s="357"/>
      <c r="O7" s="362"/>
      <c r="P7" s="620"/>
      <c r="Q7" s="362"/>
      <c r="R7" s="307"/>
      <c r="S7" s="362"/>
      <c r="T7" s="362"/>
    </row>
    <row r="8" spans="1:21" ht="14.25">
      <c r="D8" s="406"/>
      <c r="E8" s="621" t="s">
        <v>1489</v>
      </c>
      <c r="F8" s="622"/>
      <c r="G8" s="357" t="s">
        <v>1164</v>
      </c>
      <c r="H8" s="357"/>
      <c r="I8" s="357"/>
      <c r="K8"/>
      <c r="L8" s="264"/>
      <c r="P8" s="622"/>
      <c r="R8" s="307"/>
      <c r="S8" s="362"/>
      <c r="T8" s="362"/>
    </row>
    <row r="9" spans="1:21" s="627" customFormat="1" ht="18.75" thickBot="1">
      <c r="D9"/>
      <c r="E9" s="623"/>
      <c r="F9"/>
      <c r="G9" s="624" t="s">
        <v>1490</v>
      </c>
      <c r="H9"/>
      <c r="I9"/>
      <c r="J9" s="623"/>
      <c r="K9" s="623"/>
      <c r="L9" s="625"/>
      <c r="M9" s="626"/>
      <c r="N9"/>
      <c r="O9"/>
      <c r="P9"/>
      <c r="Q9"/>
      <c r="R9"/>
      <c r="S9"/>
      <c r="T9"/>
      <c r="U9"/>
    </row>
    <row r="10" spans="1:21" s="627" customFormat="1" ht="24.95" customHeight="1">
      <c r="D10" s="628"/>
      <c r="E10" s="629" t="s">
        <v>304</v>
      </c>
      <c r="F10" s="630"/>
      <c r="G10" s="631">
        <v>0</v>
      </c>
      <c r="H10" s="631" t="s">
        <v>305</v>
      </c>
      <c r="I10" s="631">
        <v>0</v>
      </c>
      <c r="J10" s="631" t="s">
        <v>305</v>
      </c>
      <c r="K10" s="631">
        <v>0</v>
      </c>
      <c r="L10" s="632"/>
      <c r="M10" s="628"/>
      <c r="N10" s="369"/>
      <c r="O10" s="369"/>
      <c r="P10" s="369"/>
      <c r="Q10" s="369"/>
      <c r="R10" s="369"/>
      <c r="S10" s="369"/>
      <c r="T10" s="633" t="s">
        <v>306</v>
      </c>
      <c r="U10"/>
    </row>
    <row r="11" spans="1:21" s="640" customFormat="1" ht="15.75">
      <c r="D11" s="634"/>
      <c r="E11" s="635" t="s">
        <v>307</v>
      </c>
      <c r="F11" s="636"/>
      <c r="G11" s="637">
        <v>0</v>
      </c>
      <c r="H11" s="636"/>
      <c r="I11" s="635" t="s">
        <v>308</v>
      </c>
      <c r="J11" s="636"/>
      <c r="K11" s="638"/>
      <c r="L11" s="639"/>
      <c r="M11" s="634"/>
      <c r="N11" s="362"/>
      <c r="O11" s="362"/>
      <c r="P11" s="362"/>
      <c r="Q11" s="362"/>
      <c r="R11" s="362"/>
      <c r="S11" s="362"/>
      <c r="T11" s="373"/>
      <c r="U11"/>
    </row>
    <row r="12" spans="1:21" s="640" customFormat="1" ht="15.75">
      <c r="A12" s="704" t="s">
        <v>1165</v>
      </c>
      <c r="B12" s="704" t="s">
        <v>1167</v>
      </c>
      <c r="C12" s="707" t="s">
        <v>1166</v>
      </c>
      <c r="D12" s="634"/>
      <c r="E12" s="641" t="s">
        <v>309</v>
      </c>
      <c r="F12" s="636"/>
      <c r="G12" s="642" t="s">
        <v>310</v>
      </c>
      <c r="H12" s="636"/>
      <c r="I12" s="642" t="s">
        <v>3309</v>
      </c>
      <c r="J12" s="636"/>
      <c r="K12" s="642" t="s">
        <v>3310</v>
      </c>
      <c r="L12" s="639"/>
      <c r="M12" s="634"/>
      <c r="N12" s="643" t="s">
        <v>1301</v>
      </c>
      <c r="O12" s="313"/>
      <c r="P12" s="313"/>
      <c r="Q12" s="644" t="s">
        <v>1302</v>
      </c>
      <c r="R12" s="645"/>
      <c r="S12" s="645"/>
      <c r="T12" s="646"/>
      <c r="U12"/>
    </row>
    <row r="13" spans="1:21" s="640" customFormat="1" ht="15">
      <c r="A13" s="705">
        <v>1</v>
      </c>
      <c r="B13" s="706">
        <f>Tooling!B14</f>
        <v>0</v>
      </c>
      <c r="C13" s="707"/>
      <c r="D13" s="634"/>
      <c r="E13" s="647" t="s">
        <v>536</v>
      </c>
      <c r="F13" s="636"/>
      <c r="G13" s="648">
        <v>0</v>
      </c>
      <c r="H13" s="636"/>
      <c r="I13" s="649">
        <v>0</v>
      </c>
      <c r="J13" s="636"/>
      <c r="K13" s="648">
        <f>(G13*I13)</f>
        <v>0</v>
      </c>
      <c r="L13" s="639"/>
      <c r="M13" s="634"/>
      <c r="N13" s="650" t="s">
        <v>537</v>
      </c>
      <c r="O13" s="651"/>
      <c r="P13" s="620"/>
      <c r="Q13" s="651"/>
      <c r="R13" s="702" t="s">
        <v>3576</v>
      </c>
      <c r="S13" s="649"/>
      <c r="T13" s="652"/>
      <c r="U13"/>
    </row>
    <row r="14" spans="1:21" s="640" customFormat="1" ht="15">
      <c r="A14" s="705">
        <v>1</v>
      </c>
      <c r="B14" s="706" t="e">
        <f>CSBuyoutStart+Tooling!B6+Tooling!B7+Tooling!B8+Tooling!B9+Tooling!B10+Tooling!#REF!</f>
        <v>#REF!</v>
      </c>
      <c r="C14" s="707"/>
      <c r="D14" s="634"/>
      <c r="E14" s="647" t="s">
        <v>538</v>
      </c>
      <c r="F14" s="636"/>
      <c r="G14" s="648"/>
      <c r="H14" s="636"/>
      <c r="I14" s="649"/>
      <c r="J14" s="636"/>
      <c r="K14" s="648">
        <f t="shared" ref="K14:K21" si="0">(G14*I14)</f>
        <v>0</v>
      </c>
      <c r="L14" s="639"/>
      <c r="M14" s="634"/>
      <c r="N14" s="650" t="s">
        <v>539</v>
      </c>
      <c r="O14" s="651"/>
      <c r="P14" s="620"/>
      <c r="Q14" s="651"/>
      <c r="R14" s="702" t="s">
        <v>3576</v>
      </c>
      <c r="S14" s="649"/>
      <c r="T14" s="652"/>
      <c r="U14"/>
    </row>
    <row r="15" spans="1:21" s="640" customFormat="1" ht="15">
      <c r="A15" s="705">
        <v>1</v>
      </c>
      <c r="B15" s="706">
        <f>Tooling!B14</f>
        <v>0</v>
      </c>
      <c r="C15" s="707"/>
      <c r="D15" s="634"/>
      <c r="E15" s="647" t="s">
        <v>64</v>
      </c>
      <c r="F15" s="636"/>
      <c r="G15" s="648"/>
      <c r="H15" s="636"/>
      <c r="I15" s="649"/>
      <c r="J15" s="636"/>
      <c r="K15" s="648">
        <f t="shared" si="0"/>
        <v>0</v>
      </c>
      <c r="L15" s="639"/>
      <c r="M15" s="634"/>
      <c r="N15" s="650" t="s">
        <v>65</v>
      </c>
      <c r="O15" s="651"/>
      <c r="P15" s="620"/>
      <c r="Q15" s="651"/>
      <c r="R15" s="649" t="s">
        <v>3576</v>
      </c>
      <c r="S15" s="649"/>
      <c r="T15" s="652"/>
      <c r="U15"/>
    </row>
    <row r="16" spans="1:21" s="640" customFormat="1" ht="15">
      <c r="A16" s="705">
        <v>1</v>
      </c>
      <c r="B16" s="706">
        <f>Tooling!B14</f>
        <v>0</v>
      </c>
      <c r="C16" s="707"/>
      <c r="D16" s="634"/>
      <c r="E16" s="647" t="s">
        <v>66</v>
      </c>
      <c r="F16" s="636"/>
      <c r="G16" s="648"/>
      <c r="H16" s="636"/>
      <c r="I16" s="649"/>
      <c r="J16" s="636"/>
      <c r="K16" s="648">
        <f t="shared" si="0"/>
        <v>0</v>
      </c>
      <c r="L16" s="639"/>
      <c r="M16" s="634"/>
      <c r="N16" s="650" t="s">
        <v>5372</v>
      </c>
      <c r="O16" s="651"/>
      <c r="P16" s="620"/>
      <c r="Q16" s="651"/>
      <c r="R16" s="649" t="s">
        <v>3576</v>
      </c>
      <c r="S16" s="649"/>
      <c r="T16" s="652"/>
      <c r="U16"/>
    </row>
    <row r="17" spans="1:21" s="640" customFormat="1" ht="15">
      <c r="A17" s="705">
        <v>1</v>
      </c>
      <c r="B17" s="706">
        <f>Tooling!B31</f>
        <v>0</v>
      </c>
      <c r="C17" s="707"/>
      <c r="D17" s="634"/>
      <c r="E17" s="647" t="s">
        <v>5373</v>
      </c>
      <c r="F17" s="653"/>
      <c r="G17" s="648"/>
      <c r="H17" s="636"/>
      <c r="I17" s="649"/>
      <c r="J17" s="636"/>
      <c r="K17" s="648">
        <f t="shared" si="0"/>
        <v>0</v>
      </c>
      <c r="L17" s="639"/>
      <c r="M17" s="634"/>
      <c r="N17" s="650" t="s">
        <v>5374</v>
      </c>
      <c r="O17" s="651"/>
      <c r="P17" s="620"/>
      <c r="Q17" s="651"/>
      <c r="R17" s="649" t="s">
        <v>3576</v>
      </c>
      <c r="S17" s="649"/>
      <c r="T17" s="652"/>
      <c r="U17"/>
    </row>
    <row r="18" spans="1:21" s="640" customFormat="1" ht="15">
      <c r="A18" s="705">
        <v>1</v>
      </c>
      <c r="B18" s="706">
        <f>Tooling!B20</f>
        <v>0</v>
      </c>
      <c r="C18" s="707"/>
      <c r="D18" s="634"/>
      <c r="E18" s="647" t="s">
        <v>5375</v>
      </c>
      <c r="F18" s="653"/>
      <c r="G18" s="648"/>
      <c r="H18" s="636"/>
      <c r="I18" s="649"/>
      <c r="J18" s="636"/>
      <c r="K18" s="648">
        <f t="shared" si="0"/>
        <v>0</v>
      </c>
      <c r="L18" s="639"/>
      <c r="M18" s="634"/>
      <c r="N18" s="650" t="s">
        <v>5376</v>
      </c>
      <c r="O18" s="362"/>
      <c r="P18" s="362"/>
      <c r="Q18" s="362"/>
      <c r="R18" s="649" t="s">
        <v>3576</v>
      </c>
      <c r="S18" s="649"/>
      <c r="T18" s="652"/>
      <c r="U18"/>
    </row>
    <row r="19" spans="1:21" s="640" customFormat="1" ht="15">
      <c r="A19" s="705">
        <v>1</v>
      </c>
      <c r="B19" s="706">
        <f>Tooling!B31</f>
        <v>0</v>
      </c>
      <c r="C19" s="707"/>
      <c r="D19" s="634"/>
      <c r="E19" s="647" t="s">
        <v>5377</v>
      </c>
      <c r="F19" s="653"/>
      <c r="G19" s="648"/>
      <c r="H19" s="636"/>
      <c r="I19" s="649"/>
      <c r="J19" s="636"/>
      <c r="K19" s="648">
        <f t="shared" si="0"/>
        <v>0</v>
      </c>
      <c r="L19" s="639"/>
      <c r="M19" s="634"/>
      <c r="N19" s="650"/>
      <c r="O19" s="362"/>
      <c r="P19" s="362"/>
      <c r="Q19" s="362"/>
      <c r="R19" s="654"/>
      <c r="S19" s="654"/>
      <c r="T19" s="655"/>
      <c r="U19"/>
    </row>
    <row r="20" spans="1:21" s="640" customFormat="1" ht="15">
      <c r="A20" s="705">
        <v>1</v>
      </c>
      <c r="B20" s="706">
        <f>Tooling!B25</f>
        <v>0</v>
      </c>
      <c r="C20" s="707"/>
      <c r="D20" s="634"/>
      <c r="E20" s="647" t="s">
        <v>5378</v>
      </c>
      <c r="F20" s="653"/>
      <c r="G20" s="648"/>
      <c r="H20" s="636"/>
      <c r="I20" s="649"/>
      <c r="J20" s="636"/>
      <c r="K20" s="648">
        <f t="shared" si="0"/>
        <v>0</v>
      </c>
      <c r="L20" s="639"/>
      <c r="M20" s="634"/>
      <c r="N20" s="362" t="s">
        <v>4607</v>
      </c>
      <c r="O20" s="362"/>
      <c r="P20" s="362"/>
      <c r="Q20" s="362"/>
      <c r="R20" s="362"/>
      <c r="S20" s="362"/>
      <c r="T20" s="373"/>
      <c r="U20"/>
    </row>
    <row r="21" spans="1:21" s="640" customFormat="1" ht="15" customHeight="1" thickBot="1">
      <c r="A21" s="705">
        <v>1</v>
      </c>
      <c r="B21" s="706">
        <f>Tooling!B15</f>
        <v>0</v>
      </c>
      <c r="C21" s="710"/>
      <c r="D21" s="634"/>
      <c r="E21" s="647" t="s">
        <v>4608</v>
      </c>
      <c r="F21" s="653"/>
      <c r="G21" s="648"/>
      <c r="H21" s="636"/>
      <c r="I21" s="649"/>
      <c r="J21" s="636"/>
      <c r="K21" s="648">
        <f t="shared" si="0"/>
        <v>0</v>
      </c>
      <c r="L21" s="639"/>
      <c r="M21" s="656"/>
      <c r="N21" s="391" t="s">
        <v>5477</v>
      </c>
      <c r="O21" s="391"/>
      <c r="P21" s="391"/>
      <c r="Q21" s="391"/>
      <c r="R21" s="391"/>
      <c r="S21" s="391"/>
      <c r="T21" s="392"/>
      <c r="U21"/>
    </row>
    <row r="22" spans="1:21" ht="19.5" customHeight="1" thickBot="1">
      <c r="A22" s="708"/>
      <c r="B22" s="709"/>
      <c r="C22" s="307"/>
      <c r="D22" s="385"/>
      <c r="E22" s="657" t="s">
        <v>5478</v>
      </c>
      <c r="F22" s="658"/>
      <c r="G22" s="658"/>
      <c r="H22" s="658"/>
      <c r="I22" s="659"/>
      <c r="J22" s="658"/>
      <c r="K22" s="660">
        <f>SUM(K13:K21)</f>
        <v>0</v>
      </c>
      <c r="L22" s="661"/>
      <c r="M22" s="662"/>
      <c r="N22" s="663" t="s">
        <v>2240</v>
      </c>
      <c r="O22" s="664"/>
      <c r="P22" s="664"/>
      <c r="Q22" s="664"/>
      <c r="R22" s="664"/>
      <c r="S22" s="664"/>
      <c r="T22" s="665"/>
    </row>
    <row r="23" spans="1:21" s="620" customFormat="1" ht="9" customHeight="1">
      <c r="D23" s="666"/>
      <c r="E23" s="667"/>
      <c r="F23" s="668"/>
      <c r="G23" s="669"/>
      <c r="H23" s="669"/>
      <c r="I23" s="369"/>
      <c r="J23" s="669"/>
      <c r="K23" s="670"/>
      <c r="L23" s="671"/>
      <c r="M23" s="666"/>
      <c r="N23" s="369"/>
      <c r="O23" s="369"/>
      <c r="P23" s="369"/>
      <c r="Q23" s="369"/>
      <c r="R23" s="369"/>
      <c r="S23" s="369"/>
      <c r="T23" s="633"/>
      <c r="U23"/>
    </row>
    <row r="24" spans="1:21" s="622" customFormat="1" ht="12" customHeight="1">
      <c r="D24" s="672"/>
      <c r="E24" s="620"/>
      <c r="F24" s="620"/>
      <c r="G24" s="620" t="s">
        <v>2241</v>
      </c>
      <c r="H24" s="620"/>
      <c r="I24" s="673"/>
      <c r="J24" s="620"/>
      <c r="K24" s="674"/>
      <c r="L24" s="675"/>
      <c r="M24" s="672"/>
      <c r="N24" s="362"/>
      <c r="O24" s="362"/>
      <c r="P24" s="362"/>
      <c r="Q24" s="362"/>
      <c r="R24" s="362"/>
      <c r="S24" s="362"/>
      <c r="T24" s="373"/>
      <c r="U24"/>
    </row>
    <row r="25" spans="1:21" s="622" customFormat="1" ht="15.75">
      <c r="D25" s="672"/>
      <c r="E25" s="676" t="s">
        <v>2242</v>
      </c>
      <c r="F25" s="620"/>
      <c r="G25" s="677" t="s">
        <v>2243</v>
      </c>
      <c r="H25" s="620"/>
      <c r="I25" s="677" t="s">
        <v>2244</v>
      </c>
      <c r="J25" s="620"/>
      <c r="K25" s="678" t="s">
        <v>3310</v>
      </c>
      <c r="L25" s="675"/>
      <c r="M25" s="672"/>
      <c r="N25" s="362" t="s">
        <v>2245</v>
      </c>
      <c r="O25" s="362"/>
      <c r="P25" s="355"/>
      <c r="Q25" s="355"/>
      <c r="R25" s="355"/>
      <c r="S25" s="355"/>
      <c r="T25" s="679"/>
      <c r="U25"/>
    </row>
    <row r="26" spans="1:21" s="622" customFormat="1" ht="12.75" customHeight="1">
      <c r="D26" s="672"/>
      <c r="E26" s="644" t="s">
        <v>2246</v>
      </c>
      <c r="F26" s="620"/>
      <c r="G26" s="673"/>
      <c r="H26" s="620"/>
      <c r="I26" s="673"/>
      <c r="J26" s="620"/>
      <c r="K26" s="674"/>
      <c r="L26" s="675"/>
      <c r="M26" s="672" t="s">
        <v>3576</v>
      </c>
      <c r="N26" s="362" t="s">
        <v>3248</v>
      </c>
      <c r="O26" s="362"/>
      <c r="P26" s="357"/>
      <c r="Q26" s="357"/>
      <c r="R26" s="357"/>
      <c r="S26" s="357"/>
      <c r="T26" s="680"/>
      <c r="U26"/>
    </row>
    <row r="27" spans="1:21" s="622" customFormat="1" ht="15">
      <c r="D27" s="672"/>
      <c r="E27" s="681" t="s">
        <v>3249</v>
      </c>
      <c r="F27" s="651"/>
      <c r="G27" s="648"/>
      <c r="H27" s="651" t="s">
        <v>3576</v>
      </c>
      <c r="I27" s="649"/>
      <c r="J27" s="651"/>
      <c r="K27" s="648">
        <f t="shared" ref="K27:K37" si="1">(G27*I27)</f>
        <v>0</v>
      </c>
      <c r="L27" s="675"/>
      <c r="M27" s="672" t="s">
        <v>3576</v>
      </c>
      <c r="N27" s="362" t="s">
        <v>3250</v>
      </c>
      <c r="O27" s="362"/>
      <c r="P27" s="357"/>
      <c r="Q27" s="355"/>
      <c r="R27" s="355"/>
      <c r="S27" s="357"/>
      <c r="T27" s="679"/>
      <c r="U27"/>
    </row>
    <row r="28" spans="1:21" s="622" customFormat="1" ht="15">
      <c r="D28" s="672"/>
      <c r="E28" s="681" t="s">
        <v>3251</v>
      </c>
      <c r="F28" s="651"/>
      <c r="G28" s="648"/>
      <c r="H28" s="651" t="s">
        <v>3576</v>
      </c>
      <c r="I28" s="649"/>
      <c r="J28" s="651"/>
      <c r="K28" s="648">
        <f t="shared" si="1"/>
        <v>0</v>
      </c>
      <c r="L28" s="675"/>
      <c r="M28" s="672" t="s">
        <v>3576</v>
      </c>
      <c r="N28" s="362" t="s">
        <v>3252</v>
      </c>
      <c r="O28" s="362"/>
      <c r="P28" s="357"/>
      <c r="Q28" s="355"/>
      <c r="R28" s="357"/>
      <c r="S28" s="357"/>
      <c r="T28" s="679"/>
      <c r="U28"/>
    </row>
    <row r="29" spans="1:21" s="622" customFormat="1" ht="15">
      <c r="D29" s="672"/>
      <c r="E29" s="681" t="s">
        <v>1432</v>
      </c>
      <c r="F29" s="651"/>
      <c r="G29" s="648"/>
      <c r="H29" s="651" t="s">
        <v>3576</v>
      </c>
      <c r="I29" s="649"/>
      <c r="J29" s="651"/>
      <c r="K29" s="648">
        <f t="shared" si="1"/>
        <v>0</v>
      </c>
      <c r="L29" s="675"/>
      <c r="M29" s="672" t="s">
        <v>3576</v>
      </c>
      <c r="N29" s="362" t="s">
        <v>1433</v>
      </c>
      <c r="O29" s="362"/>
      <c r="P29" s="357"/>
      <c r="Q29" s="357"/>
      <c r="R29" s="357"/>
      <c r="S29" s="357"/>
      <c r="T29" s="680"/>
      <c r="U29"/>
    </row>
    <row r="30" spans="1:21" s="622" customFormat="1" ht="15">
      <c r="D30" s="672"/>
      <c r="E30" s="681" t="s">
        <v>1398</v>
      </c>
      <c r="F30" s="651"/>
      <c r="G30" s="648"/>
      <c r="H30" s="651" t="s">
        <v>3576</v>
      </c>
      <c r="I30" s="649"/>
      <c r="J30" s="651"/>
      <c r="K30" s="648">
        <f t="shared" si="1"/>
        <v>0</v>
      </c>
      <c r="L30" s="675"/>
      <c r="M30" s="672" t="s">
        <v>3576</v>
      </c>
      <c r="N30" s="362" t="s">
        <v>1399</v>
      </c>
      <c r="O30" s="362"/>
      <c r="P30" s="682"/>
      <c r="Q30" s="682"/>
      <c r="R30" s="682"/>
      <c r="S30" s="682"/>
      <c r="T30" s="683"/>
      <c r="U30"/>
    </row>
    <row r="31" spans="1:21" s="622" customFormat="1" ht="15">
      <c r="D31" s="672"/>
      <c r="E31" s="681" t="s">
        <v>1400</v>
      </c>
      <c r="F31" s="651"/>
      <c r="G31" s="648"/>
      <c r="H31" s="651" t="s">
        <v>3576</v>
      </c>
      <c r="I31" s="649"/>
      <c r="J31" s="651"/>
      <c r="K31" s="648">
        <f t="shared" si="1"/>
        <v>0</v>
      </c>
      <c r="L31" s="675"/>
      <c r="M31" s="672" t="s">
        <v>3576</v>
      </c>
      <c r="N31" s="362"/>
      <c r="O31" s="362"/>
      <c r="P31" s="362"/>
      <c r="Q31" s="362"/>
      <c r="R31" s="362"/>
      <c r="S31" s="362"/>
      <c r="T31" s="373"/>
      <c r="U31"/>
    </row>
    <row r="32" spans="1:21" s="622" customFormat="1" ht="15">
      <c r="D32" s="672"/>
      <c r="E32" s="681" t="s">
        <v>1401</v>
      </c>
      <c r="F32" s="651"/>
      <c r="G32" s="648"/>
      <c r="H32" s="651" t="s">
        <v>3576</v>
      </c>
      <c r="I32" s="649"/>
      <c r="J32" s="651"/>
      <c r="K32" s="648">
        <f t="shared" si="1"/>
        <v>0</v>
      </c>
      <c r="L32" s="675"/>
      <c r="M32" s="672" t="s">
        <v>3576</v>
      </c>
      <c r="N32" s="362"/>
      <c r="O32" s="362"/>
      <c r="P32" s="362"/>
      <c r="Q32" s="362"/>
      <c r="R32" s="362"/>
      <c r="S32" s="362"/>
      <c r="T32" s="373"/>
      <c r="U32"/>
    </row>
    <row r="33" spans="4:21" s="622" customFormat="1" ht="15">
      <c r="D33" s="672"/>
      <c r="E33" s="681" t="s">
        <v>1402</v>
      </c>
      <c r="F33" s="651"/>
      <c r="G33" s="648"/>
      <c r="H33" s="651" t="s">
        <v>3576</v>
      </c>
      <c r="I33" s="649"/>
      <c r="J33" s="651"/>
      <c r="K33" s="648">
        <f t="shared" si="1"/>
        <v>0</v>
      </c>
      <c r="L33" s="675"/>
      <c r="M33" s="672" t="s">
        <v>3576</v>
      </c>
      <c r="N33" s="362"/>
      <c r="O33" s="362"/>
      <c r="P33" s="362"/>
      <c r="Q33" s="362"/>
      <c r="R33" s="362"/>
      <c r="S33" s="362"/>
      <c r="T33" s="373"/>
      <c r="U33"/>
    </row>
    <row r="34" spans="4:21" s="622" customFormat="1" ht="15">
      <c r="D34" s="672"/>
      <c r="E34" s="681" t="s">
        <v>1403</v>
      </c>
      <c r="F34" s="651"/>
      <c r="G34" s="648"/>
      <c r="H34" s="651" t="s">
        <v>3576</v>
      </c>
      <c r="I34" s="649"/>
      <c r="J34" s="651"/>
      <c r="K34" s="648">
        <f t="shared" si="1"/>
        <v>0</v>
      </c>
      <c r="L34" s="675"/>
      <c r="M34" s="672"/>
      <c r="N34" s="362"/>
      <c r="O34" s="362"/>
      <c r="P34" s="362"/>
      <c r="Q34" s="362"/>
      <c r="R34" s="362"/>
      <c r="S34" s="362"/>
      <c r="T34" s="373"/>
      <c r="U34"/>
    </row>
    <row r="35" spans="4:21" s="622" customFormat="1" ht="15">
      <c r="D35" s="672"/>
      <c r="E35" s="681" t="s">
        <v>3412</v>
      </c>
      <c r="F35" s="651"/>
      <c r="G35" s="648"/>
      <c r="H35" s="651" t="s">
        <v>3576</v>
      </c>
      <c r="I35" s="649"/>
      <c r="J35" s="651"/>
      <c r="K35" s="648">
        <f t="shared" si="1"/>
        <v>0</v>
      </c>
      <c r="L35" s="675"/>
      <c r="M35" s="672"/>
      <c r="N35" s="377" t="s">
        <v>3413</v>
      </c>
      <c r="O35" s="362"/>
      <c r="P35" s="355"/>
      <c r="Q35" s="355"/>
      <c r="R35" s="355"/>
      <c r="S35" s="355"/>
      <c r="T35" s="679"/>
      <c r="U35"/>
    </row>
    <row r="36" spans="4:21" s="622" customFormat="1" ht="15">
      <c r="D36" s="672"/>
      <c r="E36" s="681" t="s">
        <v>3414</v>
      </c>
      <c r="F36" s="620"/>
      <c r="G36" s="648"/>
      <c r="H36" s="651" t="s">
        <v>3576</v>
      </c>
      <c r="I36" s="649"/>
      <c r="J36" s="651"/>
      <c r="K36" s="648">
        <f t="shared" si="1"/>
        <v>0</v>
      </c>
      <c r="L36" s="675"/>
      <c r="M36" s="672"/>
      <c r="N36" s="362"/>
      <c r="O36" s="362"/>
      <c r="P36" s="362"/>
      <c r="Q36" s="362"/>
      <c r="R36" s="362"/>
      <c r="S36" s="362"/>
      <c r="T36" s="373"/>
      <c r="U36"/>
    </row>
    <row r="37" spans="4:21" s="622" customFormat="1" ht="15.75">
      <c r="D37" s="672"/>
      <c r="E37" s="684" t="s">
        <v>3415</v>
      </c>
      <c r="F37" s="620"/>
      <c r="G37" s="648"/>
      <c r="H37" s="620" t="s">
        <v>3576</v>
      </c>
      <c r="I37" s="649"/>
      <c r="J37" s="620"/>
      <c r="K37" s="648">
        <f t="shared" si="1"/>
        <v>0</v>
      </c>
      <c r="L37" s="675"/>
      <c r="M37" s="685"/>
      <c r="N37" s="377"/>
      <c r="O37" s="377"/>
      <c r="P37" s="377"/>
      <c r="Q37" s="377"/>
      <c r="R37" s="377"/>
      <c r="S37" s="362"/>
      <c r="T37" s="373"/>
      <c r="U37"/>
    </row>
    <row r="38" spans="4:21" s="622" customFormat="1" ht="15">
      <c r="D38" s="672"/>
      <c r="E38" s="686" t="s">
        <v>3416</v>
      </c>
      <c r="F38" s="620"/>
      <c r="G38" s="648"/>
      <c r="H38" s="620" t="s">
        <v>3576</v>
      </c>
      <c r="I38" s="649"/>
      <c r="J38" s="620"/>
      <c r="K38" s="649"/>
      <c r="L38" s="675"/>
      <c r="M38" s="672"/>
      <c r="N38" s="362"/>
      <c r="O38" s="362"/>
      <c r="P38" s="362"/>
      <c r="Q38" s="362"/>
      <c r="R38" s="362"/>
      <c r="S38" s="362"/>
      <c r="T38" s="373"/>
      <c r="U38"/>
    </row>
    <row r="39" spans="4:21" s="622" customFormat="1" ht="15">
      <c r="D39" s="672"/>
      <c r="E39" s="687"/>
      <c r="F39" s="620"/>
      <c r="G39" s="648"/>
      <c r="H39" s="620"/>
      <c r="I39" s="649"/>
      <c r="J39" s="620"/>
      <c r="K39" s="648">
        <f>(G39*I39)</f>
        <v>0</v>
      </c>
      <c r="L39" s="675"/>
      <c r="M39" s="672"/>
      <c r="N39" s="362"/>
      <c r="O39" s="362"/>
      <c r="P39" s="362"/>
      <c r="Q39" s="362"/>
      <c r="R39" s="362"/>
      <c r="S39" s="362"/>
      <c r="T39" s="373"/>
      <c r="U39"/>
    </row>
    <row r="40" spans="4:21" s="622" customFormat="1" ht="15">
      <c r="D40" s="672"/>
      <c r="E40" s="684"/>
      <c r="F40" s="620"/>
      <c r="G40" s="648"/>
      <c r="H40" s="620" t="s">
        <v>3576</v>
      </c>
      <c r="I40" s="649"/>
      <c r="J40" s="620"/>
      <c r="K40" s="648">
        <f>(G40*I40)</f>
        <v>0</v>
      </c>
      <c r="L40" s="675"/>
      <c r="M40" s="672"/>
      <c r="N40" s="362"/>
      <c r="O40" s="362"/>
      <c r="P40" s="362"/>
      <c r="Q40" s="362"/>
      <c r="R40" s="362"/>
      <c r="S40" s="362"/>
      <c r="T40" s="373"/>
      <c r="U40"/>
    </row>
    <row r="41" spans="4:21" s="622" customFormat="1" ht="14.25" customHeight="1">
      <c r="D41" s="672"/>
      <c r="E41" s="216"/>
      <c r="F41" s="620"/>
      <c r="G41" s="362"/>
      <c r="H41" s="362"/>
      <c r="I41" s="688"/>
      <c r="J41" s="362"/>
      <c r="K41" s="362"/>
      <c r="L41" s="675"/>
      <c r="M41" s="672"/>
      <c r="N41" s="362"/>
      <c r="O41" s="362"/>
      <c r="P41" s="362"/>
      <c r="Q41" s="362"/>
      <c r="R41" s="362"/>
      <c r="S41" s="362"/>
      <c r="T41" s="373"/>
      <c r="U41"/>
    </row>
    <row r="42" spans="4:21" s="622" customFormat="1" ht="14.25" customHeight="1" thickBot="1">
      <c r="D42" s="672"/>
      <c r="E42" s="689" t="s">
        <v>3417</v>
      </c>
      <c r="F42" s="690"/>
      <c r="G42" s="620"/>
      <c r="H42" s="620"/>
      <c r="I42" s="654"/>
      <c r="J42" s="620"/>
      <c r="K42" s="691">
        <f>SUM(K27:K40)</f>
        <v>0</v>
      </c>
      <c r="L42" s="675"/>
      <c r="M42" s="672"/>
      <c r="N42" s="362"/>
      <c r="O42" s="362"/>
      <c r="P42" s="362"/>
      <c r="Q42" s="362"/>
      <c r="R42" s="362"/>
      <c r="S42" s="362"/>
      <c r="T42" s="373"/>
      <c r="U42"/>
    </row>
    <row r="43" spans="4:21" s="622" customFormat="1" ht="16.5" customHeight="1" thickTop="1">
      <c r="D43" s="672"/>
      <c r="E43" s="692" t="s">
        <v>3418</v>
      </c>
      <c r="F43" s="620"/>
      <c r="G43" s="648"/>
      <c r="H43" s="620" t="s">
        <v>3576</v>
      </c>
      <c r="I43" s="649"/>
      <c r="J43" s="620"/>
      <c r="K43" s="648">
        <f>SUM(G43+I43)</f>
        <v>0</v>
      </c>
      <c r="L43" s="675"/>
      <c r="M43" s="672"/>
      <c r="N43" s="362"/>
      <c r="O43" s="362"/>
      <c r="P43" s="362"/>
      <c r="Q43" s="362"/>
      <c r="R43" s="362"/>
      <c r="S43" s="362"/>
      <c r="T43" s="373"/>
      <c r="U43"/>
    </row>
    <row r="44" spans="4:21" s="622" customFormat="1" ht="14.25" customHeight="1">
      <c r="D44" s="672"/>
      <c r="E44" s="620" t="s">
        <v>3419</v>
      </c>
      <c r="F44" s="620"/>
      <c r="G44" s="693" t="s">
        <v>3420</v>
      </c>
      <c r="H44" s="620"/>
      <c r="I44" s="693" t="s">
        <v>3421</v>
      </c>
      <c r="J44" s="620"/>
      <c r="K44" s="654"/>
      <c r="L44" s="675"/>
      <c r="M44" s="672"/>
      <c r="N44" s="362"/>
      <c r="O44" s="362"/>
      <c r="P44" s="362"/>
      <c r="Q44" s="362"/>
      <c r="R44" s="362"/>
      <c r="S44" s="362"/>
      <c r="T44" s="373"/>
      <c r="U44"/>
    </row>
    <row r="45" spans="4:21" s="620" customFormat="1" ht="12.75" customHeight="1">
      <c r="D45" s="672"/>
      <c r="G45" s="693"/>
      <c r="I45" s="688" t="s">
        <v>3422</v>
      </c>
      <c r="K45" s="648"/>
      <c r="L45" s="675"/>
      <c r="M45" s="672"/>
      <c r="N45" s="362"/>
      <c r="O45" s="362"/>
      <c r="P45" s="362"/>
      <c r="Q45" s="362"/>
      <c r="R45" s="362"/>
      <c r="S45" s="362"/>
      <c r="T45" s="373"/>
      <c r="U45"/>
    </row>
    <row r="46" spans="4:21" s="622" customFormat="1" ht="17.25" customHeight="1" thickBot="1">
      <c r="D46" s="694"/>
      <c r="E46" s="689" t="s">
        <v>5506</v>
      </c>
      <c r="F46" s="620"/>
      <c r="G46" s="620"/>
      <c r="H46" s="620"/>
      <c r="I46" s="620"/>
      <c r="J46" s="620"/>
      <c r="K46" s="695">
        <f>SUM(K22+K42+K43+K45)</f>
        <v>0</v>
      </c>
      <c r="L46" s="675"/>
      <c r="M46" s="672"/>
      <c r="N46" s="362"/>
      <c r="O46" s="362"/>
      <c r="P46" s="362"/>
      <c r="Q46" s="362"/>
      <c r="R46" s="362"/>
      <c r="S46" s="362"/>
      <c r="T46" s="373"/>
      <c r="U46"/>
    </row>
    <row r="47" spans="4:21" ht="15.75" thickBot="1">
      <c r="D47" s="385"/>
      <c r="E47" s="391"/>
      <c r="F47" s="391"/>
      <c r="G47" s="391"/>
      <c r="H47" s="391"/>
      <c r="I47" s="696"/>
      <c r="J47" s="391"/>
      <c r="K47" s="391"/>
      <c r="L47" s="697"/>
      <c r="M47" s="385"/>
      <c r="N47" s="391"/>
      <c r="O47" s="391"/>
      <c r="P47" s="391"/>
      <c r="Q47" s="391"/>
      <c r="R47" s="391"/>
      <c r="S47" s="391"/>
      <c r="T47" s="392"/>
    </row>
    <row r="48" spans="4:21" ht="15">
      <c r="D48" s="698" t="s">
        <v>5507</v>
      </c>
      <c r="E48" s="362"/>
      <c r="F48" s="362"/>
      <c r="G48" s="362"/>
      <c r="H48" s="307"/>
      <c r="I48" s="362"/>
      <c r="J48" s="362"/>
      <c r="K48" s="675"/>
      <c r="L48" s="362"/>
      <c r="M48" s="362"/>
      <c r="N48" s="362"/>
      <c r="O48" s="362"/>
      <c r="P48" s="362"/>
      <c r="Q48" s="362"/>
      <c r="R48" s="362"/>
      <c r="S48" s="362"/>
    </row>
    <row r="49" spans="4:20" ht="15" customHeight="1">
      <c r="D49" s="703"/>
      <c r="E49" s="355"/>
      <c r="F49" s="355"/>
      <c r="G49" s="355"/>
      <c r="H49" s="699"/>
      <c r="I49" s="355"/>
      <c r="J49" s="355"/>
      <c r="K49" s="700"/>
      <c r="L49" s="355"/>
      <c r="M49" s="355"/>
      <c r="N49" s="355"/>
      <c r="O49" s="355"/>
      <c r="P49" s="355"/>
      <c r="Q49" s="355"/>
      <c r="R49" s="355"/>
      <c r="S49" s="355"/>
      <c r="T49" s="355"/>
    </row>
    <row r="50" spans="4:20" ht="15" customHeight="1">
      <c r="D50" s="703"/>
      <c r="E50" s="355"/>
      <c r="F50" s="355"/>
      <c r="G50" s="355"/>
      <c r="H50" s="699"/>
      <c r="I50" s="355"/>
      <c r="J50" s="355"/>
      <c r="K50" s="700"/>
      <c r="L50" s="355"/>
      <c r="M50" s="355"/>
      <c r="N50" s="355"/>
      <c r="O50" s="355"/>
      <c r="P50" s="355"/>
      <c r="Q50" s="355"/>
      <c r="R50" s="355"/>
      <c r="S50" s="355"/>
      <c r="T50" s="355"/>
    </row>
    <row r="51" spans="4:20" ht="15" customHeight="1">
      <c r="D51" s="703"/>
      <c r="E51" s="355"/>
      <c r="F51" s="355"/>
      <c r="G51" s="355"/>
      <c r="H51" s="699"/>
      <c r="I51" s="355"/>
      <c r="J51" s="355"/>
      <c r="K51" s="700"/>
      <c r="L51" s="355"/>
      <c r="M51" s="355"/>
      <c r="N51" s="355"/>
      <c r="O51" s="355"/>
      <c r="P51" s="355"/>
      <c r="Q51" s="355"/>
      <c r="R51" s="355"/>
      <c r="S51" s="355"/>
      <c r="T51" s="355"/>
    </row>
    <row r="52" spans="4:20" ht="15" customHeight="1">
      <c r="D52" s="703"/>
      <c r="E52" s="355"/>
      <c r="F52" s="355"/>
      <c r="G52" s="355"/>
      <c r="H52" s="699"/>
      <c r="I52" s="355"/>
      <c r="J52" s="355"/>
      <c r="K52" s="700"/>
      <c r="L52" s="355"/>
      <c r="M52" s="355"/>
      <c r="N52" s="355"/>
      <c r="O52" s="355"/>
      <c r="P52" s="355"/>
      <c r="Q52" s="355"/>
      <c r="R52" s="355"/>
      <c r="S52" s="355"/>
      <c r="T52" s="355"/>
    </row>
    <row r="53" spans="4:20">
      <c r="D53" s="362"/>
      <c r="E53" s="362"/>
      <c r="F53" s="362"/>
      <c r="G53" s="362"/>
      <c r="H53" s="362"/>
      <c r="I53" s="307"/>
      <c r="K53"/>
    </row>
    <row r="54" spans="4:20">
      <c r="D54" s="362"/>
      <c r="E54" s="299"/>
      <c r="G54" s="362"/>
      <c r="H54" s="362"/>
      <c r="I54" s="307"/>
      <c r="K54"/>
    </row>
    <row r="55" spans="4:20">
      <c r="D55" s="362"/>
      <c r="E55" s="299"/>
      <c r="G55" s="362"/>
      <c r="H55" s="362"/>
      <c r="I55" s="307"/>
      <c r="K55"/>
    </row>
    <row r="56" spans="4:20">
      <c r="D56" s="362"/>
      <c r="E56" s="362"/>
      <c r="F56" s="362"/>
      <c r="G56" s="362"/>
      <c r="H56" s="362"/>
      <c r="I56" s="307"/>
      <c r="K56"/>
    </row>
    <row r="57" spans="4:20">
      <c r="D57" s="362"/>
      <c r="E57" s="362"/>
      <c r="F57" s="362"/>
      <c r="G57" s="362"/>
      <c r="H57" s="362"/>
      <c r="I57" s="307"/>
      <c r="K57"/>
    </row>
  </sheetData>
  <sheetProtection algorithmName="SHA-512" hashValue="K3mj55Qug6avSN5MST03nPxpNsaOE/o6gZtjF9LTv4i0+Za4zTheb4yXD5UN9Hy1oaWpn9li6V4FDgktu99Vew==" saltValue="ow5MR/P9aMipcGGes3rmmA==" spinCount="100000" sheet="1" objects="1" scenarios="1"/>
  <phoneticPr fontId="0" type="noConversion"/>
  <printOptions verticalCentered="1"/>
  <pageMargins left="0.3" right="0.3" top="0" bottom="0" header="0" footer="0"/>
  <pageSetup scale="85" orientation="portrait" verticalDpi="4294967292" r:id="rId1"/>
  <headerFooter alignWithMargins="0">
    <oddFooter>&amp;R&amp;8Release Date 6-12-02</oddFooter>
  </headerFooter>
  <drawing r:id="rId2"/>
  <legacyDrawing r:id="rId3"/>
  <oleObjects>
    <mc:AlternateContent xmlns:mc="http://schemas.openxmlformats.org/markup-compatibility/2006">
      <mc:Choice Requires="x14">
        <oleObject shapeId="48132" r:id="rId4">
          <objectPr defaultSize="0" r:id="rId5">
            <anchor moveWithCells="1" sizeWithCells="1">
              <from>
                <xdr:col>3</xdr:col>
                <xdr:colOff>76200</xdr:colOff>
                <xdr:row>0</xdr:row>
                <xdr:rowOff>28575</xdr:rowOff>
              </from>
              <to>
                <xdr:col>6</xdr:col>
                <xdr:colOff>323850</xdr:colOff>
                <xdr:row>2</xdr:row>
                <xdr:rowOff>47625</xdr:rowOff>
              </to>
            </anchor>
          </objectPr>
        </oleObject>
      </mc:Choice>
      <mc:Fallback>
        <oleObject shapeId="48132" r:id="rId4"/>
      </mc:Fallback>
    </mc:AlternateContent>
  </oleObjects>
  <mc:AlternateContent xmlns:mc="http://schemas.openxmlformats.org/markup-compatibility/2006">
    <mc:Choice Requires="x14">
      <controls>
        <mc:AlternateContent xmlns:mc="http://schemas.openxmlformats.org/markup-compatibility/2006">
          <mc:Choice Requires="x14">
            <control shapeId="48133" r:id="rId6" name="Button 5">
              <controlPr defaultSize="0" print="0" autoFill="0" autoPict="0" macro="[0]!PrintToolingCostBreakdown">
                <anchor moveWithCells="1">
                  <from>
                    <xdr:col>2</xdr:col>
                    <xdr:colOff>828675</xdr:colOff>
                    <xdr:row>52</xdr:row>
                    <xdr:rowOff>66675</xdr:rowOff>
                  </from>
                  <to>
                    <xdr:col>3</xdr:col>
                    <xdr:colOff>447675</xdr:colOff>
                    <xdr:row>53</xdr:row>
                    <xdr:rowOff>133350</xdr:rowOff>
                  </to>
                </anchor>
              </controlPr>
            </control>
          </mc:Choice>
        </mc:AlternateContent>
        <mc:AlternateContent xmlns:mc="http://schemas.openxmlformats.org/markup-compatibility/2006">
          <mc:Choice Requires="x14">
            <control shapeId="48134" r:id="rId7" name="Button 6">
              <controlPr defaultSize="0" print="0" autoFill="0" autoPict="0" macro="[0]!toquoteentry">
                <anchor moveWithCells="1">
                  <from>
                    <xdr:col>3</xdr:col>
                    <xdr:colOff>457200</xdr:colOff>
                    <xdr:row>52</xdr:row>
                    <xdr:rowOff>66675</xdr:rowOff>
                  </from>
                  <to>
                    <xdr:col>4</xdr:col>
                    <xdr:colOff>438150</xdr:colOff>
                    <xdr:row>53</xdr:row>
                    <xdr:rowOff>133350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
  <sheetViews>
    <sheetView workbookViewId="0"/>
  </sheetViews>
  <sheetFormatPr defaultRowHeight="12.75"/>
  <sheetData>
    <row r="1" spans="1:1">
      <c r="A1" s="14"/>
    </row>
  </sheetData>
  <phoneticPr fontId="22" type="noConversion"/>
  <pageMargins left="0.75" right="0.75" top="1" bottom="1" header="0.5" footer="0.5"/>
  <pageSetup orientation="portrait"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6081" r:id="rId4" name="Button 1">
              <controlPr defaultSize="0" print="0" autoFill="0" autoPict="0" macro="[0]!toquoteentry1">
                <anchor moveWithCells="1" sizeWithCells="1">
                  <from>
                    <xdr:col>1</xdr:col>
                    <xdr:colOff>38100</xdr:colOff>
                    <xdr:row>0</xdr:row>
                    <xdr:rowOff>9525</xdr:rowOff>
                  </from>
                  <to>
                    <xdr:col>1</xdr:col>
                    <xdr:colOff>542925</xdr:colOff>
                    <xdr:row>1</xdr:row>
                    <xdr:rowOff>9525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P94"/>
  <sheetViews>
    <sheetView showGridLines="0" showZeros="0" topLeftCell="A4" zoomScale="65" workbookViewId="0">
      <selection activeCell="B25" sqref="B25"/>
    </sheetView>
  </sheetViews>
  <sheetFormatPr defaultColWidth="12.7109375" defaultRowHeight="12.75"/>
  <cols>
    <col min="1" max="1" width="17.7109375" style="193" customWidth="1"/>
    <col min="2" max="2" width="8.7109375" style="193" customWidth="1"/>
    <col min="3" max="3" width="9.7109375" style="193" customWidth="1"/>
    <col min="4" max="5" width="8.7109375" style="193" customWidth="1"/>
    <col min="6" max="6" width="15.5703125" style="193" customWidth="1"/>
    <col min="7" max="10" width="8.7109375" style="193" customWidth="1"/>
    <col min="11" max="11" width="16.28515625" style="193" customWidth="1"/>
    <col min="12" max="12" width="8.7109375" style="193" customWidth="1"/>
    <col min="13" max="13" width="11.85546875" style="193" customWidth="1"/>
    <col min="14" max="15" width="8.7109375" style="193" customWidth="1"/>
    <col min="16" max="16384" width="12.7109375" style="8"/>
  </cols>
  <sheetData>
    <row r="1" spans="1:16">
      <c r="A1" s="195">
        <v>2101</v>
      </c>
      <c r="B1" s="31"/>
      <c r="C1" s="31"/>
      <c r="D1" s="31"/>
      <c r="E1" s="31"/>
      <c r="F1" s="195">
        <v>2103</v>
      </c>
      <c r="G1" s="31"/>
      <c r="H1" s="31"/>
      <c r="I1" s="31"/>
      <c r="J1" s="31"/>
      <c r="K1" s="196">
        <v>2104</v>
      </c>
      <c r="L1" s="8"/>
      <c r="M1" s="134"/>
      <c r="N1" s="134"/>
      <c r="P1" s="197" t="s">
        <v>379</v>
      </c>
    </row>
    <row r="2" spans="1:16" ht="25.5">
      <c r="A2" s="198" t="s">
        <v>4194</v>
      </c>
      <c r="B2" s="13" t="s">
        <v>4195</v>
      </c>
      <c r="C2" s="13" t="s">
        <v>4196</v>
      </c>
      <c r="D2" s="13" t="s">
        <v>5242</v>
      </c>
      <c r="E2" s="13" t="s">
        <v>4197</v>
      </c>
      <c r="F2" s="198" t="s">
        <v>4194</v>
      </c>
      <c r="G2" s="13" t="s">
        <v>4195</v>
      </c>
      <c r="H2" s="13" t="s">
        <v>4196</v>
      </c>
      <c r="I2" s="13" t="s">
        <v>5242</v>
      </c>
      <c r="J2" s="13" t="s">
        <v>4197</v>
      </c>
      <c r="K2" s="199" t="s">
        <v>4194</v>
      </c>
      <c r="L2" s="200" t="s">
        <v>4195</v>
      </c>
      <c r="M2" s="13" t="s">
        <v>4196</v>
      </c>
      <c r="N2" s="200" t="s">
        <v>5242</v>
      </c>
      <c r="O2" s="13" t="s">
        <v>4197</v>
      </c>
    </row>
    <row r="3" spans="1:16">
      <c r="A3" s="201"/>
      <c r="B3" s="202"/>
      <c r="C3" s="202"/>
      <c r="D3" s="202"/>
      <c r="E3" s="202"/>
      <c r="F3" s="201"/>
      <c r="H3" s="202"/>
      <c r="I3" s="202"/>
      <c r="J3" s="202"/>
      <c r="K3" s="203"/>
      <c r="L3" s="204"/>
      <c r="M3" s="204"/>
      <c r="N3" s="204"/>
    </row>
    <row r="4" spans="1:16">
      <c r="A4" s="551" t="s">
        <v>4701</v>
      </c>
      <c r="B4" s="205">
        <v>12</v>
      </c>
      <c r="C4" s="205">
        <v>0</v>
      </c>
      <c r="D4" s="205">
        <v>17.5</v>
      </c>
      <c r="E4" s="205">
        <v>0</v>
      </c>
      <c r="F4" s="201" t="s">
        <v>5948</v>
      </c>
      <c r="G4" s="202">
        <v>11</v>
      </c>
      <c r="H4" s="193">
        <v>0</v>
      </c>
      <c r="I4" s="202">
        <v>11.5</v>
      </c>
      <c r="J4" s="202">
        <v>0</v>
      </c>
      <c r="K4" s="203" t="s">
        <v>5960</v>
      </c>
      <c r="L4" s="206">
        <v>8.5500000000000007</v>
      </c>
      <c r="M4" s="206"/>
      <c r="N4" s="206">
        <v>3</v>
      </c>
    </row>
    <row r="5" spans="1:16">
      <c r="A5" s="551" t="s">
        <v>5933</v>
      </c>
      <c r="B5" s="205">
        <v>18</v>
      </c>
      <c r="C5" s="205"/>
      <c r="D5" s="205">
        <v>17.5</v>
      </c>
      <c r="E5" s="205">
        <v>0</v>
      </c>
      <c r="F5" s="201" t="s">
        <v>5949</v>
      </c>
      <c r="G5" s="202">
        <v>17</v>
      </c>
      <c r="H5" s="202"/>
      <c r="I5" s="202">
        <v>11.5</v>
      </c>
      <c r="J5" s="202">
        <v>0</v>
      </c>
      <c r="K5" s="203" t="s">
        <v>5961</v>
      </c>
      <c r="L5" s="206">
        <v>14.55</v>
      </c>
      <c r="M5" s="206">
        <v>0</v>
      </c>
      <c r="N5" s="206">
        <v>5</v>
      </c>
    </row>
    <row r="6" spans="1:16">
      <c r="A6" s="551" t="s">
        <v>5934</v>
      </c>
      <c r="B6" s="205">
        <v>26</v>
      </c>
      <c r="C6" s="205"/>
      <c r="D6" s="205">
        <v>17.5</v>
      </c>
      <c r="E6" s="205">
        <v>0</v>
      </c>
      <c r="F6" s="201" t="s">
        <v>5950</v>
      </c>
      <c r="G6" s="202">
        <v>25</v>
      </c>
      <c r="H6" s="202"/>
      <c r="I6" s="202">
        <v>11.5</v>
      </c>
      <c r="J6" s="202">
        <v>0</v>
      </c>
      <c r="K6" s="203" t="s">
        <v>5962</v>
      </c>
      <c r="L6" s="206">
        <v>20.55</v>
      </c>
      <c r="M6" s="206">
        <v>0</v>
      </c>
      <c r="N6" s="206">
        <v>5</v>
      </c>
    </row>
    <row r="7" spans="1:16">
      <c r="A7" s="551" t="s">
        <v>4554</v>
      </c>
      <c r="B7" s="205">
        <v>23.15</v>
      </c>
      <c r="C7" s="205">
        <v>200</v>
      </c>
      <c r="D7" s="205">
        <v>16.75</v>
      </c>
      <c r="E7" s="205">
        <v>1.5</v>
      </c>
      <c r="F7" s="201" t="s">
        <v>5951</v>
      </c>
      <c r="G7" s="202">
        <v>36.6</v>
      </c>
      <c r="H7" s="202">
        <v>425</v>
      </c>
      <c r="I7" s="202">
        <v>11.5</v>
      </c>
      <c r="J7" s="202">
        <v>5</v>
      </c>
      <c r="K7" s="203" t="s">
        <v>3191</v>
      </c>
      <c r="L7" s="206">
        <v>12.65</v>
      </c>
      <c r="M7" s="206">
        <v>200</v>
      </c>
      <c r="N7" s="206">
        <v>3</v>
      </c>
      <c r="O7" s="202">
        <v>1.5</v>
      </c>
    </row>
    <row r="8" spans="1:16">
      <c r="A8" s="551" t="s">
        <v>4555</v>
      </c>
      <c r="B8" s="205">
        <v>29.65</v>
      </c>
      <c r="C8" s="205">
        <v>200</v>
      </c>
      <c r="D8" s="205">
        <v>16.75</v>
      </c>
      <c r="E8" s="205">
        <v>1.5</v>
      </c>
      <c r="F8" s="201" t="s">
        <v>5952</v>
      </c>
      <c r="G8" s="202">
        <v>41</v>
      </c>
      <c r="H8" s="202">
        <v>450</v>
      </c>
      <c r="I8" s="202">
        <v>11.5</v>
      </c>
      <c r="J8" s="202">
        <v>10.3</v>
      </c>
      <c r="K8" s="203" t="s">
        <v>5398</v>
      </c>
      <c r="L8" s="206">
        <v>19.149999999999999</v>
      </c>
      <c r="M8" s="206">
        <v>200</v>
      </c>
      <c r="N8" s="206">
        <v>3</v>
      </c>
      <c r="O8" s="202">
        <v>1.68</v>
      </c>
    </row>
    <row r="9" spans="1:16">
      <c r="A9" s="551" t="s">
        <v>4556</v>
      </c>
      <c r="B9" s="205">
        <v>36.1</v>
      </c>
      <c r="C9" s="205">
        <v>200</v>
      </c>
      <c r="D9" s="205">
        <v>16.75</v>
      </c>
      <c r="E9" s="205">
        <v>3.51</v>
      </c>
      <c r="F9" s="201" t="s">
        <v>5953</v>
      </c>
      <c r="G9" s="202">
        <v>50.5</v>
      </c>
      <c r="H9" s="202">
        <v>565</v>
      </c>
      <c r="I9" s="202">
        <v>11.5</v>
      </c>
      <c r="J9" s="202">
        <v>15</v>
      </c>
      <c r="K9" s="203" t="s">
        <v>4559</v>
      </c>
      <c r="L9" s="206">
        <v>25.6</v>
      </c>
      <c r="M9" s="206">
        <v>200</v>
      </c>
      <c r="N9" s="206">
        <v>3</v>
      </c>
      <c r="O9" s="202">
        <v>3.76</v>
      </c>
    </row>
    <row r="10" spans="1:16">
      <c r="A10" s="551" t="s">
        <v>5935</v>
      </c>
      <c r="B10" s="205">
        <v>40.5</v>
      </c>
      <c r="C10" s="205">
        <v>275</v>
      </c>
      <c r="D10" s="205">
        <v>16.75</v>
      </c>
      <c r="E10" s="205">
        <v>11</v>
      </c>
      <c r="F10" s="201" t="s">
        <v>4557</v>
      </c>
      <c r="G10" s="202">
        <v>28.65</v>
      </c>
      <c r="H10" s="202">
        <v>200</v>
      </c>
      <c r="I10" s="202">
        <v>11.5</v>
      </c>
      <c r="J10" s="202">
        <v>3.2</v>
      </c>
      <c r="K10" s="203" t="s">
        <v>5963</v>
      </c>
      <c r="L10" s="206">
        <v>30</v>
      </c>
      <c r="M10" s="206">
        <v>275</v>
      </c>
      <c r="N10" s="206">
        <v>3</v>
      </c>
      <c r="O10" s="202">
        <v>15.4</v>
      </c>
    </row>
    <row r="11" spans="1:16">
      <c r="A11" s="551" t="s">
        <v>5936</v>
      </c>
      <c r="B11" s="205">
        <v>49.5</v>
      </c>
      <c r="C11" s="205">
        <v>350</v>
      </c>
      <c r="D11" s="205">
        <v>16.75</v>
      </c>
      <c r="E11" s="205">
        <v>30</v>
      </c>
      <c r="F11" s="201" t="s">
        <v>4558</v>
      </c>
      <c r="G11" s="202">
        <v>35.6</v>
      </c>
      <c r="H11" s="202">
        <v>200</v>
      </c>
      <c r="I11" s="202">
        <v>11.5</v>
      </c>
      <c r="J11" s="202">
        <v>6.5</v>
      </c>
      <c r="K11" s="203" t="s">
        <v>5964</v>
      </c>
      <c r="L11" s="206">
        <v>39.5</v>
      </c>
      <c r="M11" s="206">
        <v>350</v>
      </c>
      <c r="N11" s="206">
        <v>3</v>
      </c>
      <c r="O11" s="202">
        <v>33.6</v>
      </c>
    </row>
    <row r="12" spans="1:16">
      <c r="A12" s="551" t="s">
        <v>5937</v>
      </c>
      <c r="B12" s="205">
        <v>57</v>
      </c>
      <c r="C12" s="205">
        <v>350</v>
      </c>
      <c r="D12" s="205">
        <v>16.75</v>
      </c>
      <c r="E12" s="205">
        <v>42</v>
      </c>
      <c r="F12" s="201" t="s">
        <v>5954</v>
      </c>
      <c r="G12" s="202">
        <v>40</v>
      </c>
      <c r="H12" s="202">
        <v>275</v>
      </c>
      <c r="I12" s="202">
        <v>11.5</v>
      </c>
      <c r="J12" s="202">
        <v>10.3</v>
      </c>
      <c r="K12" s="203" t="s">
        <v>5965</v>
      </c>
      <c r="L12" s="206">
        <v>47</v>
      </c>
      <c r="M12" s="206">
        <v>350</v>
      </c>
      <c r="N12" s="206">
        <v>3</v>
      </c>
      <c r="O12" s="202">
        <v>33.6</v>
      </c>
    </row>
    <row r="13" spans="1:16">
      <c r="A13" s="551" t="s">
        <v>5938</v>
      </c>
      <c r="B13" s="205">
        <v>60.5</v>
      </c>
      <c r="C13" s="205">
        <v>350</v>
      </c>
      <c r="D13" s="205">
        <v>16.75</v>
      </c>
      <c r="E13" s="205">
        <v>6.38</v>
      </c>
      <c r="F13" s="201" t="s">
        <v>5955</v>
      </c>
      <c r="G13" s="202">
        <v>49.5</v>
      </c>
      <c r="H13" s="202">
        <v>350</v>
      </c>
      <c r="I13" s="202">
        <v>11.5</v>
      </c>
      <c r="J13" s="202">
        <v>12.7</v>
      </c>
      <c r="K13" s="201" t="s">
        <v>5966</v>
      </c>
      <c r="L13" s="205">
        <v>61.75</v>
      </c>
      <c r="M13" s="205">
        <v>350</v>
      </c>
      <c r="N13" s="205">
        <v>3</v>
      </c>
      <c r="O13" s="205">
        <v>41</v>
      </c>
    </row>
    <row r="14" spans="1:16">
      <c r="A14" s="551" t="s">
        <v>5939</v>
      </c>
      <c r="B14" s="205">
        <v>65</v>
      </c>
      <c r="C14" s="205">
        <v>350</v>
      </c>
      <c r="D14" s="205">
        <v>16.75</v>
      </c>
      <c r="E14" s="205">
        <v>21</v>
      </c>
      <c r="F14" s="201" t="s">
        <v>5956</v>
      </c>
      <c r="G14" s="202">
        <v>57</v>
      </c>
      <c r="H14" s="202">
        <v>350</v>
      </c>
      <c r="I14" s="202">
        <v>11.5</v>
      </c>
      <c r="J14" s="202">
        <v>28.4</v>
      </c>
      <c r="K14" s="203" t="s">
        <v>5392</v>
      </c>
      <c r="L14" s="206">
        <v>33</v>
      </c>
      <c r="M14" s="206">
        <v>350</v>
      </c>
      <c r="N14" s="206">
        <v>3</v>
      </c>
      <c r="O14" s="202">
        <v>15.4</v>
      </c>
    </row>
    <row r="15" spans="1:16" ht="13.5" thickBot="1">
      <c r="A15" s="551" t="s">
        <v>5940</v>
      </c>
      <c r="B15" s="205">
        <v>71.75</v>
      </c>
      <c r="C15" s="205">
        <v>350</v>
      </c>
      <c r="D15" s="205">
        <v>16.75</v>
      </c>
      <c r="E15" s="205">
        <v>41</v>
      </c>
      <c r="F15" s="201" t="s">
        <v>5393</v>
      </c>
      <c r="G15" s="202">
        <v>43</v>
      </c>
      <c r="H15" s="202">
        <v>350</v>
      </c>
      <c r="I15" s="202">
        <v>11.5</v>
      </c>
      <c r="J15" s="202">
        <v>18.399999999999999</v>
      </c>
      <c r="K15" s="203"/>
      <c r="L15" s="8"/>
    </row>
    <row r="16" spans="1:16">
      <c r="A16" s="552"/>
      <c r="B16" s="208"/>
      <c r="C16" s="208"/>
      <c r="D16" s="208"/>
      <c r="E16" s="208"/>
      <c r="F16" s="209"/>
      <c r="G16" s="194"/>
      <c r="K16" s="203"/>
      <c r="L16" s="8"/>
      <c r="M16" s="553"/>
      <c r="N16" s="229" t="s">
        <v>2679</v>
      </c>
      <c r="O16" s="230"/>
    </row>
    <row r="17" spans="1:15">
      <c r="A17" s="551" t="s">
        <v>5395</v>
      </c>
      <c r="B17" s="205">
        <v>43.5</v>
      </c>
      <c r="C17" s="205">
        <v>350</v>
      </c>
      <c r="D17" s="205">
        <v>16.75</v>
      </c>
      <c r="E17" s="205">
        <v>3.67</v>
      </c>
      <c r="F17" s="201"/>
      <c r="K17" s="203"/>
      <c r="L17" s="8"/>
      <c r="M17" s="554"/>
      <c r="N17" s="231" t="s">
        <v>6038</v>
      </c>
      <c r="O17" s="232"/>
    </row>
    <row r="18" spans="1:15" s="14" customFormat="1">
      <c r="A18" s="551" t="s">
        <v>5394</v>
      </c>
      <c r="B18" s="205">
        <v>40.5</v>
      </c>
      <c r="C18" s="205">
        <v>350</v>
      </c>
      <c r="D18" s="205">
        <v>16.75</v>
      </c>
      <c r="E18" s="205">
        <v>3</v>
      </c>
      <c r="F18" s="201"/>
      <c r="G18" s="193"/>
      <c r="H18" s="193"/>
      <c r="I18" s="193"/>
      <c r="J18" s="193"/>
      <c r="K18" s="203"/>
      <c r="M18" s="555" t="s">
        <v>3531</v>
      </c>
      <c r="N18" s="215" t="s">
        <v>6039</v>
      </c>
      <c r="O18" s="233"/>
    </row>
    <row r="19" spans="1:15">
      <c r="A19" s="551" t="s">
        <v>5941</v>
      </c>
      <c r="B19" s="205">
        <v>30.65</v>
      </c>
      <c r="C19" s="205">
        <v>200</v>
      </c>
      <c r="D19" s="205">
        <v>16.75</v>
      </c>
      <c r="E19" s="205">
        <v>1.5</v>
      </c>
      <c r="F19" s="201"/>
      <c r="G19" s="205"/>
      <c r="K19" s="201"/>
      <c r="L19" s="8"/>
      <c r="M19" s="556" t="s">
        <v>4562</v>
      </c>
      <c r="N19" s="234">
        <v>0.15</v>
      </c>
      <c r="O19" s="233"/>
    </row>
    <row r="20" spans="1:15">
      <c r="A20" s="551" t="s">
        <v>5942</v>
      </c>
      <c r="B20" s="205">
        <v>37.1</v>
      </c>
      <c r="C20" s="205">
        <v>200</v>
      </c>
      <c r="D20" s="205">
        <v>16.75</v>
      </c>
      <c r="E20" s="205">
        <v>2</v>
      </c>
      <c r="F20" s="201"/>
      <c r="G20" s="205"/>
      <c r="K20" s="201"/>
      <c r="L20" s="228"/>
      <c r="M20" s="556" t="s">
        <v>4560</v>
      </c>
      <c r="N20" s="234">
        <v>0.15</v>
      </c>
      <c r="O20" s="233"/>
    </row>
    <row r="21" spans="1:15">
      <c r="A21" s="551" t="s">
        <v>5943</v>
      </c>
      <c r="B21" s="205">
        <v>41.5</v>
      </c>
      <c r="C21" s="205">
        <v>275</v>
      </c>
      <c r="D21" s="205">
        <v>16.75</v>
      </c>
      <c r="E21" s="205">
        <v>8</v>
      </c>
      <c r="F21" s="201"/>
      <c r="K21" s="201"/>
      <c r="L21" s="228"/>
      <c r="M21" s="557" t="s">
        <v>4561</v>
      </c>
      <c r="N21" s="234">
        <v>0.6</v>
      </c>
      <c r="O21" s="233"/>
    </row>
    <row r="22" spans="1:15">
      <c r="A22" s="551" t="s">
        <v>5944</v>
      </c>
      <c r="B22" s="205">
        <v>50.5</v>
      </c>
      <c r="C22" s="205">
        <v>275</v>
      </c>
      <c r="D22" s="205">
        <v>16.75</v>
      </c>
      <c r="E22" s="205">
        <v>10.5</v>
      </c>
      <c r="F22" s="201"/>
      <c r="K22" s="203"/>
      <c r="L22" s="204"/>
      <c r="M22" s="557" t="s">
        <v>5396</v>
      </c>
      <c r="N22" s="234">
        <v>1.5</v>
      </c>
      <c r="O22" s="233"/>
    </row>
    <row r="23" spans="1:15">
      <c r="A23" s="551"/>
      <c r="B23" s="205"/>
      <c r="C23" s="205"/>
      <c r="D23" s="205"/>
      <c r="F23" s="201"/>
      <c r="K23" s="203"/>
      <c r="M23" s="557" t="s">
        <v>3396</v>
      </c>
      <c r="N23" s="234">
        <v>1.5</v>
      </c>
      <c r="O23" s="233"/>
    </row>
    <row r="24" spans="1:15" s="212" customFormat="1" ht="38.25">
      <c r="A24" s="209" t="s">
        <v>4637</v>
      </c>
      <c r="B24" s="194" t="s">
        <v>6202</v>
      </c>
      <c r="C24" s="193"/>
      <c r="D24" s="202"/>
      <c r="E24" s="193"/>
      <c r="F24" s="209" t="s">
        <v>4638</v>
      </c>
      <c r="G24" s="194" t="s">
        <v>6202</v>
      </c>
      <c r="H24" s="193"/>
      <c r="I24" s="193"/>
      <c r="J24" s="193"/>
      <c r="K24" s="210" t="s">
        <v>2029</v>
      </c>
      <c r="L24" s="135" t="s">
        <v>6202</v>
      </c>
      <c r="M24" s="557">
        <v>199</v>
      </c>
      <c r="N24" s="234">
        <v>1.5</v>
      </c>
      <c r="O24" s="233"/>
    </row>
    <row r="25" spans="1:15">
      <c r="A25" s="201" t="s">
        <v>5945</v>
      </c>
      <c r="B25" s="532">
        <v>3.75</v>
      </c>
      <c r="C25" s="533"/>
      <c r="D25" s="534"/>
      <c r="E25" s="534"/>
      <c r="F25" s="201" t="s">
        <v>5957</v>
      </c>
      <c r="G25" s="532">
        <v>3.5</v>
      </c>
      <c r="H25" s="534"/>
      <c r="I25" s="534"/>
      <c r="J25" s="534"/>
      <c r="K25" s="203" t="s">
        <v>5967</v>
      </c>
      <c r="L25" s="535">
        <v>2.2000000000000002</v>
      </c>
      <c r="M25" s="557" t="s">
        <v>3231</v>
      </c>
      <c r="N25" s="234">
        <v>4.5</v>
      </c>
      <c r="O25" s="233"/>
    </row>
    <row r="26" spans="1:15" ht="14.25" customHeight="1">
      <c r="A26" s="201" t="s">
        <v>5946</v>
      </c>
      <c r="B26" s="205">
        <v>6.5</v>
      </c>
      <c r="C26" s="202"/>
      <c r="F26" s="201" t="s">
        <v>5958</v>
      </c>
      <c r="G26" s="205">
        <v>6</v>
      </c>
      <c r="K26" s="203" t="s">
        <v>5968</v>
      </c>
      <c r="L26" s="206">
        <v>3.6</v>
      </c>
      <c r="M26" s="564" t="s">
        <v>3354</v>
      </c>
      <c r="N26" s="234">
        <v>4.5</v>
      </c>
      <c r="O26" s="233"/>
    </row>
    <row r="27" spans="1:15">
      <c r="A27" s="201" t="s">
        <v>5947</v>
      </c>
      <c r="B27" s="205">
        <v>9</v>
      </c>
      <c r="C27" s="202"/>
      <c r="F27" s="201" t="s">
        <v>5959</v>
      </c>
      <c r="G27" s="205">
        <v>8.25</v>
      </c>
      <c r="K27" s="203" t="s">
        <v>646</v>
      </c>
      <c r="L27" s="206">
        <v>5</v>
      </c>
      <c r="M27" s="557">
        <v>400</v>
      </c>
      <c r="N27" s="234">
        <v>9</v>
      </c>
      <c r="O27" s="233"/>
    </row>
    <row r="28" spans="1:15">
      <c r="A28" s="201"/>
      <c r="C28" s="202"/>
      <c r="E28" s="211"/>
      <c r="F28" s="201"/>
      <c r="K28" s="201"/>
      <c r="M28" s="557" t="s">
        <v>5397</v>
      </c>
      <c r="N28" s="234">
        <v>12.25</v>
      </c>
      <c r="O28" s="233"/>
    </row>
    <row r="29" spans="1:15" ht="13.5" thickBot="1">
      <c r="A29" s="213" t="s">
        <v>379</v>
      </c>
      <c r="B29" s="211"/>
      <c r="C29" s="214"/>
      <c r="F29" s="213" t="s">
        <v>379</v>
      </c>
      <c r="K29" s="213" t="s">
        <v>379</v>
      </c>
      <c r="L29" s="211"/>
      <c r="M29" s="558" t="s">
        <v>4721</v>
      </c>
      <c r="N29" s="235">
        <v>0</v>
      </c>
      <c r="O29" s="236"/>
    </row>
    <row r="30" spans="1:15">
      <c r="C30" s="202"/>
      <c r="D30" s="211"/>
      <c r="M30" s="211"/>
      <c r="N30" s="8"/>
      <c r="O30" s="8"/>
    </row>
    <row r="31" spans="1:15">
      <c r="C31" s="202"/>
      <c r="N31" s="8"/>
      <c r="O31" s="8"/>
    </row>
    <row r="32" spans="1:15">
      <c r="B32" s="202"/>
      <c r="C32" s="202"/>
      <c r="N32" s="8"/>
      <c r="O32" s="8"/>
    </row>
    <row r="33" spans="2:15">
      <c r="B33" s="202"/>
      <c r="C33" s="202"/>
      <c r="N33" s="8"/>
      <c r="O33" s="8"/>
    </row>
    <row r="34" spans="2:15">
      <c r="B34" s="202"/>
      <c r="C34" s="202"/>
      <c r="N34" s="8"/>
      <c r="O34" s="8"/>
    </row>
    <row r="35" spans="2:15">
      <c r="B35" s="202"/>
      <c r="C35" s="202"/>
      <c r="E35" s="207"/>
    </row>
    <row r="36" spans="2:15">
      <c r="B36" s="202"/>
      <c r="C36" s="202"/>
    </row>
    <row r="37" spans="2:15">
      <c r="B37" s="202"/>
      <c r="C37" s="202"/>
      <c r="D37" s="207"/>
    </row>
    <row r="38" spans="2:15">
      <c r="B38" s="202"/>
      <c r="C38" s="202"/>
    </row>
    <row r="39" spans="2:15">
      <c r="B39" s="202"/>
      <c r="C39" s="202"/>
    </row>
    <row r="40" spans="2:15">
      <c r="B40" s="202"/>
      <c r="C40" s="202"/>
    </row>
    <row r="41" spans="2:15">
      <c r="B41" s="202"/>
      <c r="C41" s="202"/>
    </row>
    <row r="42" spans="2:15">
      <c r="B42" s="202"/>
      <c r="C42" s="202"/>
    </row>
    <row r="43" spans="2:15">
      <c r="B43" s="202"/>
      <c r="C43" s="202"/>
    </row>
    <row r="44" spans="2:15">
      <c r="B44" s="202"/>
      <c r="C44" s="202"/>
    </row>
    <row r="45" spans="2:15">
      <c r="B45" s="202"/>
      <c r="C45" s="202"/>
    </row>
    <row r="46" spans="2:15">
      <c r="B46" s="202"/>
      <c r="C46" s="202"/>
    </row>
    <row r="47" spans="2:15">
      <c r="B47" s="202"/>
      <c r="C47" s="202"/>
    </row>
    <row r="48" spans="2:15">
      <c r="B48" s="202"/>
      <c r="C48" s="202"/>
    </row>
    <row r="49" spans="1:15" s="14" customFormat="1">
      <c r="A49" s="193"/>
      <c r="B49" s="193"/>
      <c r="C49" s="193"/>
      <c r="D49" s="193"/>
      <c r="E49" s="193"/>
      <c r="F49" s="193"/>
      <c r="G49" s="193"/>
      <c r="H49" s="193"/>
      <c r="I49" s="193"/>
      <c r="J49" s="193"/>
      <c r="K49" s="193"/>
      <c r="L49" s="193"/>
      <c r="M49" s="193"/>
      <c r="N49" s="193"/>
      <c r="O49" s="31"/>
    </row>
    <row r="50" spans="1:15" s="14" customFormat="1">
      <c r="A50" s="193"/>
      <c r="B50" s="193"/>
      <c r="C50" s="193"/>
      <c r="D50" s="193"/>
      <c r="E50" s="193"/>
      <c r="F50" s="193"/>
      <c r="G50" s="193"/>
      <c r="H50" s="193"/>
      <c r="I50" s="193"/>
      <c r="J50" s="193"/>
      <c r="K50" s="193"/>
      <c r="L50" s="193"/>
      <c r="M50" s="193"/>
      <c r="N50" s="193"/>
      <c r="O50" s="31"/>
    </row>
    <row r="52" spans="1:15">
      <c r="A52" s="31"/>
      <c r="B52" s="31"/>
      <c r="C52" s="31"/>
      <c r="F52" s="31"/>
      <c r="K52" s="31"/>
      <c r="L52" s="31"/>
    </row>
    <row r="53" spans="1:15">
      <c r="E53" s="31"/>
      <c r="F53" s="31"/>
      <c r="K53" s="31"/>
      <c r="L53" s="31"/>
      <c r="M53" s="31"/>
      <c r="N53" s="31"/>
    </row>
    <row r="54" spans="1:15">
      <c r="A54" s="31"/>
      <c r="B54" s="31"/>
      <c r="C54" s="31"/>
      <c r="E54" s="31"/>
      <c r="G54" s="31"/>
      <c r="H54" s="31"/>
      <c r="I54" s="31"/>
      <c r="J54" s="31"/>
      <c r="M54" s="31"/>
      <c r="N54" s="31"/>
    </row>
    <row r="55" spans="1:15">
      <c r="A55" s="31"/>
      <c r="B55" s="31"/>
      <c r="C55" s="31"/>
      <c r="D55" s="31"/>
      <c r="G55" s="31"/>
      <c r="H55" s="31"/>
      <c r="I55" s="31"/>
      <c r="J55" s="31"/>
    </row>
    <row r="56" spans="1:15">
      <c r="D56" s="31"/>
    </row>
    <row r="57" spans="1:15">
      <c r="B57" s="202"/>
      <c r="C57" s="202"/>
    </row>
    <row r="58" spans="1:15">
      <c r="B58" s="202"/>
      <c r="C58" s="202"/>
    </row>
    <row r="59" spans="1:15">
      <c r="B59" s="202"/>
      <c r="C59" s="202"/>
    </row>
    <row r="60" spans="1:15">
      <c r="B60" s="202"/>
      <c r="C60" s="202"/>
    </row>
    <row r="61" spans="1:15">
      <c r="B61" s="202"/>
      <c r="C61" s="202"/>
    </row>
    <row r="62" spans="1:15">
      <c r="B62" s="202"/>
      <c r="C62" s="202"/>
    </row>
    <row r="63" spans="1:15">
      <c r="B63" s="202"/>
      <c r="C63" s="202"/>
    </row>
    <row r="64" spans="1:15">
      <c r="B64" s="202"/>
      <c r="C64" s="202"/>
    </row>
    <row r="65" spans="2:5">
      <c r="B65" s="202"/>
      <c r="C65" s="202"/>
    </row>
    <row r="66" spans="2:5">
      <c r="B66" s="202"/>
      <c r="C66" s="202"/>
    </row>
    <row r="67" spans="2:5">
      <c r="B67" s="202"/>
      <c r="C67" s="202"/>
    </row>
    <row r="68" spans="2:5">
      <c r="B68" s="202"/>
      <c r="C68" s="202"/>
    </row>
    <row r="69" spans="2:5">
      <c r="B69" s="202"/>
      <c r="C69" s="202"/>
    </row>
    <row r="70" spans="2:5">
      <c r="B70" s="202"/>
      <c r="C70" s="202"/>
    </row>
    <row r="71" spans="2:5">
      <c r="B71" s="202"/>
      <c r="C71" s="202"/>
    </row>
    <row r="72" spans="2:5">
      <c r="B72" s="202"/>
      <c r="C72" s="202"/>
    </row>
    <row r="73" spans="2:5">
      <c r="B73" s="202"/>
      <c r="C73" s="202"/>
    </row>
    <row r="74" spans="2:5">
      <c r="B74" s="202"/>
      <c r="C74" s="202"/>
      <c r="E74" s="207"/>
    </row>
    <row r="75" spans="2:5">
      <c r="B75" s="202"/>
      <c r="C75" s="202"/>
    </row>
    <row r="76" spans="2:5">
      <c r="B76" s="202"/>
      <c r="C76" s="202"/>
      <c r="D76" s="207"/>
    </row>
    <row r="77" spans="2:5">
      <c r="B77" s="202"/>
      <c r="C77" s="202"/>
    </row>
    <row r="78" spans="2:5">
      <c r="B78" s="202"/>
      <c r="C78" s="202"/>
    </row>
    <row r="79" spans="2:5">
      <c r="B79" s="202"/>
      <c r="C79" s="202"/>
    </row>
    <row r="80" spans="2:5">
      <c r="B80" s="202"/>
      <c r="C80" s="202"/>
    </row>
    <row r="81" spans="2:5">
      <c r="B81" s="202"/>
      <c r="C81" s="202"/>
    </row>
    <row r="82" spans="2:5">
      <c r="B82" s="202"/>
      <c r="C82" s="202"/>
    </row>
    <row r="83" spans="2:5">
      <c r="B83" s="202"/>
      <c r="C83" s="202"/>
    </row>
    <row r="84" spans="2:5">
      <c r="B84" s="202"/>
      <c r="C84" s="202"/>
    </row>
    <row r="85" spans="2:5">
      <c r="B85" s="202"/>
      <c r="C85" s="202"/>
    </row>
    <row r="86" spans="2:5">
      <c r="B86" s="202"/>
      <c r="C86" s="202"/>
    </row>
    <row r="87" spans="2:5">
      <c r="B87" s="202"/>
      <c r="C87" s="202"/>
    </row>
    <row r="88" spans="2:5">
      <c r="B88" s="202"/>
      <c r="C88" s="202"/>
    </row>
    <row r="89" spans="2:5">
      <c r="B89" s="202"/>
      <c r="C89" s="202"/>
    </row>
    <row r="90" spans="2:5">
      <c r="B90" s="202"/>
      <c r="C90" s="202"/>
    </row>
    <row r="91" spans="2:5">
      <c r="B91" s="202"/>
      <c r="C91" s="202"/>
    </row>
    <row r="92" spans="2:5">
      <c r="B92" s="202"/>
      <c r="C92" s="202"/>
      <c r="E92" s="207"/>
    </row>
    <row r="93" spans="2:5">
      <c r="B93" s="202"/>
      <c r="C93" s="202"/>
    </row>
    <row r="94" spans="2:5">
      <c r="D94" s="207"/>
    </row>
  </sheetData>
  <sheetProtection algorithmName="SHA-512" hashValue="HtAbzJO/dC2W9X2HtqrGuHn7ZwNmanzHFALbo7iFcRDjRRW+rGjL9qVgufSEwAkuJ0sSSC7n53nZb6i5LtaXrw==" saltValue="2ytXeX+sM9PKeoYIMUa1aA==" spinCount="100000" sheet="1" objects="1" scenarios="1"/>
  <phoneticPr fontId="0" type="noConversion"/>
  <printOptions gridLinesSet="0"/>
  <pageMargins left="0.75" right="0.75" top="1" bottom="1" header="0.5" footer="0.5"/>
  <pageSetup scale="72" fitToHeight="2" orientation="landscape" horizontalDpi="4294967292" verticalDpi="300" r:id="rId1"/>
  <headerFooter alignWithMargins="0">
    <oddHeader>&amp;L&amp;"Arial,Bold"&amp;F&amp;C&amp;"Arial,Bold"Thermotech Press Rates&amp;R&amp;"Arial,Bold"&amp;D  &amp;T</oddHeader>
    <oddFooter>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3793" r:id="rId4" name="Button 1">
              <controlPr defaultSize="0" print="0" autoFill="0" autoPict="0" macro="[0]!toquoteentry">
                <anchor moveWithCells="1" sizeWithCells="1">
                  <from>
                    <xdr:col>7</xdr:col>
                    <xdr:colOff>361950</xdr:colOff>
                    <xdr:row>18</xdr:row>
                    <xdr:rowOff>76200</xdr:rowOff>
                  </from>
                  <to>
                    <xdr:col>8</xdr:col>
                    <xdr:colOff>238125</xdr:colOff>
                    <xdr:row>19</xdr:row>
                    <xdr:rowOff>142875</xdr:rowOff>
                  </to>
                </anchor>
              </controlPr>
            </control>
          </mc:Choice>
        </mc:AlternateContent>
        <mc:AlternateContent xmlns:mc="http://schemas.openxmlformats.org/markup-compatibility/2006">
          <mc:Choice Requires="x14">
            <control shapeId="33797" r:id="rId5" name="Button 5">
              <controlPr defaultSize="0" print="0" autoFill="0" autoPict="0" macro="[0]!AddChangePressRate">
                <anchor moveWithCells="1" sizeWithCells="1">
                  <from>
                    <xdr:col>6</xdr:col>
                    <xdr:colOff>19050</xdr:colOff>
                    <xdr:row>18</xdr:row>
                    <xdr:rowOff>76200</xdr:rowOff>
                  </from>
                  <to>
                    <xdr:col>6</xdr:col>
                    <xdr:colOff>476250</xdr:colOff>
                    <xdr:row>19</xdr:row>
                    <xdr:rowOff>142875</xdr:rowOff>
                  </to>
                </anchor>
              </controlPr>
            </control>
          </mc:Choice>
        </mc:AlternateContent>
        <mc:AlternateContent xmlns:mc="http://schemas.openxmlformats.org/markup-compatibility/2006">
          <mc:Choice Requires="x14">
            <control shapeId="33798" r:id="rId6" name="Button 6">
              <controlPr defaultSize="0" print="0" autoFill="0" autoPict="0" macro="[0]!AddChangePressRateComplete">
                <anchor moveWithCells="1" sizeWithCells="1">
                  <from>
                    <xdr:col>6</xdr:col>
                    <xdr:colOff>485775</xdr:colOff>
                    <xdr:row>18</xdr:row>
                    <xdr:rowOff>76200</xdr:rowOff>
                  </from>
                  <to>
                    <xdr:col>7</xdr:col>
                    <xdr:colOff>361950</xdr:colOff>
                    <xdr:row>19</xdr:row>
                    <xdr:rowOff>142875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pageSetUpPr fitToPage="1"/>
  </sheetPr>
  <dimension ref="A1:J62"/>
  <sheetViews>
    <sheetView topLeftCell="A49" workbookViewId="0">
      <selection activeCell="A63" sqref="A63"/>
    </sheetView>
  </sheetViews>
  <sheetFormatPr defaultColWidth="19.7109375" defaultRowHeight="12.75"/>
  <cols>
    <col min="1" max="1" width="11.42578125" style="130" customWidth="1"/>
    <col min="2" max="2" width="16.7109375" style="130" customWidth="1"/>
    <col min="3" max="3" width="6.7109375" style="299" customWidth="1"/>
    <col min="4" max="4" width="20.42578125" bestFit="1" customWidth="1"/>
    <col min="5" max="6" width="19.7109375" customWidth="1"/>
    <col min="7" max="7" width="12.28515625" customWidth="1"/>
    <col min="8" max="8" width="17.7109375" bestFit="1" customWidth="1"/>
  </cols>
  <sheetData>
    <row r="1" spans="1:10">
      <c r="D1" s="31" t="s">
        <v>413</v>
      </c>
      <c r="E1" s="355" t="s">
        <v>2912</v>
      </c>
      <c r="G1" s="31" t="s">
        <v>1014</v>
      </c>
      <c r="H1" s="358">
        <f>QEDateDue</f>
        <v>38611</v>
      </c>
    </row>
    <row r="2" spans="1:10">
      <c r="D2" s="31" t="s">
        <v>414</v>
      </c>
      <c r="E2" s="357" t="str">
        <f>IF(QECustInq&gt;0, QECustInq, "")</f>
        <v>6058</v>
      </c>
      <c r="G2" s="31" t="s">
        <v>415</v>
      </c>
      <c r="H2" s="357" t="str">
        <f>CQECustName</f>
        <v>Larry Burton</v>
      </c>
    </row>
    <row r="4" spans="1:10" ht="15.75">
      <c r="D4" s="1232" t="str">
        <f xml:space="preserve"> QECustName</f>
        <v>Hitachi Automotive Products</v>
      </c>
      <c r="E4" s="1232"/>
      <c r="F4" s="1232"/>
      <c r="G4" s="1232"/>
    </row>
    <row r="5" spans="1:10" ht="15.75">
      <c r="B5" s="394"/>
      <c r="D5" s="1232" t="s">
        <v>1137</v>
      </c>
      <c r="E5" s="1232"/>
      <c r="F5" s="1232"/>
      <c r="G5" s="1232"/>
    </row>
    <row r="6" spans="1:10">
      <c r="A6" s="131" t="s">
        <v>807</v>
      </c>
    </row>
    <row r="7" spans="1:10">
      <c r="D7" s="348" t="str">
        <f>CONCATENATE(QECustName,"Part Number:")</f>
        <v>Hitachi Automotive ProductsPart Number:</v>
      </c>
      <c r="E7" s="355" t="str">
        <f>QEPtNum</f>
        <v>HL328823</v>
      </c>
      <c r="F7" s="355"/>
    </row>
    <row r="8" spans="1:10">
      <c r="A8" s="131" t="s">
        <v>805</v>
      </c>
      <c r="D8" s="348" t="s">
        <v>3744</v>
      </c>
      <c r="E8" s="357" t="str">
        <f>QEPtName</f>
        <v>Adjust Screw</v>
      </c>
      <c r="F8" s="357"/>
    </row>
    <row r="9" spans="1:10" ht="13.5" thickBot="1">
      <c r="A9" s="131" t="s">
        <v>806</v>
      </c>
    </row>
    <row r="10" spans="1:10" ht="13.5" thickBot="1">
      <c r="A10" s="396">
        <v>1</v>
      </c>
    </row>
    <row r="11" spans="1:10">
      <c r="C11" s="299" t="s">
        <v>5490</v>
      </c>
      <c r="D11" s="368" t="s">
        <v>1138</v>
      </c>
      <c r="E11" s="369"/>
      <c r="F11" s="370" t="s">
        <v>3745</v>
      </c>
      <c r="G11" s="369"/>
      <c r="H11" s="371" t="s">
        <v>3746</v>
      </c>
    </row>
    <row r="12" spans="1:10" ht="13.5" thickBot="1">
      <c r="D12" s="372"/>
      <c r="E12" s="362"/>
      <c r="F12" s="362"/>
      <c r="G12" s="362"/>
      <c r="H12" s="373"/>
    </row>
    <row r="13" spans="1:10" ht="13.5" thickBot="1">
      <c r="A13" s="394"/>
      <c r="C13" s="595">
        <v>1</v>
      </c>
      <c r="D13" s="598"/>
      <c r="E13" s="357"/>
      <c r="F13" s="599">
        <f xml:space="preserve"> IF(CBResinPr1&gt; 0, CBResinPr1 *CBFactor1, 0)</f>
        <v>0</v>
      </c>
      <c r="G13" s="602"/>
      <c r="H13" s="601">
        <f xml:space="preserve"> IF(CBResinPr1&gt;0, F13*G13/BaseQuantity,  0)</f>
        <v>0</v>
      </c>
    </row>
    <row r="14" spans="1:10" ht="13.5" thickBot="1">
      <c r="A14" s="394"/>
      <c r="C14" s="595">
        <v>1</v>
      </c>
      <c r="D14" s="374"/>
      <c r="E14" s="355"/>
      <c r="F14" s="599">
        <f xml:space="preserve"> IF(CBResinPr2&gt; 0, CBResinPr2 *CBFactor2, 0)</f>
        <v>0</v>
      </c>
      <c r="G14" s="359"/>
      <c r="H14" s="601">
        <f xml:space="preserve"> IF(CBResinPr2&gt;0, F14*G14/BaseQuantity,  0)</f>
        <v>0</v>
      </c>
    </row>
    <row r="15" spans="1:10" ht="13.5" thickBot="1">
      <c r="A15" s="394"/>
      <c r="C15" s="595">
        <v>1</v>
      </c>
      <c r="D15" s="374"/>
      <c r="E15" s="355"/>
      <c r="F15" s="599">
        <f xml:space="preserve"> IF(CBResinPr3&gt; 0, CBResinPr3 *CBFactor3, 0)</f>
        <v>0</v>
      </c>
      <c r="G15" s="359"/>
      <c r="H15" s="601">
        <f xml:space="preserve"> IF(CBResinPr3&gt;0, F15*G15/BaseQuantity,  0)</f>
        <v>0</v>
      </c>
      <c r="I15" s="14" t="s">
        <v>5095</v>
      </c>
      <c r="J15" s="14" t="s">
        <v>5094</v>
      </c>
    </row>
    <row r="16" spans="1:10" ht="13.5" thickBot="1">
      <c r="A16" s="394"/>
      <c r="C16" s="595">
        <v>1</v>
      </c>
      <c r="D16" s="374"/>
      <c r="E16" s="355"/>
      <c r="F16" s="599">
        <f xml:space="preserve"> IF(CBResinPr4&gt; 0, CBFactor3A *C16, 0)</f>
        <v>0</v>
      </c>
      <c r="G16" s="359"/>
      <c r="H16" s="601">
        <f xml:space="preserve"> IF(CBResinPr4&gt;0, F16*G16/BaseQuantity,  0)</f>
        <v>0</v>
      </c>
      <c r="I16" s="360">
        <f>SUM(H13:H16)</f>
        <v>0</v>
      </c>
      <c r="J16" s="360">
        <f>CBFinMatl+CBFinalBO</f>
        <v>0</v>
      </c>
    </row>
    <row r="17" spans="1:9">
      <c r="C17" s="397"/>
      <c r="D17" s="372"/>
      <c r="E17" s="362"/>
      <c r="F17" s="362"/>
      <c r="G17" s="362"/>
      <c r="H17" s="373"/>
    </row>
    <row r="18" spans="1:9">
      <c r="C18" s="397"/>
      <c r="D18" s="376" t="s">
        <v>439</v>
      </c>
      <c r="E18" s="362"/>
      <c r="F18" s="377" t="s">
        <v>440</v>
      </c>
      <c r="G18" s="362"/>
      <c r="H18" s="373"/>
    </row>
    <row r="19" spans="1:9" ht="13.5" thickBot="1">
      <c r="C19" s="397"/>
      <c r="D19" s="372"/>
      <c r="E19" s="362"/>
      <c r="F19" s="362"/>
      <c r="G19" s="362"/>
      <c r="H19" s="373"/>
    </row>
    <row r="20" spans="1:9" ht="13.5" thickBot="1">
      <c r="A20" s="606"/>
      <c r="C20" s="595">
        <v>1</v>
      </c>
      <c r="D20" s="598"/>
      <c r="E20" s="357"/>
      <c r="F20" s="605"/>
      <c r="G20" s="602"/>
      <c r="H20" s="601">
        <f>IF(CBPcs1&gt;0, CBFactor4*F20*G20/CBPcs1, 0)</f>
        <v>0</v>
      </c>
    </row>
    <row r="21" spans="1:9" ht="13.5" thickBot="1">
      <c r="A21" s="606"/>
      <c r="C21" s="595">
        <v>1</v>
      </c>
      <c r="D21" s="374"/>
      <c r="E21" s="355"/>
      <c r="F21" s="1188"/>
      <c r="G21" s="359"/>
      <c r="H21" s="601">
        <f>IF(CBPcs2&gt;0, CBFactor5*F21*G21/CBPcs2, 0)</f>
        <v>0</v>
      </c>
    </row>
    <row r="22" spans="1:9" ht="13.5" thickBot="1">
      <c r="A22" s="606"/>
      <c r="C22" s="595">
        <v>1</v>
      </c>
      <c r="D22" s="374"/>
      <c r="E22" s="355"/>
      <c r="F22" s="1188"/>
      <c r="G22" s="359"/>
      <c r="H22" s="601">
        <f>IF(CBPcs3&gt;0, CBFactor6*F22*G22/CBPcs3, 0)</f>
        <v>0</v>
      </c>
      <c r="I22" s="14" t="s">
        <v>5093</v>
      </c>
    </row>
    <row r="23" spans="1:9" ht="13.5" thickBot="1">
      <c r="A23" s="606"/>
      <c r="C23" s="595">
        <v>1</v>
      </c>
      <c r="D23" s="374"/>
      <c r="E23" s="355"/>
      <c r="F23" s="1188"/>
      <c r="G23" s="359"/>
      <c r="H23" s="601">
        <f>IF(CBPcs4&gt;0, CBFactor6A*F23*G23/CBPcs4, 0)</f>
        <v>0</v>
      </c>
      <c r="I23" s="360">
        <f>SUM(H20:H23)</f>
        <v>0</v>
      </c>
    </row>
    <row r="24" spans="1:9">
      <c r="C24" s="397"/>
      <c r="D24" s="372"/>
      <c r="E24" s="362"/>
      <c r="F24" s="362"/>
      <c r="G24" s="362"/>
      <c r="H24" s="373"/>
    </row>
    <row r="25" spans="1:9">
      <c r="B25" s="130" t="s">
        <v>4750</v>
      </c>
      <c r="C25" s="397"/>
      <c r="D25" s="376" t="s">
        <v>6287</v>
      </c>
      <c r="E25" s="362"/>
      <c r="F25" s="377" t="s">
        <v>5491</v>
      </c>
      <c r="G25" s="362"/>
      <c r="H25" s="373"/>
    </row>
    <row r="26" spans="1:9" ht="13.5" thickBot="1">
      <c r="C26" s="397"/>
      <c r="D26" s="372"/>
      <c r="E26" s="362"/>
      <c r="F26" s="362"/>
      <c r="G26" s="362"/>
      <c r="H26" s="373"/>
    </row>
    <row r="27" spans="1:9" ht="13.5" thickBot="1">
      <c r="A27" s="394">
        <f>IF(CBQtyBreak=1,FSMinCost1+FSMaintCost1+FSCommVal1,IF(CBQtyBreak=2,FSMinCost2+FSMaintCost2+FSCommVal2,IF(CBQtyBreak=3,FSMinCost3+FSMaintCost3+FSCommVal3,IF(CBQtyBreak=4,FSMinCost4+FSMaintCost4+FSCommVal4,IF(CBQtyBreak=5,FSMinCost5+FSMaintCost5+FSCommVal5,0)))))</f>
        <v>6.0721742868890978</v>
      </c>
      <c r="B27" s="130" t="b">
        <f>AND( CavityScr1 &gt;0)</f>
        <v>1</v>
      </c>
      <c r="C27" s="595">
        <v>1.25</v>
      </c>
      <c r="D27" s="598" t="s">
        <v>5492</v>
      </c>
      <c r="E27" s="357"/>
      <c r="F27" s="357"/>
      <c r="G27" s="357"/>
      <c r="H27" s="601">
        <f xml:space="preserve"> IF(CBLogTest7=TRUE, CBVarCost/BaseQuantity *  CBFactor7,  "")</f>
        <v>7.5902178586113728E-3</v>
      </c>
      <c r="I27" s="14" t="s">
        <v>5092</v>
      </c>
    </row>
    <row r="28" spans="1:9" ht="13.5" thickBot="1">
      <c r="A28" s="394">
        <f>IF(CBQtyBreak=1,FSFinalPressCost1+FSFinTMCost1,IF(CBQtyBreak=2,FSFinalPressCost2+FSFinTMCost2,IF(CBQtyBreak=3,FSFinalPressCost3+FSFinTMCost3,IF(CBQtyBreak=4,FSFinalPressCost4+FSFinTMCost4,IF(CBQtyBreak=5,FSFinalPressCost5+FSFinTMCost5)))))</f>
        <v>18.813775510204081</v>
      </c>
      <c r="B28" s="130" t="b">
        <f>AND( CavityScr1 &gt;0)</f>
        <v>1</v>
      </c>
      <c r="C28" s="595">
        <v>1.25</v>
      </c>
      <c r="D28" s="374" t="s">
        <v>831</v>
      </c>
      <c r="E28" s="355"/>
      <c r="F28" s="355"/>
      <c r="G28" s="355"/>
      <c r="H28" s="375">
        <f xml:space="preserve"> IF(CBLogTest8=TRUE, CBFixedCost/BaseQuantity  *  CBFactor8,  "")</f>
        <v>2.3517219387755101E-2</v>
      </c>
      <c r="I28" s="360">
        <f>SUM(H27:H28)</f>
        <v>3.1107437246366474E-2</v>
      </c>
    </row>
    <row r="29" spans="1:9">
      <c r="C29" s="397"/>
      <c r="D29" s="372"/>
      <c r="E29" s="362"/>
      <c r="F29" s="362"/>
      <c r="G29" s="362"/>
      <c r="H29" s="373"/>
    </row>
    <row r="30" spans="1:9">
      <c r="C30" s="397"/>
      <c r="D30" s="372"/>
      <c r="E30" s="362"/>
      <c r="F30" s="362"/>
      <c r="G30" s="362"/>
      <c r="H30" s="373"/>
    </row>
    <row r="31" spans="1:9">
      <c r="C31" s="397"/>
      <c r="D31" s="372"/>
      <c r="E31" s="377" t="s">
        <v>1753</v>
      </c>
      <c r="F31" s="362"/>
      <c r="G31" s="362"/>
      <c r="H31" s="375">
        <f>I16+I23+I28+I50+I54+I59</f>
        <v>3.1745192348407288E-2</v>
      </c>
    </row>
    <row r="32" spans="1:9">
      <c r="B32" s="130" t="s">
        <v>238</v>
      </c>
      <c r="C32" s="397"/>
      <c r="D32" s="372"/>
      <c r="E32" s="362"/>
      <c r="F32" s="362"/>
      <c r="G32" s="362"/>
      <c r="H32" s="373"/>
      <c r="I32" s="14" t="s">
        <v>5091</v>
      </c>
    </row>
    <row r="33" spans="1:9">
      <c r="C33" s="397"/>
      <c r="D33" s="372"/>
      <c r="E33" s="362"/>
      <c r="F33" s="362"/>
      <c r="G33" s="362"/>
      <c r="H33" s="373"/>
      <c r="I33" s="361">
        <f>IF(CBTotBOM&gt;0,(CBTotBOM/QEMatlYield)-(CBTotBOM),0)</f>
        <v>0</v>
      </c>
    </row>
    <row r="34" spans="1:9">
      <c r="B34" s="130" t="b">
        <f>AND( CavityScr1 &gt;0)</f>
        <v>1</v>
      </c>
      <c r="C34" s="397"/>
      <c r="D34" s="374" t="s">
        <v>1754</v>
      </c>
      <c r="E34" s="355"/>
      <c r="F34" s="355"/>
      <c r="G34" s="355"/>
      <c r="H34" s="375">
        <f>IF( CBScrap1&gt;0, CBScrap1+CBScrap2,  0)</f>
        <v>0</v>
      </c>
      <c r="I34" s="366">
        <f>IF(CBTotBOM&gt;0,(1-QEPressYield)*(CBTOTOper+CBTotLab),0)</f>
        <v>0</v>
      </c>
    </row>
    <row r="35" spans="1:9">
      <c r="C35" s="397"/>
      <c r="D35" s="372"/>
      <c r="E35" s="362"/>
      <c r="F35" s="362"/>
      <c r="G35" s="362"/>
      <c r="H35" s="373"/>
    </row>
    <row r="36" spans="1:9">
      <c r="C36" s="397"/>
      <c r="D36" s="372"/>
      <c r="E36" s="362"/>
      <c r="F36" s="362"/>
      <c r="G36" s="362"/>
      <c r="H36" s="373"/>
    </row>
    <row r="37" spans="1:9">
      <c r="C37" s="397"/>
      <c r="D37" s="372"/>
      <c r="E37" s="377" t="s">
        <v>5223</v>
      </c>
      <c r="F37" s="362"/>
      <c r="G37" s="362"/>
      <c r="H37" s="375">
        <f>IF(H31&gt;0,  (H31+H34),0)</f>
        <v>3.1745192348407288E-2</v>
      </c>
    </row>
    <row r="38" spans="1:9">
      <c r="C38" s="397"/>
      <c r="D38" s="372"/>
      <c r="E38" s="362"/>
      <c r="F38" s="362"/>
      <c r="G38" s="362"/>
      <c r="H38" s="373"/>
    </row>
    <row r="39" spans="1:9">
      <c r="C39" s="397"/>
      <c r="D39" s="372"/>
      <c r="E39" s="362"/>
      <c r="F39" s="362"/>
      <c r="G39" s="362"/>
      <c r="H39" s="373"/>
    </row>
    <row r="40" spans="1:9">
      <c r="C40" s="397"/>
      <c r="D40" s="378" t="s">
        <v>5172</v>
      </c>
      <c r="E40" s="377" t="s">
        <v>5173</v>
      </c>
      <c r="F40" s="367">
        <v>0.08</v>
      </c>
      <c r="G40" s="362"/>
      <c r="H40" s="375">
        <f>IF(CBTotMfgCost&gt; 0,   CBTotMfgCost *CBSGA,  0)</f>
        <v>2.5396153878725829E-3</v>
      </c>
      <c r="I40" s="361"/>
    </row>
    <row r="41" spans="1:9">
      <c r="C41" s="397"/>
      <c r="D41" s="372"/>
      <c r="E41" s="362"/>
      <c r="F41" s="362"/>
      <c r="G41" s="362"/>
      <c r="H41" s="373"/>
    </row>
    <row r="42" spans="1:9">
      <c r="C42" s="397"/>
      <c r="D42" s="378" t="s">
        <v>5174</v>
      </c>
      <c r="E42" s="377" t="s">
        <v>5173</v>
      </c>
      <c r="F42" s="363">
        <f>IF(H42&gt;0,  H42/(CBTotMfgCost+H40),  0)</f>
        <v>0.53693397212848215</v>
      </c>
      <c r="G42" s="362"/>
      <c r="H42" s="375">
        <f>IF(H40&gt; 0,  H61-(H37+H40),  0)</f>
        <v>1.8408678001502067E-2</v>
      </c>
    </row>
    <row r="43" spans="1:9">
      <c r="C43" s="397"/>
      <c r="D43" s="372"/>
      <c r="E43" s="362"/>
      <c r="F43" s="362"/>
      <c r="G43" s="362"/>
      <c r="H43" s="373"/>
    </row>
    <row r="44" spans="1:9">
      <c r="C44" s="397"/>
      <c r="D44" s="372"/>
      <c r="E44" s="362"/>
      <c r="F44" s="362"/>
      <c r="G44" s="362"/>
      <c r="H44" s="373"/>
      <c r="I44" s="364"/>
    </row>
    <row r="45" spans="1:9">
      <c r="C45" s="397" t="s">
        <v>5490</v>
      </c>
      <c r="D45" s="376" t="s">
        <v>5175</v>
      </c>
      <c r="E45" s="362"/>
      <c r="F45" s="377"/>
      <c r="G45" s="362"/>
      <c r="H45" s="379"/>
    </row>
    <row r="46" spans="1:9" ht="13.5" thickBot="1">
      <c r="C46" s="397"/>
      <c r="D46" s="372"/>
      <c r="E46" s="362"/>
      <c r="F46" s="362"/>
      <c r="G46" s="362"/>
      <c r="H46" s="373"/>
    </row>
    <row r="47" spans="1:9" ht="13.5" thickBot="1">
      <c r="A47" s="603"/>
      <c r="C47" s="595">
        <v>1</v>
      </c>
      <c r="D47" s="598"/>
      <c r="E47" s="357"/>
      <c r="F47" s="605">
        <f xml:space="preserve"> IF(CBBuyoutPr1&gt; 0, CBBuyoutPr1 *CBFactor9, 0)</f>
        <v>0</v>
      </c>
      <c r="G47" s="602"/>
      <c r="H47" s="600">
        <f xml:space="preserve"> IF(CBBuyoutPr1&gt;0, F47*G47/BaseQuantity,  0)</f>
        <v>0</v>
      </c>
    </row>
    <row r="48" spans="1:9" ht="13.5" thickBot="1">
      <c r="A48" s="603"/>
      <c r="C48" s="595">
        <v>1</v>
      </c>
      <c r="D48" s="374"/>
      <c r="E48" s="355"/>
      <c r="F48" s="605">
        <f xml:space="preserve"> IF(CBBuyoutPr2&gt; 0, CBBuyoutPr2 *CBFactor10, 0)</f>
        <v>0</v>
      </c>
      <c r="G48" s="359"/>
      <c r="H48" s="600">
        <f xml:space="preserve"> IF(CBBuyoutPr2&gt;0, F48*G48/BaseQuantity,  0)</f>
        <v>0</v>
      </c>
    </row>
    <row r="49" spans="1:9" ht="13.5" thickBot="1">
      <c r="A49" s="603"/>
      <c r="C49" s="595">
        <v>1</v>
      </c>
      <c r="D49" s="374"/>
      <c r="E49" s="355"/>
      <c r="F49" s="605">
        <f xml:space="preserve"> IF(CBBuyoutPr3&gt; 0, CBBuyoutPr3 *CBFactor11, 0)</f>
        <v>0</v>
      </c>
      <c r="G49" s="359"/>
      <c r="H49" s="600">
        <f xml:space="preserve"> IF(CBBuyoutPr3&gt;0, F49*G49/BaseQuantity,  0)</f>
        <v>0</v>
      </c>
      <c r="I49" s="14" t="s">
        <v>5096</v>
      </c>
    </row>
    <row r="50" spans="1:9" ht="13.5" thickBot="1">
      <c r="A50" s="604"/>
      <c r="C50" s="595">
        <v>1</v>
      </c>
      <c r="D50" s="374"/>
      <c r="E50" s="355"/>
      <c r="F50" s="605">
        <f xml:space="preserve"> IF(CBBuyoutPr4&gt; 0, CBBuyoutPr4 *CBFactor12, 0)</f>
        <v>0</v>
      </c>
      <c r="G50" s="359"/>
      <c r="H50" s="600">
        <f xml:space="preserve"> IF(CBBuyoutPr4&gt;0, F50*G50/BaseQuantity,  0)</f>
        <v>0</v>
      </c>
      <c r="I50" s="360">
        <f>SUM(H47:H50)</f>
        <v>0</v>
      </c>
    </row>
    <row r="51" spans="1:9">
      <c r="C51" s="393"/>
      <c r="D51" s="372"/>
      <c r="E51" s="362"/>
      <c r="F51" s="365"/>
      <c r="G51" s="365"/>
      <c r="H51" s="380"/>
    </row>
    <row r="52" spans="1:9">
      <c r="C52" s="393"/>
      <c r="D52" s="376" t="s">
        <v>4126</v>
      </c>
      <c r="E52" s="362"/>
      <c r="F52" s="365"/>
      <c r="G52" s="365"/>
      <c r="H52" s="380"/>
    </row>
    <row r="53" spans="1:9">
      <c r="C53" s="393"/>
      <c r="D53" s="372"/>
      <c r="E53" s="362"/>
      <c r="F53" s="365"/>
      <c r="G53" s="365"/>
      <c r="H53" s="380"/>
    </row>
    <row r="54" spans="1:9">
      <c r="C54" s="393"/>
      <c r="D54" s="374"/>
      <c r="E54" s="355"/>
      <c r="F54" s="356"/>
      <c r="G54" s="356"/>
      <c r="H54" s="375">
        <f>CBPack</f>
        <v>6.3775510204081628E-4</v>
      </c>
      <c r="I54" s="375">
        <f>(QEBurriedPack1+FSPackCost1)/BaseQuantity</f>
        <v>6.3775510204081628E-4</v>
      </c>
    </row>
    <row r="55" spans="1:9">
      <c r="C55" s="393"/>
      <c r="D55" s="372"/>
      <c r="E55" s="362"/>
      <c r="F55" s="365"/>
      <c r="G55" s="365"/>
      <c r="H55" s="380"/>
    </row>
    <row r="56" spans="1:9">
      <c r="C56" s="393"/>
      <c r="D56" s="372"/>
      <c r="E56" s="362"/>
      <c r="F56" s="362"/>
      <c r="G56" s="362"/>
      <c r="H56" s="373"/>
    </row>
    <row r="57" spans="1:9">
      <c r="C57" s="393"/>
      <c r="D57" s="376" t="s">
        <v>5090</v>
      </c>
      <c r="E57" s="362"/>
      <c r="F57" s="365"/>
      <c r="G57" s="365"/>
      <c r="H57" s="380"/>
    </row>
    <row r="58" spans="1:9">
      <c r="C58" s="393"/>
      <c r="D58" s="372"/>
      <c r="E58" s="362"/>
      <c r="F58" s="365"/>
      <c r="G58" s="365"/>
      <c r="H58" s="380"/>
    </row>
    <row r="59" spans="1:9">
      <c r="C59" s="393"/>
      <c r="D59" s="374"/>
      <c r="E59" s="355"/>
      <c r="F59" s="356"/>
      <c r="G59" s="356"/>
      <c r="H59" s="381">
        <v>0</v>
      </c>
      <c r="I59" s="360">
        <f>H59</f>
        <v>0</v>
      </c>
    </row>
    <row r="60" spans="1:9">
      <c r="C60" s="393"/>
      <c r="D60" s="372"/>
      <c r="E60" s="362"/>
      <c r="F60" s="365"/>
      <c r="G60" s="365"/>
      <c r="H60" s="382"/>
    </row>
    <row r="61" spans="1:9" ht="13.5" thickBot="1">
      <c r="A61" s="395">
        <f>IF(CBQtyBreak=1,QEFinalPrice1/BaseQuantity,IF(CBQtyBreak=2,QEFinalPrice2/BaseQuantity,IF(CBQtyBreak=3,QEFinalPrice3/BaseQuantity,IF(CBQtyBreak=4,QEFinalPrice4/BaseQuantity,IF(CBQtyBreak=5,QEFinalPrice5/BaseQuantity,0)))))</f>
        <v>5.2693485737781938E-2</v>
      </c>
      <c r="D61" s="372"/>
      <c r="E61" s="362"/>
      <c r="F61" s="383" t="s">
        <v>441</v>
      </c>
      <c r="G61" s="362"/>
      <c r="H61" s="384">
        <f>CBSellPrice</f>
        <v>5.2693485737781938E-2</v>
      </c>
    </row>
    <row r="62" spans="1:9" ht="14.25" thickTop="1" thickBot="1">
      <c r="D62" s="385"/>
      <c r="E62" s="391"/>
      <c r="F62" s="391"/>
      <c r="G62" s="391"/>
      <c r="H62" s="392"/>
    </row>
  </sheetData>
  <sheetProtection algorithmName="SHA-512" hashValue="KFOzB04kD3mqZhsxC1QQ8quo2LZbWu851fUZll6JfIzl6uTYrb/aZ+9qBWZ7vZNJNjPS/RQzpAHs9WnMXyJllA==" saltValue="7GF1XwjtAUuoYn+cw3wvtg==" spinCount="100000" sheet="1" objects="1" scenarios="1"/>
  <mergeCells count="2">
    <mergeCell ref="D5:G5"/>
    <mergeCell ref="D4:G4"/>
  </mergeCells>
  <phoneticPr fontId="22" type="noConversion"/>
  <printOptions horizontalCentered="1"/>
  <pageMargins left="0.5" right="0.5" top="0.5" bottom="0.5" header="0.5" footer="0.5"/>
  <pageSetup scale="91" orientation="portrait" horizontalDpi="4294967292"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1985" r:id="rId4" name="Button 1">
              <controlPr defaultSize="0" print="0" autoFill="0" autoPict="0" macro="[0]!PrintCostBreakdown">
                <anchor moveWithCells="1">
                  <from>
                    <xdr:col>2</xdr:col>
                    <xdr:colOff>438150</xdr:colOff>
                    <xdr:row>62</xdr:row>
                    <xdr:rowOff>19050</xdr:rowOff>
                  </from>
                  <to>
                    <xdr:col>3</xdr:col>
                    <xdr:colOff>447675</xdr:colOff>
                    <xdr:row>63</xdr:row>
                    <xdr:rowOff>85725</xdr:rowOff>
                  </to>
                </anchor>
              </controlPr>
            </control>
          </mc:Choice>
        </mc:AlternateContent>
        <mc:AlternateContent xmlns:mc="http://schemas.openxmlformats.org/markup-compatibility/2006">
          <mc:Choice Requires="x14">
            <control shapeId="41986" r:id="rId5" name="Button 2">
              <controlPr defaultSize="0" print="0" autoFill="0" autoPict="0" macro="[0]!toquoteentry">
                <anchor moveWithCells="1">
                  <from>
                    <xdr:col>3</xdr:col>
                    <xdr:colOff>457200</xdr:colOff>
                    <xdr:row>62</xdr:row>
                    <xdr:rowOff>19050</xdr:rowOff>
                  </from>
                  <to>
                    <xdr:col>3</xdr:col>
                    <xdr:colOff>914400</xdr:colOff>
                    <xdr:row>63</xdr:row>
                    <xdr:rowOff>85725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5">
    <pageSetUpPr fitToPage="1"/>
  </sheetPr>
  <dimension ref="A1:J62"/>
  <sheetViews>
    <sheetView topLeftCell="D49" workbookViewId="0">
      <selection activeCell="G47" sqref="G47:G50"/>
    </sheetView>
  </sheetViews>
  <sheetFormatPr defaultColWidth="19.7109375" defaultRowHeight="12.75"/>
  <cols>
    <col min="1" max="1" width="11.42578125" style="130" customWidth="1"/>
    <col min="2" max="2" width="16.7109375" style="130" customWidth="1"/>
    <col min="3" max="3" width="6.7109375" style="299" customWidth="1"/>
    <col min="4" max="4" width="20.42578125" bestFit="1" customWidth="1"/>
    <col min="5" max="6" width="19.7109375" customWidth="1"/>
    <col min="7" max="7" width="12.28515625" customWidth="1"/>
    <col min="8" max="8" width="17.7109375" bestFit="1" customWidth="1"/>
  </cols>
  <sheetData>
    <row r="1" spans="1:10">
      <c r="D1" s="31" t="s">
        <v>413</v>
      </c>
      <c r="E1" s="355" t="s">
        <v>2912</v>
      </c>
      <c r="G1" s="31" t="s">
        <v>1014</v>
      </c>
      <c r="H1" s="358">
        <f>QEDateDue</f>
        <v>38611</v>
      </c>
    </row>
    <row r="2" spans="1:10">
      <c r="D2" s="31" t="s">
        <v>414</v>
      </c>
      <c r="E2" s="357" t="str">
        <f>IF(QECustInq&gt;0, QECustInq, "")</f>
        <v>6058</v>
      </c>
      <c r="G2" s="31" t="s">
        <v>415</v>
      </c>
      <c r="H2" s="357" t="str">
        <f>CQECustName</f>
        <v>Larry Burton</v>
      </c>
    </row>
    <row r="4" spans="1:10" ht="15.75">
      <c r="D4" s="1232" t="str">
        <f>QECustName</f>
        <v>Hitachi Automotive Products</v>
      </c>
      <c r="E4" s="1232"/>
      <c r="F4" s="1232"/>
      <c r="G4" s="1232"/>
    </row>
    <row r="5" spans="1:10" ht="15.75">
      <c r="B5" s="394"/>
      <c r="D5" s="1232" t="s">
        <v>1137</v>
      </c>
      <c r="E5" s="1232"/>
      <c r="F5" s="1232"/>
      <c r="G5" s="1232"/>
    </row>
    <row r="6" spans="1:10">
      <c r="A6" s="131" t="s">
        <v>807</v>
      </c>
    </row>
    <row r="7" spans="1:10">
      <c r="D7" s="348" t="str">
        <f>CONCATENATE(QECustName,"Part Number:")</f>
        <v>Hitachi Automotive ProductsPart Number:</v>
      </c>
      <c r="E7" s="355" t="str">
        <f>QEPtNum</f>
        <v>HL328823</v>
      </c>
      <c r="F7" s="355"/>
    </row>
    <row r="8" spans="1:10">
      <c r="A8" s="131" t="s">
        <v>805</v>
      </c>
      <c r="D8" s="348" t="s">
        <v>3744</v>
      </c>
      <c r="E8" s="357" t="str">
        <f>QEPtName</f>
        <v>Adjust Screw</v>
      </c>
      <c r="F8" s="357"/>
    </row>
    <row r="9" spans="1:10" ht="13.5" thickBot="1">
      <c r="A9" s="131" t="s">
        <v>806</v>
      </c>
    </row>
    <row r="10" spans="1:10" ht="13.5" thickBot="1">
      <c r="A10" s="396">
        <v>1</v>
      </c>
    </row>
    <row r="11" spans="1:10">
      <c r="C11" s="299" t="s">
        <v>5490</v>
      </c>
      <c r="D11" s="368" t="s">
        <v>1138</v>
      </c>
      <c r="E11" s="369"/>
      <c r="F11" s="370" t="s">
        <v>3745</v>
      </c>
      <c r="G11" s="369"/>
      <c r="H11" s="371" t="s">
        <v>3746</v>
      </c>
    </row>
    <row r="12" spans="1:10" ht="13.5" thickBot="1">
      <c r="D12" s="372"/>
      <c r="E12" s="362"/>
      <c r="F12" s="362"/>
      <c r="G12" s="362"/>
      <c r="H12" s="373"/>
    </row>
    <row r="13" spans="1:10" ht="13.5" thickBot="1">
      <c r="A13" s="394"/>
      <c r="C13" s="595">
        <v>1</v>
      </c>
      <c r="D13" s="598"/>
      <c r="E13" s="357"/>
      <c r="F13" s="596">
        <f xml:space="preserve"> IF(CB2ResinPr1&gt; 0, CB2ResinPr1 *CB2Factor1, 0)</f>
        <v>0</v>
      </c>
      <c r="G13" s="608"/>
      <c r="H13" s="597">
        <f xml:space="preserve"> IF(CB2ResinPr1&gt;0, F13*G13/BaseQuantity,  0)</f>
        <v>0</v>
      </c>
    </row>
    <row r="14" spans="1:10" ht="13.5" thickBot="1">
      <c r="A14" s="394"/>
      <c r="C14" s="595">
        <v>1</v>
      </c>
      <c r="D14" s="374"/>
      <c r="E14" s="355"/>
      <c r="F14" s="596">
        <f xml:space="preserve"> IF(CB2ResinPr2&gt; 0, CB2ResinPr2 *CB2Factor2, 0)</f>
        <v>0</v>
      </c>
      <c r="G14" s="387"/>
      <c r="H14" s="597">
        <f xml:space="preserve"> IF(CB2ResinPr2&gt;0, F14*G14/BaseQuantity,  0)</f>
        <v>0</v>
      </c>
    </row>
    <row r="15" spans="1:10" ht="13.5" thickBot="1">
      <c r="A15" s="394"/>
      <c r="C15" s="595">
        <v>1</v>
      </c>
      <c r="D15" s="374"/>
      <c r="E15" s="355"/>
      <c r="F15" s="596">
        <f xml:space="preserve"> IF(CB2ResinPr3&gt; 0, CB2ResinPr3 *CB2Factor3, 0)</f>
        <v>0</v>
      </c>
      <c r="G15" s="387"/>
      <c r="H15" s="597">
        <f xml:space="preserve"> IF(CB2ResinPr3&gt;0, F15*G15/BaseQuantity,  0)</f>
        <v>0</v>
      </c>
      <c r="I15" s="14" t="s">
        <v>5095</v>
      </c>
      <c r="J15" s="14" t="s">
        <v>5094</v>
      </c>
    </row>
    <row r="16" spans="1:10" ht="13.5" thickBot="1">
      <c r="A16" s="394"/>
      <c r="C16" s="595">
        <v>1</v>
      </c>
      <c r="D16" s="374"/>
      <c r="E16" s="355"/>
      <c r="F16" s="596">
        <f xml:space="preserve"> IF(CB2ResinPr4&gt; 0, CB2Factor3A *C16, 0)</f>
        <v>0</v>
      </c>
      <c r="G16" s="387"/>
      <c r="H16" s="597">
        <f xml:space="preserve"> IF(CB2ResinPr4&gt;0, F16*G16/BaseQuantity,  0)</f>
        <v>0</v>
      </c>
      <c r="I16" s="360">
        <f>SUM(H13:H16)</f>
        <v>0</v>
      </c>
      <c r="J16" s="360">
        <f>CB2FinMatl+CB2FinalBO</f>
        <v>0</v>
      </c>
    </row>
    <row r="17" spans="1:9">
      <c r="C17" s="397"/>
      <c r="D17" s="372"/>
      <c r="E17" s="362"/>
      <c r="F17" s="362"/>
      <c r="G17" s="362"/>
      <c r="H17" s="373"/>
    </row>
    <row r="18" spans="1:9">
      <c r="C18" s="397"/>
      <c r="D18" s="376" t="s">
        <v>439</v>
      </c>
      <c r="E18" s="362"/>
      <c r="F18" s="377" t="s">
        <v>440</v>
      </c>
      <c r="G18" s="362"/>
      <c r="H18" s="373"/>
    </row>
    <row r="19" spans="1:9" ht="13.5" thickBot="1">
      <c r="C19" s="397"/>
      <c r="D19" s="372"/>
      <c r="E19" s="362"/>
      <c r="F19" s="362"/>
      <c r="G19" s="362"/>
      <c r="H19" s="373"/>
    </row>
    <row r="20" spans="1:9" ht="13.5" thickBot="1">
      <c r="A20" s="606"/>
      <c r="C20" s="595">
        <v>1</v>
      </c>
      <c r="D20" s="598"/>
      <c r="E20" s="357"/>
      <c r="F20" s="607"/>
      <c r="G20" s="608"/>
      <c r="H20" s="597">
        <f>IF(CB2Pcs1&gt;0, CB2Factor4*F20*G20/CB2Pcs1, 0)</f>
        <v>0</v>
      </c>
    </row>
    <row r="21" spans="1:9" ht="13.5" thickBot="1">
      <c r="A21" s="606"/>
      <c r="C21" s="595">
        <v>1</v>
      </c>
      <c r="D21" s="374"/>
      <c r="E21" s="355"/>
      <c r="F21" s="386"/>
      <c r="G21" s="387"/>
      <c r="H21" s="597">
        <f>IF(CB2Pcs2&gt;0, CB2Factor5*F21*G21/CB2Pcs2, 0)</f>
        <v>0</v>
      </c>
    </row>
    <row r="22" spans="1:9" ht="13.5" thickBot="1">
      <c r="A22" s="606"/>
      <c r="C22" s="595">
        <v>1</v>
      </c>
      <c r="D22" s="374"/>
      <c r="E22" s="355"/>
      <c r="F22" s="386"/>
      <c r="G22" s="387"/>
      <c r="H22" s="597">
        <f>IF(CB2Pcs3&gt;0, CB2Factor6*F22*G22/CB2Pcs3, 0)</f>
        <v>0</v>
      </c>
      <c r="I22" s="14" t="s">
        <v>5093</v>
      </c>
    </row>
    <row r="23" spans="1:9" ht="13.5" thickBot="1">
      <c r="A23" s="606"/>
      <c r="C23" s="595">
        <v>1</v>
      </c>
      <c r="D23" s="374"/>
      <c r="E23" s="355"/>
      <c r="F23" s="386"/>
      <c r="G23" s="387"/>
      <c r="H23" s="597">
        <f>IF(CB2Pcs4&gt;0, CB2Factor6A*F23*G23/CB2Pcs4, 0)</f>
        <v>0</v>
      </c>
      <c r="I23" s="360">
        <f>SUM(H20:H23)</f>
        <v>0</v>
      </c>
    </row>
    <row r="24" spans="1:9">
      <c r="C24" s="397"/>
      <c r="D24" s="372"/>
      <c r="E24" s="362"/>
      <c r="F24" s="362"/>
      <c r="G24" s="362"/>
      <c r="H24" s="373"/>
    </row>
    <row r="25" spans="1:9">
      <c r="B25" s="130" t="s">
        <v>4750</v>
      </c>
      <c r="C25" s="397"/>
      <c r="D25" s="376" t="s">
        <v>6287</v>
      </c>
      <c r="E25" s="362"/>
      <c r="F25" s="377" t="s">
        <v>5491</v>
      </c>
      <c r="G25" s="362"/>
      <c r="H25" s="373"/>
    </row>
    <row r="26" spans="1:9" ht="13.5" thickBot="1">
      <c r="C26" s="397"/>
      <c r="D26" s="372"/>
      <c r="E26" s="362"/>
      <c r="F26" s="362"/>
      <c r="G26" s="362"/>
      <c r="H26" s="373"/>
    </row>
    <row r="27" spans="1:9" ht="13.5" thickBot="1">
      <c r="A27" s="394">
        <f>IF(CB2QtyBreak=1,FSMinCost6+FSMaintCost6+FSCommVal6,IF(CB2QtyBreak=2,FSMinCost7+FSMaintCost7+FSCommVal7,IF(CB2QtyBreak=3,FSMinCost8+FSMaintCost8+FSCommVal8,IF(CB2QtyBreak=4,FSMinCost9+FSMaintCost9+FSCommVal9,IF(CB2QtyBreak=5,FSMinCost10+FSMaintCost10+FSCommVal10,0)))))</f>
        <v>0</v>
      </c>
      <c r="B27" s="130" t="b">
        <f>AND( CavityScr1 &gt;0)</f>
        <v>1</v>
      </c>
      <c r="C27" s="595">
        <v>1.2</v>
      </c>
      <c r="D27" s="598" t="s">
        <v>5492</v>
      </c>
      <c r="E27" s="357"/>
      <c r="F27" s="357"/>
      <c r="G27" s="357"/>
      <c r="H27" s="597">
        <f xml:space="preserve"> IF(CB2LogTest7=TRUE, CB2VarCost/BaseQuantity *  CB2Factor7,  "")</f>
        <v>0</v>
      </c>
      <c r="I27" s="14" t="s">
        <v>5092</v>
      </c>
    </row>
    <row r="28" spans="1:9" ht="13.5" thickBot="1">
      <c r="A28" s="394">
        <f>IF(CB2QtyBreak=1,FSFinalPressCost6+FSFinTMCost6,IF(CB2QtyBreak=2,FSFinalPressCost7+FSFinTMCost7,IF(CB2QtyBreak=3,FSFinalPressCost8+FSFinTMCost8,IF(CB2QtyBreak=4,FSFinalPressCost9+FSFinTMCost9,IF(CB2QtyBreak=5,FSFinalPressCost10+FSFinTMCost10)))))</f>
        <v>0</v>
      </c>
      <c r="B28" s="130" t="b">
        <f>AND( CavityScr1 &gt;0)</f>
        <v>1</v>
      </c>
      <c r="C28" s="595">
        <v>1.2</v>
      </c>
      <c r="D28" s="374" t="s">
        <v>831</v>
      </c>
      <c r="E28" s="355"/>
      <c r="F28" s="355"/>
      <c r="G28" s="355"/>
      <c r="H28" s="399">
        <f xml:space="preserve"> IF(CB2LogTest8=TRUE, CB2FixedCost/BaseQuantity  *  CB2Factor8,  "")</f>
        <v>0</v>
      </c>
      <c r="I28" s="360">
        <f>SUM(H27:H28)</f>
        <v>0</v>
      </c>
    </row>
    <row r="29" spans="1:9">
      <c r="C29" s="397"/>
      <c r="D29" s="372"/>
      <c r="E29" s="362"/>
      <c r="F29" s="362"/>
      <c r="G29" s="362"/>
      <c r="H29" s="373"/>
    </row>
    <row r="30" spans="1:9">
      <c r="C30" s="397"/>
      <c r="D30" s="372"/>
      <c r="E30" s="362"/>
      <c r="F30" s="362"/>
      <c r="G30" s="362"/>
      <c r="H30" s="373"/>
    </row>
    <row r="31" spans="1:9">
      <c r="C31" s="397"/>
      <c r="D31" s="372"/>
      <c r="E31" s="377" t="s">
        <v>1753</v>
      </c>
      <c r="F31" s="362"/>
      <c r="G31" s="362"/>
      <c r="H31" s="399">
        <f>I16+I23+I28+I50+I54+I59</f>
        <v>6.3775510204081628E-4</v>
      </c>
    </row>
    <row r="32" spans="1:9">
      <c r="B32" s="130" t="s">
        <v>238</v>
      </c>
      <c r="C32" s="397"/>
      <c r="D32" s="372"/>
      <c r="E32" s="362"/>
      <c r="F32" s="362"/>
      <c r="G32" s="362"/>
      <c r="H32" s="373"/>
      <c r="I32" s="14" t="s">
        <v>5091</v>
      </c>
    </row>
    <row r="33" spans="1:9">
      <c r="C33" s="397"/>
      <c r="D33" s="372"/>
      <c r="E33" s="362"/>
      <c r="F33" s="362"/>
      <c r="G33" s="362"/>
      <c r="H33" s="373"/>
      <c r="I33" s="388">
        <f>IF(CB2TotBOM&gt;0,(CB2TotBOM/QEMatlYield)-(CB2TotBOM),0)</f>
        <v>0</v>
      </c>
    </row>
    <row r="34" spans="1:9">
      <c r="B34" s="130" t="b">
        <f>AND( CavityScr1 &gt;0)</f>
        <v>1</v>
      </c>
      <c r="C34" s="397"/>
      <c r="D34" s="374" t="s">
        <v>1754</v>
      </c>
      <c r="E34" s="355"/>
      <c r="F34" s="355"/>
      <c r="G34" s="355"/>
      <c r="H34" s="399">
        <f>IF( CB2Scrap1&gt;0, CB2Scrap1+CB2Scrap2,  0)</f>
        <v>0</v>
      </c>
      <c r="I34" s="389">
        <f>IF(CB2TotBOM&gt;0,(1-QEPressYield)*(CB2TOTOper+CB2TotLab),0)</f>
        <v>0</v>
      </c>
    </row>
    <row r="35" spans="1:9">
      <c r="C35" s="397"/>
      <c r="D35" s="372"/>
      <c r="E35" s="362"/>
      <c r="F35" s="362"/>
      <c r="G35" s="362"/>
      <c r="H35" s="373"/>
    </row>
    <row r="36" spans="1:9">
      <c r="C36" s="397"/>
      <c r="D36" s="372"/>
      <c r="E36" s="362"/>
      <c r="F36" s="362"/>
      <c r="G36" s="362"/>
      <c r="H36" s="373"/>
    </row>
    <row r="37" spans="1:9">
      <c r="C37" s="397"/>
      <c r="D37" s="372"/>
      <c r="E37" s="377" t="s">
        <v>5223</v>
      </c>
      <c r="F37" s="362"/>
      <c r="G37" s="362"/>
      <c r="H37" s="399">
        <f>IF(H31&gt;0,  (H31+H34),0)</f>
        <v>6.3775510204081628E-4</v>
      </c>
    </row>
    <row r="38" spans="1:9">
      <c r="C38" s="397"/>
      <c r="D38" s="372"/>
      <c r="E38" s="362"/>
      <c r="F38" s="362"/>
      <c r="G38" s="362"/>
      <c r="H38" s="373"/>
    </row>
    <row r="39" spans="1:9">
      <c r="C39" s="397"/>
      <c r="D39" s="372"/>
      <c r="E39" s="362"/>
      <c r="F39" s="362"/>
      <c r="G39" s="362"/>
      <c r="H39" s="373"/>
    </row>
    <row r="40" spans="1:9">
      <c r="C40" s="397"/>
      <c r="D40" s="378" t="s">
        <v>5172</v>
      </c>
      <c r="E40" s="377" t="s">
        <v>5173</v>
      </c>
      <c r="F40" s="367">
        <v>0.08</v>
      </c>
      <c r="G40" s="362"/>
      <c r="H40" s="399">
        <f>IF(CB2TotMfgCost&gt; 0,   CB2TotMfgCost *CB2SGA,  0)</f>
        <v>5.1020408163265301E-5</v>
      </c>
      <c r="I40" s="388"/>
    </row>
    <row r="41" spans="1:9">
      <c r="C41" s="397"/>
      <c r="D41" s="372"/>
      <c r="E41" s="362"/>
      <c r="F41" s="362"/>
      <c r="G41" s="362"/>
      <c r="H41" s="373"/>
    </row>
    <row r="42" spans="1:9">
      <c r="C42" s="397"/>
      <c r="D42" s="378" t="s">
        <v>5174</v>
      </c>
      <c r="E42" s="377" t="s">
        <v>5173</v>
      </c>
      <c r="F42" s="363">
        <f>IF(H42&gt;0,  H42/(CB2TotMfgCost+H40),  0)</f>
        <v>0</v>
      </c>
      <c r="G42" s="362"/>
      <c r="H42" s="399">
        <f>IF(H40&gt; 0,  H61-(H37+H40),  0)</f>
        <v>-6.8877551020408154E-4</v>
      </c>
    </row>
    <row r="43" spans="1:9">
      <c r="C43" s="397"/>
      <c r="D43" s="372"/>
      <c r="E43" s="362"/>
      <c r="F43" s="362"/>
      <c r="G43" s="362"/>
      <c r="H43" s="373"/>
    </row>
    <row r="44" spans="1:9">
      <c r="C44" s="397"/>
      <c r="D44" s="372"/>
      <c r="E44" s="362"/>
      <c r="F44" s="362"/>
      <c r="G44" s="362"/>
      <c r="H44" s="373"/>
      <c r="I44" s="364"/>
    </row>
    <row r="45" spans="1:9">
      <c r="C45" s="397" t="s">
        <v>5490</v>
      </c>
      <c r="D45" s="376" t="s">
        <v>5175</v>
      </c>
      <c r="E45" s="362"/>
      <c r="F45" s="377"/>
      <c r="G45" s="362"/>
      <c r="H45" s="379"/>
    </row>
    <row r="46" spans="1:9" ht="13.5" thickBot="1">
      <c r="C46" s="397"/>
      <c r="D46" s="372"/>
      <c r="E46" s="362"/>
      <c r="F46" s="362"/>
      <c r="G46" s="362"/>
      <c r="H46" s="373"/>
    </row>
    <row r="47" spans="1:9" ht="13.5" thickBot="1">
      <c r="A47" s="603"/>
      <c r="C47" s="595">
        <v>1</v>
      </c>
      <c r="D47" s="598"/>
      <c r="E47" s="357"/>
      <c r="F47" s="609">
        <f xml:space="preserve"> IF(CB2BuyoutPr1&gt; 0, CB2BuyoutPr1 *CB2Factor9, 0)</f>
        <v>0</v>
      </c>
      <c r="G47" s="608"/>
      <c r="H47" s="610">
        <f xml:space="preserve"> IF(CB2BuyoutPr1&gt;0, F47*G47/BaseQuantity,  0)</f>
        <v>0</v>
      </c>
    </row>
    <row r="48" spans="1:9" ht="13.5" thickBot="1">
      <c r="A48" s="603"/>
      <c r="C48" s="595">
        <v>1</v>
      </c>
      <c r="D48" s="374"/>
      <c r="E48" s="355"/>
      <c r="F48" s="609">
        <f xml:space="preserve"> IF(CB2BuyoutPr2&gt; 0, CB2BuyoutPr2 *CB2Factor10, 0)</f>
        <v>0</v>
      </c>
      <c r="G48" s="387"/>
      <c r="H48" s="610">
        <f xml:space="preserve"> IF(CB2BuyoutPr2&gt;0, F48*G48/BaseQuantity,  0)</f>
        <v>0</v>
      </c>
    </row>
    <row r="49" spans="1:9" ht="13.5" thickBot="1">
      <c r="A49" s="603"/>
      <c r="C49" s="595">
        <v>1</v>
      </c>
      <c r="D49" s="374"/>
      <c r="E49" s="355"/>
      <c r="F49" s="609">
        <f xml:space="preserve"> IF(CB2BuyoutPr3&gt; 0, CB2BuyoutPr3 *CB2Factor11, 0)</f>
        <v>0</v>
      </c>
      <c r="G49" s="387"/>
      <c r="H49" s="610">
        <f xml:space="preserve"> IF(CB2BuyoutPr3&gt;0, F49*G49/BaseQuantity,  0)</f>
        <v>0</v>
      </c>
      <c r="I49" s="14" t="s">
        <v>5096</v>
      </c>
    </row>
    <row r="50" spans="1:9" ht="13.5" thickBot="1">
      <c r="A50" s="604"/>
      <c r="C50" s="595">
        <v>1</v>
      </c>
      <c r="D50" s="374"/>
      <c r="E50" s="355"/>
      <c r="F50" s="609">
        <f xml:space="preserve"> IF(CB2BuyoutPr4&gt; 0, CB2BuyoutPr4 *CB2Factor12, 0)</f>
        <v>0</v>
      </c>
      <c r="G50" s="387"/>
      <c r="H50" s="610">
        <f xml:space="preserve"> IF(CB2BuyoutPr4&gt;0, F50*G50/BaseQuantity,  0)</f>
        <v>0</v>
      </c>
      <c r="I50" s="360">
        <f>SUM(H47:H50)</f>
        <v>0</v>
      </c>
    </row>
    <row r="51" spans="1:9">
      <c r="C51" s="393"/>
      <c r="D51" s="372"/>
      <c r="E51" s="362"/>
      <c r="F51" s="390"/>
      <c r="G51" s="390"/>
      <c r="H51" s="400"/>
    </row>
    <row r="52" spans="1:9">
      <c r="C52" s="393"/>
      <c r="D52" s="376" t="s">
        <v>4126</v>
      </c>
      <c r="E52" s="362"/>
      <c r="F52" s="390"/>
      <c r="G52" s="390"/>
      <c r="H52" s="400"/>
    </row>
    <row r="53" spans="1:9">
      <c r="C53" s="393"/>
      <c r="D53" s="372"/>
      <c r="E53" s="362"/>
      <c r="F53" s="390"/>
      <c r="G53" s="390"/>
      <c r="H53" s="400"/>
    </row>
    <row r="54" spans="1:9">
      <c r="C54" s="393"/>
      <c r="D54" s="374"/>
      <c r="E54" s="355"/>
      <c r="F54" s="398"/>
      <c r="G54" s="398"/>
      <c r="H54" s="401">
        <f>CB2Pack</f>
        <v>6.3775510204081628E-4</v>
      </c>
      <c r="I54" s="399">
        <f>(QEBurriedPack1+FSPackCost1)/BaseQuantity</f>
        <v>6.3775510204081628E-4</v>
      </c>
    </row>
    <row r="55" spans="1:9">
      <c r="C55" s="393"/>
      <c r="D55" s="372"/>
      <c r="E55" s="362"/>
      <c r="F55" s="390"/>
      <c r="G55" s="390"/>
      <c r="H55" s="400"/>
    </row>
    <row r="56" spans="1:9">
      <c r="C56" s="393"/>
      <c r="D56" s="372"/>
      <c r="E56" s="362"/>
      <c r="F56" s="362"/>
      <c r="G56" s="362"/>
      <c r="H56" s="373"/>
    </row>
    <row r="57" spans="1:9">
      <c r="C57" s="393"/>
      <c r="D57" s="376" t="s">
        <v>5090</v>
      </c>
      <c r="E57" s="362"/>
      <c r="F57" s="390"/>
      <c r="G57" s="390"/>
      <c r="H57" s="400"/>
    </row>
    <row r="58" spans="1:9">
      <c r="C58" s="393"/>
      <c r="D58" s="372"/>
      <c r="E58" s="362"/>
      <c r="F58" s="390"/>
      <c r="G58" s="390"/>
      <c r="H58" s="400"/>
    </row>
    <row r="59" spans="1:9">
      <c r="C59" s="393"/>
      <c r="D59" s="374"/>
      <c r="E59" s="355"/>
      <c r="F59" s="398"/>
      <c r="G59" s="398"/>
      <c r="H59" s="402">
        <v>0</v>
      </c>
      <c r="I59" s="360">
        <f>H59</f>
        <v>0</v>
      </c>
    </row>
    <row r="60" spans="1:9">
      <c r="C60" s="393"/>
      <c r="D60" s="372"/>
      <c r="E60" s="362"/>
      <c r="F60" s="390"/>
      <c r="G60" s="390"/>
      <c r="H60" s="403"/>
    </row>
    <row r="61" spans="1:9" ht="13.5" thickBot="1">
      <c r="A61" s="395">
        <f>IF(CB2QtyBreak=1,QEFinalPrice6/BaseQuantity,IF(CB2QtyBreak=2,QEFinalPrice7/BaseQuantity,IF(CB2QtyBreak=3,QEFinalPrice8/BaseQuantity,IF(CB2QtyBreak=4,QEFinalPrice9/BaseQuantity,IF(CB2QtyBreak=5,QEFinalPrice10/BaseQuantity,0)))))</f>
        <v>0</v>
      </c>
      <c r="D61" s="372"/>
      <c r="E61" s="362"/>
      <c r="F61" s="383" t="s">
        <v>441</v>
      </c>
      <c r="G61" s="362"/>
      <c r="H61" s="404">
        <f>CB2SellPrice</f>
        <v>0</v>
      </c>
    </row>
    <row r="62" spans="1:9" ht="14.25" thickTop="1" thickBot="1">
      <c r="D62" s="385"/>
      <c r="E62" s="391"/>
      <c r="F62" s="391"/>
      <c r="G62" s="391"/>
      <c r="H62" s="392"/>
    </row>
  </sheetData>
  <sheetProtection algorithmName="SHA-512" hashValue="YLDPiqddGp+KqLMVCYNe6gxsFbxRJKNX6s6CoRPbJJnhF1y1yQh3fRunHcSZZW4yPA+Jp9MXYBbRlBU/N71AfA==" saltValue="N1FLz6ll41KP70KaAbYZ0Q==" spinCount="100000" sheet="1" objects="1" scenarios="1"/>
  <mergeCells count="2">
    <mergeCell ref="D5:G5"/>
    <mergeCell ref="D4:G4"/>
  </mergeCells>
  <phoneticPr fontId="0" type="noConversion"/>
  <printOptions horizontalCentered="1"/>
  <pageMargins left="0.5" right="0.5" top="0.5" bottom="0.5" header="0.5" footer="0.5"/>
  <pageSetup scale="91" orientation="portrait" horizontalDpi="4294967292"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7105" r:id="rId4" name="Button 1">
              <controlPr defaultSize="0" print="0" autoFill="0" autoPict="0" macro="[0]!PrintCostBreakdown">
                <anchor moveWithCells="1">
                  <from>
                    <xdr:col>2</xdr:col>
                    <xdr:colOff>438150</xdr:colOff>
                    <xdr:row>62</xdr:row>
                    <xdr:rowOff>19050</xdr:rowOff>
                  </from>
                  <to>
                    <xdr:col>3</xdr:col>
                    <xdr:colOff>447675</xdr:colOff>
                    <xdr:row>63</xdr:row>
                    <xdr:rowOff>85725</xdr:rowOff>
                  </to>
                </anchor>
              </controlPr>
            </control>
          </mc:Choice>
        </mc:AlternateContent>
        <mc:AlternateContent xmlns:mc="http://schemas.openxmlformats.org/markup-compatibility/2006">
          <mc:Choice Requires="x14">
            <control shapeId="47106" r:id="rId5" name="Button 2">
              <controlPr defaultSize="0" print="0" autoFill="0" autoPict="0" macro="[0]!toquoteentry">
                <anchor moveWithCells="1">
                  <from>
                    <xdr:col>3</xdr:col>
                    <xdr:colOff>457200</xdr:colOff>
                    <xdr:row>62</xdr:row>
                    <xdr:rowOff>19050</xdr:rowOff>
                  </from>
                  <to>
                    <xdr:col>3</xdr:col>
                    <xdr:colOff>914400</xdr:colOff>
                    <xdr:row>63</xdr:row>
                    <xdr:rowOff>85725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3492</vt:i4>
      </vt:variant>
    </vt:vector>
  </HeadingPairs>
  <TitlesOfParts>
    <vt:vector size="3520" baseType="lpstr">
      <vt:lpstr>RFQ Sheet</vt:lpstr>
      <vt:lpstr>Quote Entry</vt:lpstr>
      <vt:lpstr>Master Data</vt:lpstr>
      <vt:lpstr>Autoliv Mold Cost Breakdown</vt:lpstr>
      <vt:lpstr>Electronic Data</vt:lpstr>
      <vt:lpstr>PressRate</vt:lpstr>
      <vt:lpstr>Cost Breakdown</vt:lpstr>
      <vt:lpstr>Cost Breakdown Two</vt:lpstr>
      <vt:lpstr>Mexico Press</vt:lpstr>
      <vt:lpstr>Revision</vt:lpstr>
      <vt:lpstr>Customer Master</vt:lpstr>
      <vt:lpstr>Notes</vt:lpstr>
      <vt:lpstr>Sales Contact</vt:lpstr>
      <vt:lpstr>Check List</vt:lpstr>
      <vt:lpstr>El Paso Press</vt:lpstr>
      <vt:lpstr>Hopkins Press</vt:lpstr>
      <vt:lpstr>Rate Calculator</vt:lpstr>
      <vt:lpstr>Precision Foam</vt:lpstr>
      <vt:lpstr>Quote Quideline</vt:lpstr>
      <vt:lpstr>Insert Quote</vt:lpstr>
      <vt:lpstr>Customer Quote Each</vt:lpstr>
      <vt:lpstr>Calculator</vt:lpstr>
      <vt:lpstr>Tooling</vt:lpstr>
      <vt:lpstr>Automation</vt:lpstr>
      <vt:lpstr>Formula sheet</vt:lpstr>
      <vt:lpstr>Variable Sheet</vt:lpstr>
      <vt:lpstr>Tooling Rate</vt:lpstr>
      <vt:lpstr>Packaging Sheet</vt:lpstr>
      <vt:lpstr>AutoMaintRate</vt:lpstr>
      <vt:lpstr>Automation1</vt:lpstr>
      <vt:lpstr>Automation10</vt:lpstr>
      <vt:lpstr>Automation102</vt:lpstr>
      <vt:lpstr>Automation12</vt:lpstr>
      <vt:lpstr>Automation2</vt:lpstr>
      <vt:lpstr>Automation22</vt:lpstr>
      <vt:lpstr>Automation3</vt:lpstr>
      <vt:lpstr>Automation32</vt:lpstr>
      <vt:lpstr>Automation4</vt:lpstr>
      <vt:lpstr>Automation42</vt:lpstr>
      <vt:lpstr>Automation5</vt:lpstr>
      <vt:lpstr>Automation52</vt:lpstr>
      <vt:lpstr>Automation6</vt:lpstr>
      <vt:lpstr>Automation62</vt:lpstr>
      <vt:lpstr>Automation7</vt:lpstr>
      <vt:lpstr>Automation72</vt:lpstr>
      <vt:lpstr>Automation8</vt:lpstr>
      <vt:lpstr>Automation82</vt:lpstr>
      <vt:lpstr>Automation9</vt:lpstr>
      <vt:lpstr>Automation92</vt:lpstr>
      <vt:lpstr>AutomationFlag</vt:lpstr>
      <vt:lpstr>AverageScore</vt:lpstr>
      <vt:lpstr>AverageScore1</vt:lpstr>
      <vt:lpstr>BaseQuantity</vt:lpstr>
      <vt:lpstr>BO2Mat11Cost1</vt:lpstr>
      <vt:lpstr>BO2Mat11Cost2</vt:lpstr>
      <vt:lpstr>BO2Mat11Cost3</vt:lpstr>
      <vt:lpstr>BO2Mat11Cost4</vt:lpstr>
      <vt:lpstr>BO2Mat11Cost5</vt:lpstr>
      <vt:lpstr>BO2Mat12Cost1</vt:lpstr>
      <vt:lpstr>BO2Mat12Cost2</vt:lpstr>
      <vt:lpstr>BO2Mat12Cost3</vt:lpstr>
      <vt:lpstr>BO2Mat12Cost4</vt:lpstr>
      <vt:lpstr>BO2Mat12Cost5</vt:lpstr>
      <vt:lpstr>BO2Mat13Cost1</vt:lpstr>
      <vt:lpstr>BO2Mat13Cost2</vt:lpstr>
      <vt:lpstr>BO2Mat13Cost3</vt:lpstr>
      <vt:lpstr>BO2Mat13Cost4</vt:lpstr>
      <vt:lpstr>BO2Mat13Cost5</vt:lpstr>
      <vt:lpstr>BO2Mat14Cost1</vt:lpstr>
      <vt:lpstr>BO2Mat14Cost2</vt:lpstr>
      <vt:lpstr>BO2Mat14Cost3</vt:lpstr>
      <vt:lpstr>BO2Mat14Cost4</vt:lpstr>
      <vt:lpstr>BO2Mat14Cost5</vt:lpstr>
      <vt:lpstr>BO2Mat15Cost1</vt:lpstr>
      <vt:lpstr>BO2Mat15Cost2</vt:lpstr>
      <vt:lpstr>BO2Mat15Cost3</vt:lpstr>
      <vt:lpstr>BO2Mat15Cost4</vt:lpstr>
      <vt:lpstr>BO2Mat15Cost5</vt:lpstr>
      <vt:lpstr>BOMat11Cost1</vt:lpstr>
      <vt:lpstr>BOMat11Cost2</vt:lpstr>
      <vt:lpstr>BOMat11Cost3</vt:lpstr>
      <vt:lpstr>BOMat11Cost4</vt:lpstr>
      <vt:lpstr>BOMat11Cost5</vt:lpstr>
      <vt:lpstr>BOMat12Cost1</vt:lpstr>
      <vt:lpstr>BOMat12Cost2</vt:lpstr>
      <vt:lpstr>BOMat12Cost3</vt:lpstr>
      <vt:lpstr>BOMat12Cost4</vt:lpstr>
      <vt:lpstr>BOMat12Cost5</vt:lpstr>
      <vt:lpstr>BOMat13Cost1</vt:lpstr>
      <vt:lpstr>BOMat13Cost2</vt:lpstr>
      <vt:lpstr>BOMat13Cost3</vt:lpstr>
      <vt:lpstr>BOMat13Cost4</vt:lpstr>
      <vt:lpstr>BOMat13Cost5</vt:lpstr>
      <vt:lpstr>BOMat14Cost1</vt:lpstr>
      <vt:lpstr>BOMat14Cost2</vt:lpstr>
      <vt:lpstr>BOMat14Cost3</vt:lpstr>
      <vt:lpstr>BOMat14Cost4</vt:lpstr>
      <vt:lpstr>BOMat14Cost5</vt:lpstr>
      <vt:lpstr>BOMat15Cost1</vt:lpstr>
      <vt:lpstr>BOMat15Cost2</vt:lpstr>
      <vt:lpstr>BOMat15Cost3</vt:lpstr>
      <vt:lpstr>BOMat15Cost4</vt:lpstr>
      <vt:lpstr>BOMat15Cost5</vt:lpstr>
      <vt:lpstr>BOMReq1</vt:lpstr>
      <vt:lpstr>BOMReq2</vt:lpstr>
      <vt:lpstr>CavityScr1</vt:lpstr>
      <vt:lpstr>CavityScr2</vt:lpstr>
      <vt:lpstr>CB2BuyMat1</vt:lpstr>
      <vt:lpstr>CB2BuyMat2</vt:lpstr>
      <vt:lpstr>CB2BuyMat3</vt:lpstr>
      <vt:lpstr>CB2BuyMat4</vt:lpstr>
      <vt:lpstr>CB2BuyMatPrice1</vt:lpstr>
      <vt:lpstr>CB2BuyMatPrice2</vt:lpstr>
      <vt:lpstr>CB2BuyMatPrice3</vt:lpstr>
      <vt:lpstr>CB2BuyMatPrice4</vt:lpstr>
      <vt:lpstr>CB2BuyMatUsage1</vt:lpstr>
      <vt:lpstr>CB2BuyMatUsage2</vt:lpstr>
      <vt:lpstr>CB2BuyMatUsage3</vt:lpstr>
      <vt:lpstr>CB2BuyMatUsage4</vt:lpstr>
      <vt:lpstr>CB2BuyoutPr1</vt:lpstr>
      <vt:lpstr>CB2BuyoutPr2</vt:lpstr>
      <vt:lpstr>CB2BuyoutPr3</vt:lpstr>
      <vt:lpstr>CB2BuyoutPr4</vt:lpstr>
      <vt:lpstr>CB2Factor1</vt:lpstr>
      <vt:lpstr>CB2Factor10</vt:lpstr>
      <vt:lpstr>CB2Factor11</vt:lpstr>
      <vt:lpstr>CB2Factor12</vt:lpstr>
      <vt:lpstr>CB2Factor2</vt:lpstr>
      <vt:lpstr>CB2Factor3</vt:lpstr>
      <vt:lpstr>CB2Factor3A</vt:lpstr>
      <vt:lpstr>CB2Factor4</vt:lpstr>
      <vt:lpstr>CB2Factor5</vt:lpstr>
      <vt:lpstr>CB2Factor6</vt:lpstr>
      <vt:lpstr>CB2Factor6A</vt:lpstr>
      <vt:lpstr>CB2Factor7</vt:lpstr>
      <vt:lpstr>CB2Factor8</vt:lpstr>
      <vt:lpstr>CB2Factor9</vt:lpstr>
      <vt:lpstr>CB2FinalBO</vt:lpstr>
      <vt:lpstr>CB2FinMatl</vt:lpstr>
      <vt:lpstr>CB2FixedCost</vt:lpstr>
      <vt:lpstr>CB2Labor1</vt:lpstr>
      <vt:lpstr>CB2Labor2</vt:lpstr>
      <vt:lpstr>CB2Labor3</vt:lpstr>
      <vt:lpstr>CB2Labor4</vt:lpstr>
      <vt:lpstr>CB2LabRate1</vt:lpstr>
      <vt:lpstr>CB2LabRate2</vt:lpstr>
      <vt:lpstr>CB2LabRate3</vt:lpstr>
      <vt:lpstr>CB2LabRate4</vt:lpstr>
      <vt:lpstr>CB2LogTest1</vt:lpstr>
      <vt:lpstr>CB2LogTest10</vt:lpstr>
      <vt:lpstr>CB2LogTest11</vt:lpstr>
      <vt:lpstr>CB2LogTest12</vt:lpstr>
      <vt:lpstr>CB2LogTest2</vt:lpstr>
      <vt:lpstr>CB2LogTest3</vt:lpstr>
      <vt:lpstr>CB2LogTest4</vt:lpstr>
      <vt:lpstr>CB2LogTest5</vt:lpstr>
      <vt:lpstr>CB2LogTest6</vt:lpstr>
      <vt:lpstr>CB2LogTest7</vt:lpstr>
      <vt:lpstr>CB2LogTest8</vt:lpstr>
      <vt:lpstr>CB2LogTest9</vt:lpstr>
      <vt:lpstr>CB2Mat</vt:lpstr>
      <vt:lpstr>CB2Mat1</vt:lpstr>
      <vt:lpstr>CB2Mat2</vt:lpstr>
      <vt:lpstr>CB2Mat3</vt:lpstr>
      <vt:lpstr>CB2Mat4</vt:lpstr>
      <vt:lpstr>CB2MatPrice1</vt:lpstr>
      <vt:lpstr>CB2MatPrice2</vt:lpstr>
      <vt:lpstr>CB2MatPrice3</vt:lpstr>
      <vt:lpstr>CB2MatPrice4</vt:lpstr>
      <vt:lpstr>CB2MatUsage1</vt:lpstr>
      <vt:lpstr>CB2MatUsage2</vt:lpstr>
      <vt:lpstr>CB2MatUsage3</vt:lpstr>
      <vt:lpstr>CB2MatUsage4</vt:lpstr>
      <vt:lpstr>CB2Ops1</vt:lpstr>
      <vt:lpstr>CB2Ops2</vt:lpstr>
      <vt:lpstr>CB2Ops3</vt:lpstr>
      <vt:lpstr>CB2Ops4</vt:lpstr>
      <vt:lpstr>CB2Pack</vt:lpstr>
      <vt:lpstr>CB2Pcs1</vt:lpstr>
      <vt:lpstr>CB2Pcs2</vt:lpstr>
      <vt:lpstr>CB2Pcs3</vt:lpstr>
      <vt:lpstr>CB2Pcs4</vt:lpstr>
      <vt:lpstr>CB2QtyBreak</vt:lpstr>
      <vt:lpstr>CB2ResinPr1</vt:lpstr>
      <vt:lpstr>CB2ResinPr2</vt:lpstr>
      <vt:lpstr>CB2ResinPr3</vt:lpstr>
      <vt:lpstr>CB2ResinPr4</vt:lpstr>
      <vt:lpstr>CB2Scrap1</vt:lpstr>
      <vt:lpstr>CB2Scrap2</vt:lpstr>
      <vt:lpstr>CB2SellPrice</vt:lpstr>
      <vt:lpstr>CB2SellPrice1</vt:lpstr>
      <vt:lpstr>CB2SGA</vt:lpstr>
      <vt:lpstr>CB2TotBOM</vt:lpstr>
      <vt:lpstr>CB2TotLab</vt:lpstr>
      <vt:lpstr>CB2TotMfgCost</vt:lpstr>
      <vt:lpstr>CB2TOTOper</vt:lpstr>
      <vt:lpstr>CB2VarCost</vt:lpstr>
      <vt:lpstr>CBBuyMat1</vt:lpstr>
      <vt:lpstr>CBBuyMat2</vt:lpstr>
      <vt:lpstr>CBBuyMat3</vt:lpstr>
      <vt:lpstr>CBBuyMat4</vt:lpstr>
      <vt:lpstr>CBBuyMatPrice1</vt:lpstr>
      <vt:lpstr>CBBuyMatPrice2</vt:lpstr>
      <vt:lpstr>CBBuyMatPrice3</vt:lpstr>
      <vt:lpstr>CBBuyMatPrice4</vt:lpstr>
      <vt:lpstr>CBBuyMatUsage1</vt:lpstr>
      <vt:lpstr>CBBuyMatUsage2</vt:lpstr>
      <vt:lpstr>CBBuyMatUsage3</vt:lpstr>
      <vt:lpstr>CBBuyMatUsage4</vt:lpstr>
      <vt:lpstr>CBBuyoutPr1</vt:lpstr>
      <vt:lpstr>CBBuyoutPr2</vt:lpstr>
      <vt:lpstr>CBBuyoutPr3</vt:lpstr>
      <vt:lpstr>CBBuyoutPr4</vt:lpstr>
      <vt:lpstr>CBFactor1</vt:lpstr>
      <vt:lpstr>CBFactor10</vt:lpstr>
      <vt:lpstr>CBFactor11</vt:lpstr>
      <vt:lpstr>CBFactor12</vt:lpstr>
      <vt:lpstr>CBFactor2</vt:lpstr>
      <vt:lpstr>CBFactor3</vt:lpstr>
      <vt:lpstr>CBFactor3A</vt:lpstr>
      <vt:lpstr>CBFactor4</vt:lpstr>
      <vt:lpstr>CBFactor5</vt:lpstr>
      <vt:lpstr>CBFactor6</vt:lpstr>
      <vt:lpstr>CBFactor6A</vt:lpstr>
      <vt:lpstr>CBFactor7</vt:lpstr>
      <vt:lpstr>CBFactor8</vt:lpstr>
      <vt:lpstr>CBFactor9</vt:lpstr>
      <vt:lpstr>CBFinalBO</vt:lpstr>
      <vt:lpstr>CBFinMatl</vt:lpstr>
      <vt:lpstr>CBFixedCost</vt:lpstr>
      <vt:lpstr>CBLabor1</vt:lpstr>
      <vt:lpstr>CBLabor2</vt:lpstr>
      <vt:lpstr>CBLabor3</vt:lpstr>
      <vt:lpstr>CBLabor4</vt:lpstr>
      <vt:lpstr>CBLabRate1</vt:lpstr>
      <vt:lpstr>CBLabRate2</vt:lpstr>
      <vt:lpstr>CBLabRate3</vt:lpstr>
      <vt:lpstr>CBLabRate4</vt:lpstr>
      <vt:lpstr>CBLogTest1</vt:lpstr>
      <vt:lpstr>CBLogTest10</vt:lpstr>
      <vt:lpstr>CBLogTest11</vt:lpstr>
      <vt:lpstr>CBLogTest12</vt:lpstr>
      <vt:lpstr>CBLogTest2</vt:lpstr>
      <vt:lpstr>CBLogTest3</vt:lpstr>
      <vt:lpstr>CBLogTest4</vt:lpstr>
      <vt:lpstr>CBLogTest5</vt:lpstr>
      <vt:lpstr>CBLogTest6</vt:lpstr>
      <vt:lpstr>CBLogTest7</vt:lpstr>
      <vt:lpstr>CBLogTest8</vt:lpstr>
      <vt:lpstr>CBLogTest9</vt:lpstr>
      <vt:lpstr>CBMat</vt:lpstr>
      <vt:lpstr>CBMat1</vt:lpstr>
      <vt:lpstr>CBMat2</vt:lpstr>
      <vt:lpstr>CBMat3</vt:lpstr>
      <vt:lpstr>CBMat4</vt:lpstr>
      <vt:lpstr>CBMatPrice1</vt:lpstr>
      <vt:lpstr>CBMatPrice2</vt:lpstr>
      <vt:lpstr>CBMatPrice3</vt:lpstr>
      <vt:lpstr>CBMatPrice4</vt:lpstr>
      <vt:lpstr>CBMatUsage1</vt:lpstr>
      <vt:lpstr>CBMatUsage2</vt:lpstr>
      <vt:lpstr>CBMatUsage3</vt:lpstr>
      <vt:lpstr>CBMatUsage4</vt:lpstr>
      <vt:lpstr>CBOps1</vt:lpstr>
      <vt:lpstr>CBOps2</vt:lpstr>
      <vt:lpstr>CBOps3</vt:lpstr>
      <vt:lpstr>CBOps4</vt:lpstr>
      <vt:lpstr>CBPack</vt:lpstr>
      <vt:lpstr>CBPcs1</vt:lpstr>
      <vt:lpstr>CBPcs2</vt:lpstr>
      <vt:lpstr>CBPcs3</vt:lpstr>
      <vt:lpstr>CBPcs4</vt:lpstr>
      <vt:lpstr>CBQtyBreak</vt:lpstr>
      <vt:lpstr>CBResinPr1</vt:lpstr>
      <vt:lpstr>CBResinPr2</vt:lpstr>
      <vt:lpstr>CBResinPr3</vt:lpstr>
      <vt:lpstr>CBResinPr4</vt:lpstr>
      <vt:lpstr>CBScrap1</vt:lpstr>
      <vt:lpstr>CBScrap2</vt:lpstr>
      <vt:lpstr>CBSellPrice</vt:lpstr>
      <vt:lpstr>CBSellPrice1</vt:lpstr>
      <vt:lpstr>CBSGA</vt:lpstr>
      <vt:lpstr>CBTotBOM</vt:lpstr>
      <vt:lpstr>CBTotLab</vt:lpstr>
      <vt:lpstr>CBTotMfgCost</vt:lpstr>
      <vt:lpstr>CBTOTOper</vt:lpstr>
      <vt:lpstr>CBVarCost</vt:lpstr>
      <vt:lpstr>CMEndReport</vt:lpstr>
      <vt:lpstr>CMStartReport</vt:lpstr>
      <vt:lpstr>Combo1</vt:lpstr>
      <vt:lpstr>Combo10</vt:lpstr>
      <vt:lpstr>Combo2</vt:lpstr>
      <vt:lpstr>Combo3</vt:lpstr>
      <vt:lpstr>Combo4</vt:lpstr>
      <vt:lpstr>Combo5</vt:lpstr>
      <vt:lpstr>Combo6</vt:lpstr>
      <vt:lpstr>Combo7</vt:lpstr>
      <vt:lpstr>Combo8</vt:lpstr>
      <vt:lpstr>Combo9</vt:lpstr>
      <vt:lpstr>ComboFlag</vt:lpstr>
      <vt:lpstr>CostAdjuster1</vt:lpstr>
      <vt:lpstr>CostAdjuster12</vt:lpstr>
      <vt:lpstr>CostAdjuster13</vt:lpstr>
      <vt:lpstr>CostAdjuster14</vt:lpstr>
      <vt:lpstr>CostAdjuster15</vt:lpstr>
      <vt:lpstr>CostAdjuster2</vt:lpstr>
      <vt:lpstr>CostAdjuster22</vt:lpstr>
      <vt:lpstr>CostAdjuster23</vt:lpstr>
      <vt:lpstr>CostAdjuster24</vt:lpstr>
      <vt:lpstr>CostAdjuster25</vt:lpstr>
      <vt:lpstr>CQEA27</vt:lpstr>
      <vt:lpstr>CQEA28</vt:lpstr>
      <vt:lpstr>CQEA29</vt:lpstr>
      <vt:lpstr>CQEA30</vt:lpstr>
      <vt:lpstr>CQEA31</vt:lpstr>
      <vt:lpstr>CQEContact</vt:lpstr>
      <vt:lpstr>CQEContact2</vt:lpstr>
      <vt:lpstr>CQECust</vt:lpstr>
      <vt:lpstr>CQECustAddr</vt:lpstr>
      <vt:lpstr>CQECustCitySt</vt:lpstr>
      <vt:lpstr>CQECustName</vt:lpstr>
      <vt:lpstr>CQECustPOBox</vt:lpstr>
      <vt:lpstr>CQEEmail</vt:lpstr>
      <vt:lpstr>CQEEmail1</vt:lpstr>
      <vt:lpstr>CQEMinRel1</vt:lpstr>
      <vt:lpstr>CQEMinRel10</vt:lpstr>
      <vt:lpstr>CQEMinRel2</vt:lpstr>
      <vt:lpstr>CQEMinRel3</vt:lpstr>
      <vt:lpstr>CQEMinRel4</vt:lpstr>
      <vt:lpstr>CQEMinRel5</vt:lpstr>
      <vt:lpstr>CQEMinRel6</vt:lpstr>
      <vt:lpstr>CQEMinRel7</vt:lpstr>
      <vt:lpstr>CQEMinRel8</vt:lpstr>
      <vt:lpstr>CQEMinRel9</vt:lpstr>
      <vt:lpstr>CQEMinShip1</vt:lpstr>
      <vt:lpstr>CQEMinShip10</vt:lpstr>
      <vt:lpstr>CQEMinShip2</vt:lpstr>
      <vt:lpstr>CQEMinShip3</vt:lpstr>
      <vt:lpstr>CQEMinShip4</vt:lpstr>
      <vt:lpstr>CQEMinShip5</vt:lpstr>
      <vt:lpstr>CQEMinShip6</vt:lpstr>
      <vt:lpstr>CQEMinShip7</vt:lpstr>
      <vt:lpstr>CQEMinShip8</vt:lpstr>
      <vt:lpstr>CQEMinShip9</vt:lpstr>
      <vt:lpstr>CQEPhone</vt:lpstr>
      <vt:lpstr>CQEPhone1</vt:lpstr>
      <vt:lpstr>CQEProdLT</vt:lpstr>
      <vt:lpstr>CQERep</vt:lpstr>
      <vt:lpstr>CQEScnTwoRes</vt:lpstr>
      <vt:lpstr>CS2PlateRDEnd</vt:lpstr>
      <vt:lpstr>CS2PlateRDStart</vt:lpstr>
      <vt:lpstr>CS2PlateSQEnd</vt:lpstr>
      <vt:lpstr>CS2PlateSQStart</vt:lpstr>
      <vt:lpstr>CSActualPtWt</vt:lpstr>
      <vt:lpstr>CSAutoCost</vt:lpstr>
      <vt:lpstr>CSAutoMU</vt:lpstr>
      <vt:lpstr>CSAutoPrice</vt:lpstr>
      <vt:lpstr>CSAveWall</vt:lpstr>
      <vt:lpstr>CSB62</vt:lpstr>
      <vt:lpstr>CSB63</vt:lpstr>
      <vt:lpstr>CSB63A</vt:lpstr>
      <vt:lpstr>CSB64</vt:lpstr>
      <vt:lpstr>CSB65</vt:lpstr>
      <vt:lpstr>CSB65A</vt:lpstr>
      <vt:lpstr>CSB66</vt:lpstr>
      <vt:lpstr>CSBuildEnd</vt:lpstr>
      <vt:lpstr>CSBuildEnd1</vt:lpstr>
      <vt:lpstr>CSBuildHRS</vt:lpstr>
      <vt:lpstr>CSBuildHRS2</vt:lpstr>
      <vt:lpstr>CSBuildStart</vt:lpstr>
      <vt:lpstr>CSBuildStart1</vt:lpstr>
      <vt:lpstr>CSBuyout</vt:lpstr>
      <vt:lpstr>CSBuyout1</vt:lpstr>
      <vt:lpstr>CSBuyout2</vt:lpstr>
      <vt:lpstr>CSBuyoutEnd</vt:lpstr>
      <vt:lpstr>CSBuyoutEnd1</vt:lpstr>
      <vt:lpstr>CSBuyoutEnd2</vt:lpstr>
      <vt:lpstr>CSBuyoutStart</vt:lpstr>
      <vt:lpstr>CSBuyoutStart1</vt:lpstr>
      <vt:lpstr>CSBuyoutStart2</vt:lpstr>
      <vt:lpstr>CSBuyoutStart3</vt:lpstr>
      <vt:lpstr>CSBuyoutStart4</vt:lpstr>
      <vt:lpstr>CSCalcCycle</vt:lpstr>
      <vt:lpstr>CSCalcPtWt</vt:lpstr>
      <vt:lpstr>CSCalcVolume</vt:lpstr>
      <vt:lpstr>CSCIVol</vt:lpstr>
      <vt:lpstr>CSConeEnd</vt:lpstr>
      <vt:lpstr>CSConeEnd1</vt:lpstr>
      <vt:lpstr>CSConeStart</vt:lpstr>
      <vt:lpstr>CSConeStart1</vt:lpstr>
      <vt:lpstr>CSConeStartA</vt:lpstr>
      <vt:lpstr>CSCoolTime</vt:lpstr>
      <vt:lpstr>CSCoolTimeCalc</vt:lpstr>
      <vt:lpstr>CSCycEnd</vt:lpstr>
      <vt:lpstr>CSCycEnd1</vt:lpstr>
      <vt:lpstr>CSCycEnd2</vt:lpstr>
      <vt:lpstr>CSCycStart</vt:lpstr>
      <vt:lpstr>CSCycStart1</vt:lpstr>
      <vt:lpstr>CSCycStart2</vt:lpstr>
      <vt:lpstr>CSCycStartA</vt:lpstr>
      <vt:lpstr>CSD61</vt:lpstr>
      <vt:lpstr>CSD62</vt:lpstr>
      <vt:lpstr>CSD63</vt:lpstr>
      <vt:lpstr>CSD64</vt:lpstr>
      <vt:lpstr>CSD64A</vt:lpstr>
      <vt:lpstr>CSD65</vt:lpstr>
      <vt:lpstr>CSDesign</vt:lpstr>
      <vt:lpstr>CSDesign2</vt:lpstr>
      <vt:lpstr>CSDesignEnd</vt:lpstr>
      <vt:lpstr>CSDesignStart</vt:lpstr>
      <vt:lpstr>CSDimType</vt:lpstr>
      <vt:lpstr>CSEjectTime</vt:lpstr>
      <vt:lpstr>CSEPLLTNote1</vt:lpstr>
      <vt:lpstr>CSEPLLTNote2</vt:lpstr>
      <vt:lpstr>CSFillTime</vt:lpstr>
      <vt:lpstr>CSGrams</vt:lpstr>
      <vt:lpstr>CSGramWeight</vt:lpstr>
      <vt:lpstr>CSLTOne</vt:lpstr>
      <vt:lpstr>CSLTTwo</vt:lpstr>
      <vt:lpstr>CSMatlFill</vt:lpstr>
      <vt:lpstr>CSMetricVol</vt:lpstr>
      <vt:lpstr>CSMoldInd</vt:lpstr>
      <vt:lpstr>CSPackHold</vt:lpstr>
      <vt:lpstr>CSQroLTNote1</vt:lpstr>
      <vt:lpstr>CSQroLTNote2</vt:lpstr>
      <vt:lpstr>CSRecEnd</vt:lpstr>
      <vt:lpstr>CSRecEnd1</vt:lpstr>
      <vt:lpstr>CSRecStart</vt:lpstr>
      <vt:lpstr>CSRecStart1</vt:lpstr>
      <vt:lpstr>CSRecStartA</vt:lpstr>
      <vt:lpstr>CSSGEnd</vt:lpstr>
      <vt:lpstr>CSSGHomeBase</vt:lpstr>
      <vt:lpstr>CSSpecificGravity</vt:lpstr>
      <vt:lpstr>CSSphereEnd</vt:lpstr>
      <vt:lpstr>CSSphereEnd2</vt:lpstr>
      <vt:lpstr>CSSphereStart</vt:lpstr>
      <vt:lpstr>CSSphereStart2</vt:lpstr>
      <vt:lpstr>CSSphereStartA</vt:lpstr>
      <vt:lpstr>CSSubTotal</vt:lpstr>
      <vt:lpstr>CSSubTotal1</vt:lpstr>
      <vt:lpstr>CSToolCost1</vt:lpstr>
      <vt:lpstr>CSToolCost2</vt:lpstr>
      <vt:lpstr>CSToolFactor</vt:lpstr>
      <vt:lpstr>CSToolMU1</vt:lpstr>
      <vt:lpstr>CSToolMU2</vt:lpstr>
      <vt:lpstr>CSToolRate1</vt:lpstr>
      <vt:lpstr>CSToolRate2</vt:lpstr>
      <vt:lpstr>CSTubeEnd</vt:lpstr>
      <vt:lpstr>CSTubeEnd1</vt:lpstr>
      <vt:lpstr>CSTubeStart</vt:lpstr>
      <vt:lpstr>CSTubeStart1</vt:lpstr>
      <vt:lpstr>CSTubeStarta</vt:lpstr>
      <vt:lpstr>CSVolWeight</vt:lpstr>
      <vt:lpstr>CurrentRev</vt:lpstr>
      <vt:lpstr>CustEachEndNote</vt:lpstr>
      <vt:lpstr>CustEachStartNote</vt:lpstr>
      <vt:lpstr>CustNum1</vt:lpstr>
      <vt:lpstr>DelphiNoteA</vt:lpstr>
      <vt:lpstr>DelphiNoteB</vt:lpstr>
      <vt:lpstr>DSBarrelCapacity</vt:lpstr>
      <vt:lpstr>DSBarrelCapacity1</vt:lpstr>
      <vt:lpstr>DSCapacity</vt:lpstr>
      <vt:lpstr>DSCapacity1</vt:lpstr>
      <vt:lpstr>DSPressExceed1</vt:lpstr>
      <vt:lpstr>DSPressExceed1A</vt:lpstr>
      <vt:lpstr>DSPressExceed2</vt:lpstr>
      <vt:lpstr>DSPressExceed2A</vt:lpstr>
      <vt:lpstr>Duns2101</vt:lpstr>
      <vt:lpstr>Duns2103</vt:lpstr>
      <vt:lpstr>Duns2104</vt:lpstr>
      <vt:lpstr>EDHome</vt:lpstr>
      <vt:lpstr>EndAutomation</vt:lpstr>
      <vt:lpstr>EndAutomation1</vt:lpstr>
      <vt:lpstr>EndAutomation2</vt:lpstr>
      <vt:lpstr>EndCustomerNotes</vt:lpstr>
      <vt:lpstr>EndInternalNote</vt:lpstr>
      <vt:lpstr>EndQuoteEntry</vt:lpstr>
      <vt:lpstr>EOF</vt:lpstr>
      <vt:lpstr>EstNum</vt:lpstr>
      <vt:lpstr>ExtNote1</vt:lpstr>
      <vt:lpstr>ExtNote10</vt:lpstr>
      <vt:lpstr>ExtNote11</vt:lpstr>
      <vt:lpstr>ExtNote12</vt:lpstr>
      <vt:lpstr>ExtNote13</vt:lpstr>
      <vt:lpstr>ExtNote14</vt:lpstr>
      <vt:lpstr>ExtNote15</vt:lpstr>
      <vt:lpstr>ExtNote16</vt:lpstr>
      <vt:lpstr>ExtNote17</vt:lpstr>
      <vt:lpstr>ExtNote18</vt:lpstr>
      <vt:lpstr>ExtNote19</vt:lpstr>
      <vt:lpstr>ExtNote2</vt:lpstr>
      <vt:lpstr>ExtNote20</vt:lpstr>
      <vt:lpstr>ExtNote21</vt:lpstr>
      <vt:lpstr>ExtNote22</vt:lpstr>
      <vt:lpstr>ExtNote23</vt:lpstr>
      <vt:lpstr>ExtNote24</vt:lpstr>
      <vt:lpstr>ExtNote3</vt:lpstr>
      <vt:lpstr>ExtNote4</vt:lpstr>
      <vt:lpstr>ExtNote5</vt:lpstr>
      <vt:lpstr>ExtNote6</vt:lpstr>
      <vt:lpstr>ExtNote7</vt:lpstr>
      <vt:lpstr>ExtNote8</vt:lpstr>
      <vt:lpstr>ExtNote9</vt:lpstr>
      <vt:lpstr>FamilyNote1</vt:lpstr>
      <vt:lpstr>FamilyNote2</vt:lpstr>
      <vt:lpstr>FSAmortAmt1</vt:lpstr>
      <vt:lpstr>FSAmortAmt2</vt:lpstr>
      <vt:lpstr>FSAmortDol1</vt:lpstr>
      <vt:lpstr>FSAmortDol10</vt:lpstr>
      <vt:lpstr>FSAmortDol2</vt:lpstr>
      <vt:lpstr>FSAmortDol3</vt:lpstr>
      <vt:lpstr>FSAmortDol4</vt:lpstr>
      <vt:lpstr>FSAmortDol5</vt:lpstr>
      <vt:lpstr>FSAmortDol6</vt:lpstr>
      <vt:lpstr>FSAmortDol7</vt:lpstr>
      <vt:lpstr>FSAmortDol8</vt:lpstr>
      <vt:lpstr>FSAmortDol9</vt:lpstr>
      <vt:lpstr>FSAmortYears</vt:lpstr>
      <vt:lpstr>FSAnnSale1</vt:lpstr>
      <vt:lpstr>FSAnnSale10</vt:lpstr>
      <vt:lpstr>FSAnnSale2</vt:lpstr>
      <vt:lpstr>FSAnnSale3</vt:lpstr>
      <vt:lpstr>FSAnnSale4</vt:lpstr>
      <vt:lpstr>FSAnnSale5</vt:lpstr>
      <vt:lpstr>FSAnnSale6</vt:lpstr>
      <vt:lpstr>FSAnnSale7</vt:lpstr>
      <vt:lpstr>FSAnnSale8</vt:lpstr>
      <vt:lpstr>FSAnnSale9</vt:lpstr>
      <vt:lpstr>FSAnnSaleTool1</vt:lpstr>
      <vt:lpstr>FSAnnSaleTool10</vt:lpstr>
      <vt:lpstr>FSAnnSaleTool2</vt:lpstr>
      <vt:lpstr>FSAnnSaleTool3</vt:lpstr>
      <vt:lpstr>FSAnnSaleTool4</vt:lpstr>
      <vt:lpstr>FSAnnSaleTool5</vt:lpstr>
      <vt:lpstr>FSAnnSaleTool6</vt:lpstr>
      <vt:lpstr>FSAnnSaleTool7</vt:lpstr>
      <vt:lpstr>FSAnnSaleTool8</vt:lpstr>
      <vt:lpstr>FSAnnSaleTool9</vt:lpstr>
      <vt:lpstr>FSAutoMaint1</vt:lpstr>
      <vt:lpstr>FSAutoMaint2</vt:lpstr>
      <vt:lpstr>FSAutomationCost</vt:lpstr>
      <vt:lpstr>FSAutoRate1</vt:lpstr>
      <vt:lpstr>FSAutoRate2</vt:lpstr>
      <vt:lpstr>FSAvePcs1</vt:lpstr>
      <vt:lpstr>FSAvePcs2</vt:lpstr>
      <vt:lpstr>FSBOCostPercentage11</vt:lpstr>
      <vt:lpstr>FSBOCostPercentage12</vt:lpstr>
      <vt:lpstr>FSBOCostPercentage13</vt:lpstr>
      <vt:lpstr>FSBOCostPercentage14</vt:lpstr>
      <vt:lpstr>FSBOCostPercentage15</vt:lpstr>
      <vt:lpstr>FSBOCostPercentage21</vt:lpstr>
      <vt:lpstr>FSBOCostPercentage22</vt:lpstr>
      <vt:lpstr>FSBOCostPercentage23</vt:lpstr>
      <vt:lpstr>FSBOCostPercentage24</vt:lpstr>
      <vt:lpstr>FSBOCostPercentage25</vt:lpstr>
      <vt:lpstr>FSBOMQTY1</vt:lpstr>
      <vt:lpstr>FSBOMQTY2</vt:lpstr>
      <vt:lpstr>FSBOSales1</vt:lpstr>
      <vt:lpstr>FSBOSales10</vt:lpstr>
      <vt:lpstr>FSBOSales2</vt:lpstr>
      <vt:lpstr>FSBOSales3</vt:lpstr>
      <vt:lpstr>FSBOSales4</vt:lpstr>
      <vt:lpstr>FSBOSales5</vt:lpstr>
      <vt:lpstr>FSBOSales6</vt:lpstr>
      <vt:lpstr>FSBOSales7</vt:lpstr>
      <vt:lpstr>FSBOSales8</vt:lpstr>
      <vt:lpstr>FSBOSales9</vt:lpstr>
      <vt:lpstr>FSBurriedPack1</vt:lpstr>
      <vt:lpstr>FSBurriedPack10</vt:lpstr>
      <vt:lpstr>FSBurriedPack10A</vt:lpstr>
      <vt:lpstr>FSBurriedPack1A</vt:lpstr>
      <vt:lpstr>FSBurriedPack2</vt:lpstr>
      <vt:lpstr>FSBurriedPack2A</vt:lpstr>
      <vt:lpstr>FSBurriedPack3</vt:lpstr>
      <vt:lpstr>FSBurriedPack3A</vt:lpstr>
      <vt:lpstr>FSBurriedPack4</vt:lpstr>
      <vt:lpstr>FSBurriedPack4A</vt:lpstr>
      <vt:lpstr>FSBurriedPack5</vt:lpstr>
      <vt:lpstr>FSBurriedPack5A</vt:lpstr>
      <vt:lpstr>FSBurriedPack6</vt:lpstr>
      <vt:lpstr>FSBurriedPack6A</vt:lpstr>
      <vt:lpstr>FSBurriedPack7</vt:lpstr>
      <vt:lpstr>FSBurriedPack7A</vt:lpstr>
      <vt:lpstr>FSBurriedPack8</vt:lpstr>
      <vt:lpstr>FSBurriedPack8A</vt:lpstr>
      <vt:lpstr>FSBurriedPack9</vt:lpstr>
      <vt:lpstr>FSBurriedPack9A</vt:lpstr>
      <vt:lpstr>FSCav1</vt:lpstr>
      <vt:lpstr>FSCav2</vt:lpstr>
      <vt:lpstr>FSCavityScr1</vt:lpstr>
      <vt:lpstr>FSCavityScr2</vt:lpstr>
      <vt:lpstr>FSComm1</vt:lpstr>
      <vt:lpstr>FSComm10</vt:lpstr>
      <vt:lpstr>FSComm2</vt:lpstr>
      <vt:lpstr>FSComm3</vt:lpstr>
      <vt:lpstr>FSComm4</vt:lpstr>
      <vt:lpstr>FSComm5</vt:lpstr>
      <vt:lpstr>FSComm6</vt:lpstr>
      <vt:lpstr>FSComm7</vt:lpstr>
      <vt:lpstr>FSComm8</vt:lpstr>
      <vt:lpstr>FSComm9</vt:lpstr>
      <vt:lpstr>FSCommFac1</vt:lpstr>
      <vt:lpstr>FSCommFac10</vt:lpstr>
      <vt:lpstr>FSCommFac2</vt:lpstr>
      <vt:lpstr>FSCommFac3</vt:lpstr>
      <vt:lpstr>FSCommFac4</vt:lpstr>
      <vt:lpstr>FSCommFac5</vt:lpstr>
      <vt:lpstr>FSCommFac6</vt:lpstr>
      <vt:lpstr>FSCommFac7</vt:lpstr>
      <vt:lpstr>FSCommFac8</vt:lpstr>
      <vt:lpstr>FSCommFac9</vt:lpstr>
      <vt:lpstr>FSCommTest1</vt:lpstr>
      <vt:lpstr>FSCommTest10</vt:lpstr>
      <vt:lpstr>FSCommTest2</vt:lpstr>
      <vt:lpstr>FSCommTest3</vt:lpstr>
      <vt:lpstr>FSCommTest4</vt:lpstr>
      <vt:lpstr>FSCommTest5</vt:lpstr>
      <vt:lpstr>FSCommTest6</vt:lpstr>
      <vt:lpstr>FSCommTest7</vt:lpstr>
      <vt:lpstr>FSCommTest8</vt:lpstr>
      <vt:lpstr>FSCommTest9</vt:lpstr>
      <vt:lpstr>FSCommVal1</vt:lpstr>
      <vt:lpstr>FSCommVal10</vt:lpstr>
      <vt:lpstr>FSCommVal2</vt:lpstr>
      <vt:lpstr>FSCommVal3</vt:lpstr>
      <vt:lpstr>FSCommVal4</vt:lpstr>
      <vt:lpstr>FSCommVal5</vt:lpstr>
      <vt:lpstr>FSCommVal6</vt:lpstr>
      <vt:lpstr>FSCommVal7</vt:lpstr>
      <vt:lpstr>FSCommVal8</vt:lpstr>
      <vt:lpstr>FSCommVal9</vt:lpstr>
      <vt:lpstr>FSCostAdj1</vt:lpstr>
      <vt:lpstr>FSCostAdj10</vt:lpstr>
      <vt:lpstr>FSCostAdj2</vt:lpstr>
      <vt:lpstr>FSCostAdj3</vt:lpstr>
      <vt:lpstr>FSCostAdj4</vt:lpstr>
      <vt:lpstr>FSCostAdj5</vt:lpstr>
      <vt:lpstr>FSCostAdj6</vt:lpstr>
      <vt:lpstr>FSCostAdj7</vt:lpstr>
      <vt:lpstr>FSCostAdj8</vt:lpstr>
      <vt:lpstr>FSCostAdj9</vt:lpstr>
      <vt:lpstr>FSCount1</vt:lpstr>
      <vt:lpstr>FSCount2</vt:lpstr>
      <vt:lpstr>FSExcessRunner1</vt:lpstr>
      <vt:lpstr>FSExcessRunner2</vt:lpstr>
      <vt:lpstr>FSFinalBOCost1</vt:lpstr>
      <vt:lpstr>FSFinalBOCost10</vt:lpstr>
      <vt:lpstr>FSFinalBOCost2</vt:lpstr>
      <vt:lpstr>FSFinalBOCost3</vt:lpstr>
      <vt:lpstr>FSFinalBOCost4</vt:lpstr>
      <vt:lpstr>FSFinalBOCost5</vt:lpstr>
      <vt:lpstr>FSFinalBOCost6</vt:lpstr>
      <vt:lpstr>FSFinalBOCost7</vt:lpstr>
      <vt:lpstr>FSFinalBOCost8</vt:lpstr>
      <vt:lpstr>FSFinalBOCost9</vt:lpstr>
      <vt:lpstr>FSFinalBOPrice1</vt:lpstr>
      <vt:lpstr>FSFinalBOPrice10</vt:lpstr>
      <vt:lpstr>FSFinalBOPrice2</vt:lpstr>
      <vt:lpstr>FSFinalBOPrice3</vt:lpstr>
      <vt:lpstr>FSFinalBOPrice4</vt:lpstr>
      <vt:lpstr>FSFinalBOPrice5</vt:lpstr>
      <vt:lpstr>FSFinalBOPrice6</vt:lpstr>
      <vt:lpstr>FSFinalBOPrice7</vt:lpstr>
      <vt:lpstr>FSFinalBOPrice8</vt:lpstr>
      <vt:lpstr>FSFinalBOPrice9</vt:lpstr>
      <vt:lpstr>FSFinalMatCost1</vt:lpstr>
      <vt:lpstr>FSFinalMatCost10</vt:lpstr>
      <vt:lpstr>FSFinalMatCost2</vt:lpstr>
      <vt:lpstr>FSFinalMatCost3</vt:lpstr>
      <vt:lpstr>FSFinalMatCost4</vt:lpstr>
      <vt:lpstr>FSFinalMatCost5</vt:lpstr>
      <vt:lpstr>FSFinalMatCost6</vt:lpstr>
      <vt:lpstr>FSFinalMatCost7</vt:lpstr>
      <vt:lpstr>FSFinalMatCost8</vt:lpstr>
      <vt:lpstr>FSFinalMatCost9</vt:lpstr>
      <vt:lpstr>FSFinalMatPrice1</vt:lpstr>
      <vt:lpstr>FSFinalMatPrice10</vt:lpstr>
      <vt:lpstr>FSFinalMatPrice2</vt:lpstr>
      <vt:lpstr>FSFinalMatPrice3</vt:lpstr>
      <vt:lpstr>FSFinalMatPrice4</vt:lpstr>
      <vt:lpstr>FSFinalMatPrice5</vt:lpstr>
      <vt:lpstr>FSFinalMatPrice6</vt:lpstr>
      <vt:lpstr>FSFinalMatPrice7</vt:lpstr>
      <vt:lpstr>FSFinalMatPrice8</vt:lpstr>
      <vt:lpstr>FSFinalMatPrice9</vt:lpstr>
      <vt:lpstr>FSFinalPressCost1</vt:lpstr>
      <vt:lpstr>FSFinalPressCost10</vt:lpstr>
      <vt:lpstr>FSFinalPressCost2</vt:lpstr>
      <vt:lpstr>FSFinalPressCost3</vt:lpstr>
      <vt:lpstr>FSFinalPressCost4</vt:lpstr>
      <vt:lpstr>FSFinalPressCost5</vt:lpstr>
      <vt:lpstr>FSFinalPressCost6</vt:lpstr>
      <vt:lpstr>FSFinalPressCost7</vt:lpstr>
      <vt:lpstr>FSFinalPressCost8</vt:lpstr>
      <vt:lpstr>FSFinalPressCost9</vt:lpstr>
      <vt:lpstr>FSFinalPressPrice1</vt:lpstr>
      <vt:lpstr>FSFinalPressPrice10</vt:lpstr>
      <vt:lpstr>FSFinalPressPrice2</vt:lpstr>
      <vt:lpstr>FSFinalPressPrice3</vt:lpstr>
      <vt:lpstr>FSFinalPressPrice4</vt:lpstr>
      <vt:lpstr>FSFinalPressPrice5</vt:lpstr>
      <vt:lpstr>FSFinalPressPrice6</vt:lpstr>
      <vt:lpstr>FSFinalPressPrice7</vt:lpstr>
      <vt:lpstr>FSFinalPressPrice8</vt:lpstr>
      <vt:lpstr>FSFinalPressPrice9</vt:lpstr>
      <vt:lpstr>FSFinalPrice1</vt:lpstr>
      <vt:lpstr>FSFinalPrice10</vt:lpstr>
      <vt:lpstr>FSFinalPrice2</vt:lpstr>
      <vt:lpstr>FSFinalPrice3</vt:lpstr>
      <vt:lpstr>FSFinalPrice4</vt:lpstr>
      <vt:lpstr>FSFinalPrice5</vt:lpstr>
      <vt:lpstr>FSFinalPrice55</vt:lpstr>
      <vt:lpstr>FSFinalPrice6</vt:lpstr>
      <vt:lpstr>FSFinalPrice7</vt:lpstr>
      <vt:lpstr>FSFinalPrice8</vt:lpstr>
      <vt:lpstr>FSFinalPrice9</vt:lpstr>
      <vt:lpstr>FSFinTMCost1</vt:lpstr>
      <vt:lpstr>FSFinTMCost10</vt:lpstr>
      <vt:lpstr>FSFinTMCost2</vt:lpstr>
      <vt:lpstr>FSFinTMCost3</vt:lpstr>
      <vt:lpstr>FSFinTMCost4</vt:lpstr>
      <vt:lpstr>FSFinTMCost5</vt:lpstr>
      <vt:lpstr>FSFinTMCost6</vt:lpstr>
      <vt:lpstr>FSFinTMCost7</vt:lpstr>
      <vt:lpstr>FSFinTMCost8</vt:lpstr>
      <vt:lpstr>FSFinTMCost9</vt:lpstr>
      <vt:lpstr>FSFinTMPrice1</vt:lpstr>
      <vt:lpstr>FSFinTMPrice10</vt:lpstr>
      <vt:lpstr>FSFinTMPrice2</vt:lpstr>
      <vt:lpstr>FSFinTMPrice3</vt:lpstr>
      <vt:lpstr>FSFinTMPrice4</vt:lpstr>
      <vt:lpstr>FSFinTMPrice5</vt:lpstr>
      <vt:lpstr>FSFinTMPrice6</vt:lpstr>
      <vt:lpstr>FSFinTMPrice7</vt:lpstr>
      <vt:lpstr>FSFinTMPrice8</vt:lpstr>
      <vt:lpstr>FSFinTMPrice9</vt:lpstr>
      <vt:lpstr>FSGFLCost1</vt:lpstr>
      <vt:lpstr>FSGFLCost2</vt:lpstr>
      <vt:lpstr>FSGFLCostPercentage11</vt:lpstr>
      <vt:lpstr>FSGFLCostPercentage12</vt:lpstr>
      <vt:lpstr>FSGFLCostPercentage13</vt:lpstr>
      <vt:lpstr>FSGFLCostPercentage14</vt:lpstr>
      <vt:lpstr>FSGFLCostPercentage15</vt:lpstr>
      <vt:lpstr>FSGFLCostPercentage21</vt:lpstr>
      <vt:lpstr>FSGFLCostPercentage22</vt:lpstr>
      <vt:lpstr>FSGFLCostPercentage23</vt:lpstr>
      <vt:lpstr>FSGFLCostPercentage24</vt:lpstr>
      <vt:lpstr>FSGFLCostPercentage25</vt:lpstr>
      <vt:lpstr>FSGFLPCS1</vt:lpstr>
      <vt:lpstr>FSGFLPCS2</vt:lpstr>
      <vt:lpstr>FSGFLTot1</vt:lpstr>
      <vt:lpstr>FSGFLTot2</vt:lpstr>
      <vt:lpstr>FSGFLVal1</vt:lpstr>
      <vt:lpstr>FSGFLVal2</vt:lpstr>
      <vt:lpstr>FSGrossProfit1</vt:lpstr>
      <vt:lpstr>FSGrossProfit10</vt:lpstr>
      <vt:lpstr>FSGrossProfit2</vt:lpstr>
      <vt:lpstr>FSGrossProfit3</vt:lpstr>
      <vt:lpstr>FSGrossProfit4</vt:lpstr>
      <vt:lpstr>FSGrossProfit5</vt:lpstr>
      <vt:lpstr>FSGrossProfit6</vt:lpstr>
      <vt:lpstr>FSGrossProfit7</vt:lpstr>
      <vt:lpstr>FSGrossProfit8</vt:lpstr>
      <vt:lpstr>FSGrossProfit9</vt:lpstr>
      <vt:lpstr>FSLaborA48</vt:lpstr>
      <vt:lpstr>FSLaborB48</vt:lpstr>
      <vt:lpstr>FSLaborCost1</vt:lpstr>
      <vt:lpstr>FSLaborCost10</vt:lpstr>
      <vt:lpstr>FSLaborCost11</vt:lpstr>
      <vt:lpstr>FSLaborCost12</vt:lpstr>
      <vt:lpstr>FSLaborCost13</vt:lpstr>
      <vt:lpstr>FSLaborCost14</vt:lpstr>
      <vt:lpstr>FSLaborCost15</vt:lpstr>
      <vt:lpstr>FSLaborCost16</vt:lpstr>
      <vt:lpstr>FSLaborCost17</vt:lpstr>
      <vt:lpstr>FSLaborCost17A</vt:lpstr>
      <vt:lpstr>FSLaborCost17B</vt:lpstr>
      <vt:lpstr>FSLaborCost18</vt:lpstr>
      <vt:lpstr>FSLaborCost2</vt:lpstr>
      <vt:lpstr>FSLaborCost21</vt:lpstr>
      <vt:lpstr>FSLaborCost22</vt:lpstr>
      <vt:lpstr>FSLaborCost23</vt:lpstr>
      <vt:lpstr>FSLaborCost24</vt:lpstr>
      <vt:lpstr>FSLaborCost25</vt:lpstr>
      <vt:lpstr>FSLaborCost26</vt:lpstr>
      <vt:lpstr>FSLaborCost27</vt:lpstr>
      <vt:lpstr>FSLaborCost27A</vt:lpstr>
      <vt:lpstr>FSLaborCost27B</vt:lpstr>
      <vt:lpstr>FSLaborCost28</vt:lpstr>
      <vt:lpstr>FSLaborCost3</vt:lpstr>
      <vt:lpstr>FSLaborCost4</vt:lpstr>
      <vt:lpstr>FSLaborCost5</vt:lpstr>
      <vt:lpstr>FSLaborCost6</vt:lpstr>
      <vt:lpstr>FSLaborCost7</vt:lpstr>
      <vt:lpstr>FSLaborCost8</vt:lpstr>
      <vt:lpstr>FSLaborCost9</vt:lpstr>
      <vt:lpstr>FSLaborCostCalc11</vt:lpstr>
      <vt:lpstr>FSLaborCostCalc12</vt:lpstr>
      <vt:lpstr>FSLaborCostCalc13</vt:lpstr>
      <vt:lpstr>FSLaborCostCalc14</vt:lpstr>
      <vt:lpstr>FSLaborCostCalc15</vt:lpstr>
      <vt:lpstr>FSLaborCostCalc16</vt:lpstr>
      <vt:lpstr>FSLaborCostCalc17</vt:lpstr>
      <vt:lpstr>FSLaborCostCalc17A</vt:lpstr>
      <vt:lpstr>FSLaborCostCalc17B</vt:lpstr>
      <vt:lpstr>FSLaborCostCalc18</vt:lpstr>
      <vt:lpstr>FSLaborCostCalc21</vt:lpstr>
      <vt:lpstr>FSLaborCostCalc22</vt:lpstr>
      <vt:lpstr>FSLaborCostCalc23</vt:lpstr>
      <vt:lpstr>FSLaborCostCalc24</vt:lpstr>
      <vt:lpstr>FSLaborCostCalc25</vt:lpstr>
      <vt:lpstr>FSLaborCostCalc26</vt:lpstr>
      <vt:lpstr>FSLaborCostCalc27</vt:lpstr>
      <vt:lpstr>FSLaborCostCalc27A</vt:lpstr>
      <vt:lpstr>FSLaborCostCalc27B</vt:lpstr>
      <vt:lpstr>FSLaborCostCalc28</vt:lpstr>
      <vt:lpstr>FSLaborCostPercentage11</vt:lpstr>
      <vt:lpstr>FSLaborCostPercentage12</vt:lpstr>
      <vt:lpstr>FSLaborCostPercentage13</vt:lpstr>
      <vt:lpstr>FSLaborCostPercentage14</vt:lpstr>
      <vt:lpstr>FSLaborCostPercentage15</vt:lpstr>
      <vt:lpstr>FSLaborCostPercentage21</vt:lpstr>
      <vt:lpstr>FSLaborCostPercentage22</vt:lpstr>
      <vt:lpstr>FSLaborCostPercentage23</vt:lpstr>
      <vt:lpstr>FSLaborCostPercentage24</vt:lpstr>
      <vt:lpstr>FSLaborCostPercentage25</vt:lpstr>
      <vt:lpstr>FSLaborPrice1</vt:lpstr>
      <vt:lpstr>FSLaborPrice10</vt:lpstr>
      <vt:lpstr>FSLaborPrice2</vt:lpstr>
      <vt:lpstr>FSLaborPrice3</vt:lpstr>
      <vt:lpstr>FSLaborPrice4</vt:lpstr>
      <vt:lpstr>FSLaborPrice5</vt:lpstr>
      <vt:lpstr>FSLaborPrice6</vt:lpstr>
      <vt:lpstr>FSLaborPrice7</vt:lpstr>
      <vt:lpstr>FSLaborPrice8</vt:lpstr>
      <vt:lpstr>FSLaborPrice9</vt:lpstr>
      <vt:lpstr>FSLogTestTool1</vt:lpstr>
      <vt:lpstr>FSLogTestTool10</vt:lpstr>
      <vt:lpstr>FSLogTestTool2</vt:lpstr>
      <vt:lpstr>FSLogTestTool3</vt:lpstr>
      <vt:lpstr>FSLogTestTool4</vt:lpstr>
      <vt:lpstr>FSLogTestTool5</vt:lpstr>
      <vt:lpstr>FSLogTestTool6</vt:lpstr>
      <vt:lpstr>FSLogTestTool7</vt:lpstr>
      <vt:lpstr>FSLogTestTool8</vt:lpstr>
      <vt:lpstr>FSLogTestTool9</vt:lpstr>
      <vt:lpstr>FSLTOne</vt:lpstr>
      <vt:lpstr>FSLTTwo</vt:lpstr>
      <vt:lpstr>FSMaint1Sub</vt:lpstr>
      <vt:lpstr>FSMaint2Sub</vt:lpstr>
      <vt:lpstr>FSMaintCost1</vt:lpstr>
      <vt:lpstr>FSMaintCost10</vt:lpstr>
      <vt:lpstr>FSMaintCost2</vt:lpstr>
      <vt:lpstr>FSMaintCost3</vt:lpstr>
      <vt:lpstr>FSMaintCost4</vt:lpstr>
      <vt:lpstr>FSMaintCost5</vt:lpstr>
      <vt:lpstr>FSMaintCost6</vt:lpstr>
      <vt:lpstr>FSMaintCost7</vt:lpstr>
      <vt:lpstr>FSMaintCost8</vt:lpstr>
      <vt:lpstr>FSMaintCost9</vt:lpstr>
      <vt:lpstr>FSMaintPrice1</vt:lpstr>
      <vt:lpstr>FSMaintPrice10</vt:lpstr>
      <vt:lpstr>FSMaintPrice2</vt:lpstr>
      <vt:lpstr>FSMaintPrice3</vt:lpstr>
      <vt:lpstr>FSMaintPrice4</vt:lpstr>
      <vt:lpstr>FSMaintPrice5</vt:lpstr>
      <vt:lpstr>FSMaintPrice6</vt:lpstr>
      <vt:lpstr>FSMaintPrice7</vt:lpstr>
      <vt:lpstr>FSMaintPrice8</vt:lpstr>
      <vt:lpstr>FSMaintPrice9</vt:lpstr>
      <vt:lpstr>FSMargin1</vt:lpstr>
      <vt:lpstr>FSMargin10</vt:lpstr>
      <vt:lpstr>FSMargin2</vt:lpstr>
      <vt:lpstr>FSMargin3</vt:lpstr>
      <vt:lpstr>FSMargin4</vt:lpstr>
      <vt:lpstr>FSMargin5</vt:lpstr>
      <vt:lpstr>FSMargin6</vt:lpstr>
      <vt:lpstr>FSMargin7</vt:lpstr>
      <vt:lpstr>FSMargin8</vt:lpstr>
      <vt:lpstr>FSMargin9</vt:lpstr>
      <vt:lpstr>FSMat10Cost1</vt:lpstr>
      <vt:lpstr>FSMat10Cost2</vt:lpstr>
      <vt:lpstr>FSMat10Cost3</vt:lpstr>
      <vt:lpstr>FSMat10Cost4</vt:lpstr>
      <vt:lpstr>FSMat10Cost5</vt:lpstr>
      <vt:lpstr>FSMat10Price1</vt:lpstr>
      <vt:lpstr>FSMat10Price2</vt:lpstr>
      <vt:lpstr>FSMat10Price3</vt:lpstr>
      <vt:lpstr>FSMat10Price4</vt:lpstr>
      <vt:lpstr>FSMat10Price5</vt:lpstr>
      <vt:lpstr>FSMat210Cost1</vt:lpstr>
      <vt:lpstr>FSMat210Cost2</vt:lpstr>
      <vt:lpstr>FSMat210Cost3</vt:lpstr>
      <vt:lpstr>FSMat210Cost4</vt:lpstr>
      <vt:lpstr>FSMat210Cost5</vt:lpstr>
      <vt:lpstr>FSMat210Price1</vt:lpstr>
      <vt:lpstr>FSMat210Price2</vt:lpstr>
      <vt:lpstr>FSMat210Price3</vt:lpstr>
      <vt:lpstr>FSMat210Price4</vt:lpstr>
      <vt:lpstr>FSMat210Price5</vt:lpstr>
      <vt:lpstr>FSMat26Cost1</vt:lpstr>
      <vt:lpstr>FSMat26Cost2</vt:lpstr>
      <vt:lpstr>FSMat26Cost3</vt:lpstr>
      <vt:lpstr>FSMat26Cost4</vt:lpstr>
      <vt:lpstr>FSMat26Cost5</vt:lpstr>
      <vt:lpstr>FSMat26Price1</vt:lpstr>
      <vt:lpstr>FSMat26Price2</vt:lpstr>
      <vt:lpstr>FSMat26Price3</vt:lpstr>
      <vt:lpstr>FSMat26Price4</vt:lpstr>
      <vt:lpstr>FSMat26Price5</vt:lpstr>
      <vt:lpstr>FSMat27Cost1</vt:lpstr>
      <vt:lpstr>FSMat27Cost2</vt:lpstr>
      <vt:lpstr>FSMat27Cost3</vt:lpstr>
      <vt:lpstr>FSMat27Cost4</vt:lpstr>
      <vt:lpstr>FSMat27Cost5</vt:lpstr>
      <vt:lpstr>FSMat27Price1</vt:lpstr>
      <vt:lpstr>FSMat27Price2</vt:lpstr>
      <vt:lpstr>FSMat27Price3</vt:lpstr>
      <vt:lpstr>FSMat27Price4</vt:lpstr>
      <vt:lpstr>FSMat27Price5</vt:lpstr>
      <vt:lpstr>FSMat28Cost1</vt:lpstr>
      <vt:lpstr>FSMat28Cost2</vt:lpstr>
      <vt:lpstr>FSMat28Cost3</vt:lpstr>
      <vt:lpstr>FSMat28Cost4</vt:lpstr>
      <vt:lpstr>FSMat28Cost5</vt:lpstr>
      <vt:lpstr>FSMat28Price1</vt:lpstr>
      <vt:lpstr>FSMat28Price2</vt:lpstr>
      <vt:lpstr>FSMat28Price3</vt:lpstr>
      <vt:lpstr>FSMat28Price4</vt:lpstr>
      <vt:lpstr>FSMat28Price5</vt:lpstr>
      <vt:lpstr>FSMat29Cost1</vt:lpstr>
      <vt:lpstr>FSMat29Cost2</vt:lpstr>
      <vt:lpstr>FSMat29Cost3</vt:lpstr>
      <vt:lpstr>FSMat29Cost4</vt:lpstr>
      <vt:lpstr>FSMat29Cost5</vt:lpstr>
      <vt:lpstr>FSMat29Price1</vt:lpstr>
      <vt:lpstr>FSMat29Price2</vt:lpstr>
      <vt:lpstr>FSMat29Price3</vt:lpstr>
      <vt:lpstr>FSMat29Price4</vt:lpstr>
      <vt:lpstr>FSMat29Price5</vt:lpstr>
      <vt:lpstr>FSMat310Cost1</vt:lpstr>
      <vt:lpstr>FSMat310Cost2</vt:lpstr>
      <vt:lpstr>FSMat310Cost3</vt:lpstr>
      <vt:lpstr>FSMat310Cost4</vt:lpstr>
      <vt:lpstr>FSMat310Cost5</vt:lpstr>
      <vt:lpstr>FSMat310Price1</vt:lpstr>
      <vt:lpstr>FSMat310Price2</vt:lpstr>
      <vt:lpstr>FSMat310Price3</vt:lpstr>
      <vt:lpstr>FSMat310Price4</vt:lpstr>
      <vt:lpstr>FSMat310Price5</vt:lpstr>
      <vt:lpstr>FSMat36Cost1</vt:lpstr>
      <vt:lpstr>FSMat36Cost2</vt:lpstr>
      <vt:lpstr>FSMat36Cost3</vt:lpstr>
      <vt:lpstr>FSMat36Cost4</vt:lpstr>
      <vt:lpstr>FSMat36Cost5</vt:lpstr>
      <vt:lpstr>FSMat36Price1</vt:lpstr>
      <vt:lpstr>FSMat36Price2</vt:lpstr>
      <vt:lpstr>FSMat36Price3</vt:lpstr>
      <vt:lpstr>FSMat36Price4</vt:lpstr>
      <vt:lpstr>FSMat36Price5</vt:lpstr>
      <vt:lpstr>FSMat37Cost1</vt:lpstr>
      <vt:lpstr>FSMat37Cost2</vt:lpstr>
      <vt:lpstr>FSMat37Cost3</vt:lpstr>
      <vt:lpstr>FSMat37Cost4</vt:lpstr>
      <vt:lpstr>FSMat37Cost5</vt:lpstr>
      <vt:lpstr>FSMat37Price1</vt:lpstr>
      <vt:lpstr>FSMat37Price2</vt:lpstr>
      <vt:lpstr>FSMat37Price3</vt:lpstr>
      <vt:lpstr>FSMat37Price4</vt:lpstr>
      <vt:lpstr>FSMat37Price5</vt:lpstr>
      <vt:lpstr>FSMat38Cost1</vt:lpstr>
      <vt:lpstr>FSMat38Cost2</vt:lpstr>
      <vt:lpstr>FSMat38Cost3</vt:lpstr>
      <vt:lpstr>FSMat38Cost4</vt:lpstr>
      <vt:lpstr>FSMat38Cost5</vt:lpstr>
      <vt:lpstr>FSMat38Price1</vt:lpstr>
      <vt:lpstr>FSMat38Price2</vt:lpstr>
      <vt:lpstr>FSMat38Price3</vt:lpstr>
      <vt:lpstr>FSMat38Price4</vt:lpstr>
      <vt:lpstr>FSMat38Price5</vt:lpstr>
      <vt:lpstr>FSMat39Cost1</vt:lpstr>
      <vt:lpstr>FSMat39Cost2</vt:lpstr>
      <vt:lpstr>FSMat39Cost3</vt:lpstr>
      <vt:lpstr>FSMat39Cost4</vt:lpstr>
      <vt:lpstr>FSMat39Cost5</vt:lpstr>
      <vt:lpstr>FSMat39Price1</vt:lpstr>
      <vt:lpstr>FSMat39Price2</vt:lpstr>
      <vt:lpstr>FSMat39Price3</vt:lpstr>
      <vt:lpstr>FSMat39Price4</vt:lpstr>
      <vt:lpstr>FSMat39Price5</vt:lpstr>
      <vt:lpstr>FSMat410Cost1</vt:lpstr>
      <vt:lpstr>FSMat410Cost2</vt:lpstr>
      <vt:lpstr>FSMat410Cost3</vt:lpstr>
      <vt:lpstr>FSMat410Cost4</vt:lpstr>
      <vt:lpstr>FSMat410Cost5</vt:lpstr>
      <vt:lpstr>FSMat410Price1</vt:lpstr>
      <vt:lpstr>FSMat410Price2</vt:lpstr>
      <vt:lpstr>FSMat410Price3</vt:lpstr>
      <vt:lpstr>FSMat410Price4</vt:lpstr>
      <vt:lpstr>FSMat410Price5</vt:lpstr>
      <vt:lpstr>FSMat46Cost1</vt:lpstr>
      <vt:lpstr>FSMat46Cost2</vt:lpstr>
      <vt:lpstr>FSMat46Cost3</vt:lpstr>
      <vt:lpstr>FSMat46Cost4</vt:lpstr>
      <vt:lpstr>FSMat46Cost5</vt:lpstr>
      <vt:lpstr>FSMat46Price1</vt:lpstr>
      <vt:lpstr>FSMat46Price2</vt:lpstr>
      <vt:lpstr>FSMat46Price3</vt:lpstr>
      <vt:lpstr>FSMat46Price4</vt:lpstr>
      <vt:lpstr>FSMat46Price5</vt:lpstr>
      <vt:lpstr>FSMat47Cost1</vt:lpstr>
      <vt:lpstr>FSMat47Cost2</vt:lpstr>
      <vt:lpstr>FSMat47Cost3</vt:lpstr>
      <vt:lpstr>FSMat47Cost4</vt:lpstr>
      <vt:lpstr>FSMat47Cost5</vt:lpstr>
      <vt:lpstr>FSMat47Price1</vt:lpstr>
      <vt:lpstr>FSMat47Price2</vt:lpstr>
      <vt:lpstr>FSMat47Price3</vt:lpstr>
      <vt:lpstr>FSMat47Price4</vt:lpstr>
      <vt:lpstr>FSMat47Price5</vt:lpstr>
      <vt:lpstr>FSMat48Cost1</vt:lpstr>
      <vt:lpstr>FSMat48Cost2</vt:lpstr>
      <vt:lpstr>FSMat48Cost3</vt:lpstr>
      <vt:lpstr>FSMat48Cost4</vt:lpstr>
      <vt:lpstr>FSMat48Cost5</vt:lpstr>
      <vt:lpstr>FSMat48Price1</vt:lpstr>
      <vt:lpstr>FSMat48Price2</vt:lpstr>
      <vt:lpstr>FSMat48Price3</vt:lpstr>
      <vt:lpstr>FSMat48Price4</vt:lpstr>
      <vt:lpstr>FSMat48Price5</vt:lpstr>
      <vt:lpstr>FSMat49Cost1</vt:lpstr>
      <vt:lpstr>FSMat49Cost2</vt:lpstr>
      <vt:lpstr>FSMat49Cost3</vt:lpstr>
      <vt:lpstr>FSMat49Cost4</vt:lpstr>
      <vt:lpstr>FSMat49Cost5</vt:lpstr>
      <vt:lpstr>FSMat49Price1</vt:lpstr>
      <vt:lpstr>FSMat49Price2</vt:lpstr>
      <vt:lpstr>FSMat49Price3</vt:lpstr>
      <vt:lpstr>FSMat49Price4</vt:lpstr>
      <vt:lpstr>FSMat49Price5</vt:lpstr>
      <vt:lpstr>FSMat6Cost1</vt:lpstr>
      <vt:lpstr>FSMat6Cost2</vt:lpstr>
      <vt:lpstr>FSMat6Cost3</vt:lpstr>
      <vt:lpstr>FSMat6Cost4</vt:lpstr>
      <vt:lpstr>FSMat6Cost5</vt:lpstr>
      <vt:lpstr>FSMat6Price1</vt:lpstr>
      <vt:lpstr>FSMat6Price2</vt:lpstr>
      <vt:lpstr>FSMat6Price3</vt:lpstr>
      <vt:lpstr>FSMat6Price4</vt:lpstr>
      <vt:lpstr>FSMat6Price5</vt:lpstr>
      <vt:lpstr>FSMat7Cost1</vt:lpstr>
      <vt:lpstr>FSMat7Cost2</vt:lpstr>
      <vt:lpstr>FSMat7Cost3</vt:lpstr>
      <vt:lpstr>FSMat7Cost4</vt:lpstr>
      <vt:lpstr>FSMat7Cost5</vt:lpstr>
      <vt:lpstr>FSMat7Price1</vt:lpstr>
      <vt:lpstr>FSMat7Price2</vt:lpstr>
      <vt:lpstr>FSMat7Price3</vt:lpstr>
      <vt:lpstr>FSMat7Price4</vt:lpstr>
      <vt:lpstr>FSMat7Price5</vt:lpstr>
      <vt:lpstr>FSMat8Cost1</vt:lpstr>
      <vt:lpstr>FSMat8Cost2</vt:lpstr>
      <vt:lpstr>FSMat8Cost3</vt:lpstr>
      <vt:lpstr>FSMat8Cost4</vt:lpstr>
      <vt:lpstr>FSMat8Cost5</vt:lpstr>
      <vt:lpstr>FSMat8Price1</vt:lpstr>
      <vt:lpstr>FSMat8Price2</vt:lpstr>
      <vt:lpstr>FSMat8Price3</vt:lpstr>
      <vt:lpstr>FSMat8Price4</vt:lpstr>
      <vt:lpstr>FSMat8Price5</vt:lpstr>
      <vt:lpstr>FSMat9Cost1</vt:lpstr>
      <vt:lpstr>FSMat9Cost2</vt:lpstr>
      <vt:lpstr>FSMat9Cost3</vt:lpstr>
      <vt:lpstr>FSMat9Cost4</vt:lpstr>
      <vt:lpstr>FSMat9Cost5</vt:lpstr>
      <vt:lpstr>FSMat9Price1</vt:lpstr>
      <vt:lpstr>FSMat9Price2</vt:lpstr>
      <vt:lpstr>FSMat9Price3</vt:lpstr>
      <vt:lpstr>FSMat9Price4</vt:lpstr>
      <vt:lpstr>FSMat9Price5</vt:lpstr>
      <vt:lpstr>FSMatFiveJ11</vt:lpstr>
      <vt:lpstr>FSMatFiveJ12</vt:lpstr>
      <vt:lpstr>FSMatFiveJ26</vt:lpstr>
      <vt:lpstr>FSMatFiveJ27</vt:lpstr>
      <vt:lpstr>FSMatFiveJ41</vt:lpstr>
      <vt:lpstr>FSMatFiveJ42</vt:lpstr>
      <vt:lpstr>FSMatFiveJ56</vt:lpstr>
      <vt:lpstr>FSMatFiveJ57</vt:lpstr>
      <vt:lpstr>FSMatFiveK11</vt:lpstr>
      <vt:lpstr>FSMatFiveK12</vt:lpstr>
      <vt:lpstr>FSMatFiveK26</vt:lpstr>
      <vt:lpstr>FSMatFiveK27</vt:lpstr>
      <vt:lpstr>FSMatFiveK41</vt:lpstr>
      <vt:lpstr>FSMatFiveK42</vt:lpstr>
      <vt:lpstr>FSMatFiveK56</vt:lpstr>
      <vt:lpstr>FSMatFiveK57</vt:lpstr>
      <vt:lpstr>FSMatFiveL11</vt:lpstr>
      <vt:lpstr>FSMatFiveL12</vt:lpstr>
      <vt:lpstr>FSMatFiveL26</vt:lpstr>
      <vt:lpstr>FSMatFiveL27</vt:lpstr>
      <vt:lpstr>FSMatFiveL41</vt:lpstr>
      <vt:lpstr>FSMatFiveL42</vt:lpstr>
      <vt:lpstr>FSMatFiveL56</vt:lpstr>
      <vt:lpstr>FSMatFiveL57</vt:lpstr>
      <vt:lpstr>FSMatFiveM11</vt:lpstr>
      <vt:lpstr>FSMatFiveM12</vt:lpstr>
      <vt:lpstr>FSMatFiveM26</vt:lpstr>
      <vt:lpstr>FSMatFiveM27</vt:lpstr>
      <vt:lpstr>FSMatFiveM41</vt:lpstr>
      <vt:lpstr>FSMatFiveM42</vt:lpstr>
      <vt:lpstr>FSMatFiveM56</vt:lpstr>
      <vt:lpstr>FSMatFiveM57</vt:lpstr>
      <vt:lpstr>FSMatFiveN11</vt:lpstr>
      <vt:lpstr>FSMatFiveN12</vt:lpstr>
      <vt:lpstr>FSMatFiveN26</vt:lpstr>
      <vt:lpstr>FSMatFiveN27</vt:lpstr>
      <vt:lpstr>FSMatFiveN41</vt:lpstr>
      <vt:lpstr>FSMatFiveN42</vt:lpstr>
      <vt:lpstr>FSMatFiveN56</vt:lpstr>
      <vt:lpstr>FSMatFiveN57</vt:lpstr>
      <vt:lpstr>FSMatFourJ10</vt:lpstr>
      <vt:lpstr>FSMatFourJ24</vt:lpstr>
      <vt:lpstr>FSMatFourJ25</vt:lpstr>
      <vt:lpstr>FSMatFourJ39</vt:lpstr>
      <vt:lpstr>FSMatFourJ40</vt:lpstr>
      <vt:lpstr>FSMatFourJ54</vt:lpstr>
      <vt:lpstr>FSMatFourJ55</vt:lpstr>
      <vt:lpstr>FSMatFourJ9</vt:lpstr>
      <vt:lpstr>FSMatFourK10</vt:lpstr>
      <vt:lpstr>FSMatFourK24</vt:lpstr>
      <vt:lpstr>FSMatFourK25</vt:lpstr>
      <vt:lpstr>FSMatFourK39</vt:lpstr>
      <vt:lpstr>FSMatFourK40</vt:lpstr>
      <vt:lpstr>FSMatFourK54</vt:lpstr>
      <vt:lpstr>FSMatFourK55</vt:lpstr>
      <vt:lpstr>FSMatFourK9</vt:lpstr>
      <vt:lpstr>FSMatFourL10</vt:lpstr>
      <vt:lpstr>FSMatFourL24</vt:lpstr>
      <vt:lpstr>FSMatFourL25</vt:lpstr>
      <vt:lpstr>FSMatFourL39</vt:lpstr>
      <vt:lpstr>FSMatFourL40</vt:lpstr>
      <vt:lpstr>FSMatFourL54</vt:lpstr>
      <vt:lpstr>FSMatFourL55</vt:lpstr>
      <vt:lpstr>FSMatFourL9</vt:lpstr>
      <vt:lpstr>FSMatFourM10</vt:lpstr>
      <vt:lpstr>FSMatFourM24</vt:lpstr>
      <vt:lpstr>FSMatFourM25</vt:lpstr>
      <vt:lpstr>FSMatFourM39</vt:lpstr>
      <vt:lpstr>FSMatFourM40</vt:lpstr>
      <vt:lpstr>FSMatFourM54</vt:lpstr>
      <vt:lpstr>FSMatFourM55</vt:lpstr>
      <vt:lpstr>FSMatFourM9</vt:lpstr>
      <vt:lpstr>FSMatFourN10</vt:lpstr>
      <vt:lpstr>FSMatFourN24</vt:lpstr>
      <vt:lpstr>FSMatFourN25</vt:lpstr>
      <vt:lpstr>FSMatFourN39</vt:lpstr>
      <vt:lpstr>FSMatFourN40</vt:lpstr>
      <vt:lpstr>FSMatFourN54</vt:lpstr>
      <vt:lpstr>FSMatFourN55</vt:lpstr>
      <vt:lpstr>FSMatFourN9</vt:lpstr>
      <vt:lpstr>FSMatl10</vt:lpstr>
      <vt:lpstr>FSMatl10Req</vt:lpstr>
      <vt:lpstr>FSMatl11</vt:lpstr>
      <vt:lpstr>FSMatl11Req</vt:lpstr>
      <vt:lpstr>FSMatl12</vt:lpstr>
      <vt:lpstr>FSMatl12Req</vt:lpstr>
      <vt:lpstr>FSMatl13</vt:lpstr>
      <vt:lpstr>FSMatl13Req</vt:lpstr>
      <vt:lpstr>FSMatl14</vt:lpstr>
      <vt:lpstr>FSMatl14Req</vt:lpstr>
      <vt:lpstr>FSMatl15</vt:lpstr>
      <vt:lpstr>FSMatl15Req</vt:lpstr>
      <vt:lpstr>FSMatl6</vt:lpstr>
      <vt:lpstr>FSMatl6Req</vt:lpstr>
      <vt:lpstr>FSMatl7</vt:lpstr>
      <vt:lpstr>FSMatl7Req</vt:lpstr>
      <vt:lpstr>FSMatl8</vt:lpstr>
      <vt:lpstr>FSMatl8Req</vt:lpstr>
      <vt:lpstr>FSMatl9</vt:lpstr>
      <vt:lpstr>FSMatl9Req</vt:lpstr>
      <vt:lpstr>FSMatlFive</vt:lpstr>
      <vt:lpstr>FSMatlFiveReq</vt:lpstr>
      <vt:lpstr>FSMatlFour</vt:lpstr>
      <vt:lpstr>FSMatlFourReq</vt:lpstr>
      <vt:lpstr>FSMatlMU1</vt:lpstr>
      <vt:lpstr>FSMatlMU10</vt:lpstr>
      <vt:lpstr>FSMatlMU11</vt:lpstr>
      <vt:lpstr>FSMatlMU12</vt:lpstr>
      <vt:lpstr>FSMatlMU13</vt:lpstr>
      <vt:lpstr>FSMatlMU14</vt:lpstr>
      <vt:lpstr>FSMatlMU15</vt:lpstr>
      <vt:lpstr>FSMatlMU2</vt:lpstr>
      <vt:lpstr>FSMatlMU3</vt:lpstr>
      <vt:lpstr>FSMatlMU4</vt:lpstr>
      <vt:lpstr>FSMatlMU5</vt:lpstr>
      <vt:lpstr>FSMatlMU6</vt:lpstr>
      <vt:lpstr>FSMatlMU7</vt:lpstr>
      <vt:lpstr>FSMatlMU8</vt:lpstr>
      <vt:lpstr>FSMatlMU9</vt:lpstr>
      <vt:lpstr>FSMatlOne</vt:lpstr>
      <vt:lpstr>FSMatlOneReq</vt:lpstr>
      <vt:lpstr>FSMatlScr10</vt:lpstr>
      <vt:lpstr>FSMatlScr11</vt:lpstr>
      <vt:lpstr>FSMatlScr12</vt:lpstr>
      <vt:lpstr>FSMatlScr13</vt:lpstr>
      <vt:lpstr>FSMatlScr14</vt:lpstr>
      <vt:lpstr>FSMatlScr15</vt:lpstr>
      <vt:lpstr>FSMatlScr6</vt:lpstr>
      <vt:lpstr>FSMatlScr7</vt:lpstr>
      <vt:lpstr>FSMatlScr8</vt:lpstr>
      <vt:lpstr>FSMatlScr9</vt:lpstr>
      <vt:lpstr>FSMatlScrFive</vt:lpstr>
      <vt:lpstr>FSMatlScrFour</vt:lpstr>
      <vt:lpstr>FSMatlScrOne</vt:lpstr>
      <vt:lpstr>FSMatlScrThree</vt:lpstr>
      <vt:lpstr>FSMatlScrTwo</vt:lpstr>
      <vt:lpstr>FSMatlThree</vt:lpstr>
      <vt:lpstr>FSMatlThreeReq</vt:lpstr>
      <vt:lpstr>FSMatlTwo</vt:lpstr>
      <vt:lpstr>FSMatlTwoReq</vt:lpstr>
      <vt:lpstr>FSMatlYield</vt:lpstr>
      <vt:lpstr>FSMatOneJ18</vt:lpstr>
      <vt:lpstr>FSMatOneJ19</vt:lpstr>
      <vt:lpstr>FSMatOneJ3</vt:lpstr>
      <vt:lpstr>FSMatOneJ33</vt:lpstr>
      <vt:lpstr>FSMatOneJ34</vt:lpstr>
      <vt:lpstr>FSMatOneJ4</vt:lpstr>
      <vt:lpstr>FSMatOneJ48</vt:lpstr>
      <vt:lpstr>FSMatOneJ49</vt:lpstr>
      <vt:lpstr>FSMatOneK18</vt:lpstr>
      <vt:lpstr>FSMatOneK19</vt:lpstr>
      <vt:lpstr>FSMatOneK3</vt:lpstr>
      <vt:lpstr>FSMatOneK33</vt:lpstr>
      <vt:lpstr>FSMatOneK34</vt:lpstr>
      <vt:lpstr>FSMatOneK4</vt:lpstr>
      <vt:lpstr>FSMatOneK48</vt:lpstr>
      <vt:lpstr>FSMatOneK49</vt:lpstr>
      <vt:lpstr>FSMatOneL18</vt:lpstr>
      <vt:lpstr>FSMatOneL19</vt:lpstr>
      <vt:lpstr>FSMatOneL3</vt:lpstr>
      <vt:lpstr>FSMatOneL33</vt:lpstr>
      <vt:lpstr>FSMatOneL34</vt:lpstr>
      <vt:lpstr>FSMatOneL4</vt:lpstr>
      <vt:lpstr>FSMatOneL48</vt:lpstr>
      <vt:lpstr>FSMatOneL49</vt:lpstr>
      <vt:lpstr>FSMatOneM18</vt:lpstr>
      <vt:lpstr>FSMatOneM19</vt:lpstr>
      <vt:lpstr>FSMatOneM3</vt:lpstr>
      <vt:lpstr>FSMatOneM33</vt:lpstr>
      <vt:lpstr>FSMatOneM34</vt:lpstr>
      <vt:lpstr>FSMatOneM4</vt:lpstr>
      <vt:lpstr>FSMatOneM48</vt:lpstr>
      <vt:lpstr>FSMatOneM49</vt:lpstr>
      <vt:lpstr>FSMatOneN18</vt:lpstr>
      <vt:lpstr>FSMatOneN19</vt:lpstr>
      <vt:lpstr>FSMatOneN3</vt:lpstr>
      <vt:lpstr>FSMatOneN33</vt:lpstr>
      <vt:lpstr>FSMatOneN34</vt:lpstr>
      <vt:lpstr>FSMatOneN4</vt:lpstr>
      <vt:lpstr>FSMatOneN48</vt:lpstr>
      <vt:lpstr>FSMatOneN49</vt:lpstr>
      <vt:lpstr>FSMatThreeJ22</vt:lpstr>
      <vt:lpstr>FSMatThreeJ23</vt:lpstr>
      <vt:lpstr>FSMatThreeJ37</vt:lpstr>
      <vt:lpstr>FSMatThreeJ38</vt:lpstr>
      <vt:lpstr>FSMatThreeJ52</vt:lpstr>
      <vt:lpstr>FSMatThreeJ53</vt:lpstr>
      <vt:lpstr>FSMatThreeJ7</vt:lpstr>
      <vt:lpstr>FSMatThreeJ8</vt:lpstr>
      <vt:lpstr>FSMatThreeK22</vt:lpstr>
      <vt:lpstr>FSMatThreeK23</vt:lpstr>
      <vt:lpstr>FSMatThreeK37</vt:lpstr>
      <vt:lpstr>FSMatThreeK38</vt:lpstr>
      <vt:lpstr>FSMatThreeK52</vt:lpstr>
      <vt:lpstr>FSMatThreeK53</vt:lpstr>
      <vt:lpstr>FSMatThreeK7</vt:lpstr>
      <vt:lpstr>FSMatThreeK8</vt:lpstr>
      <vt:lpstr>FSMatThreeL22</vt:lpstr>
      <vt:lpstr>FSMatThreeL23</vt:lpstr>
      <vt:lpstr>FSMatThreeL37</vt:lpstr>
      <vt:lpstr>FSMatThreeL38</vt:lpstr>
      <vt:lpstr>FSMatThreeL52</vt:lpstr>
      <vt:lpstr>FSMatThreeL53</vt:lpstr>
      <vt:lpstr>FSMatThreeL7</vt:lpstr>
      <vt:lpstr>FSMatThreeL8</vt:lpstr>
      <vt:lpstr>FSMatThreeM22</vt:lpstr>
      <vt:lpstr>FSMatThreeM23</vt:lpstr>
      <vt:lpstr>FSMatThreeM37</vt:lpstr>
      <vt:lpstr>FSMatThreeM38</vt:lpstr>
      <vt:lpstr>FSMatThreeM52</vt:lpstr>
      <vt:lpstr>FSMatThreeM53</vt:lpstr>
      <vt:lpstr>FSMatThreeM7</vt:lpstr>
      <vt:lpstr>FSMatThreeM8</vt:lpstr>
      <vt:lpstr>FSMatThreeN22</vt:lpstr>
      <vt:lpstr>FSMatThreeN23</vt:lpstr>
      <vt:lpstr>FSMatThreeN37</vt:lpstr>
      <vt:lpstr>FSMatThreeN38</vt:lpstr>
      <vt:lpstr>FSMatThreeN52</vt:lpstr>
      <vt:lpstr>FSMatThreeN53</vt:lpstr>
      <vt:lpstr>FSMatThreeN7</vt:lpstr>
      <vt:lpstr>FSMatThreeN8</vt:lpstr>
      <vt:lpstr>FSMatTwoJ20</vt:lpstr>
      <vt:lpstr>FSMatTwoJ21</vt:lpstr>
      <vt:lpstr>FSMatTwoJ35</vt:lpstr>
      <vt:lpstr>FSMatTwoJ36</vt:lpstr>
      <vt:lpstr>FSMatTwoJ5</vt:lpstr>
      <vt:lpstr>FSMatTwoJ50</vt:lpstr>
      <vt:lpstr>FSMatTwoJ51</vt:lpstr>
      <vt:lpstr>FSMatTwoJ6</vt:lpstr>
      <vt:lpstr>FSMatTwoK20</vt:lpstr>
      <vt:lpstr>FSMatTwoK21</vt:lpstr>
      <vt:lpstr>FSMatTwoK35</vt:lpstr>
      <vt:lpstr>FSMatTwoK36</vt:lpstr>
      <vt:lpstr>FSMatTwoK5</vt:lpstr>
      <vt:lpstr>FSMatTwoK50</vt:lpstr>
      <vt:lpstr>FSMatTwoK51</vt:lpstr>
      <vt:lpstr>FSMatTwoK6</vt:lpstr>
      <vt:lpstr>FSMatTwoL20</vt:lpstr>
      <vt:lpstr>FSMatTwoL21</vt:lpstr>
      <vt:lpstr>FSMatTwoL35</vt:lpstr>
      <vt:lpstr>FSMatTwoL36</vt:lpstr>
      <vt:lpstr>FSMatTwoL5</vt:lpstr>
      <vt:lpstr>FSMatTwoL50</vt:lpstr>
      <vt:lpstr>FSMatTwoL51</vt:lpstr>
      <vt:lpstr>FSMatTwoL6</vt:lpstr>
      <vt:lpstr>FSMatTwoM20</vt:lpstr>
      <vt:lpstr>FSMatTwoM21</vt:lpstr>
      <vt:lpstr>FSMatTwoM35</vt:lpstr>
      <vt:lpstr>FSMatTwoM36</vt:lpstr>
      <vt:lpstr>FSMatTwoM5</vt:lpstr>
      <vt:lpstr>FSMatTwoM50</vt:lpstr>
      <vt:lpstr>FSMatTwoM51</vt:lpstr>
      <vt:lpstr>FSMatTwoM6</vt:lpstr>
      <vt:lpstr>FSMatTwoN20</vt:lpstr>
      <vt:lpstr>FSMatTwoN21</vt:lpstr>
      <vt:lpstr>FSMatTwoN35</vt:lpstr>
      <vt:lpstr>FSMatTwoN36</vt:lpstr>
      <vt:lpstr>FSMatTwoN5</vt:lpstr>
      <vt:lpstr>FSMatTwoN50</vt:lpstr>
      <vt:lpstr>FSMatTwoN51</vt:lpstr>
      <vt:lpstr>FSMatTwoN6</vt:lpstr>
      <vt:lpstr>FSMatType1</vt:lpstr>
      <vt:lpstr>FSMatType10</vt:lpstr>
      <vt:lpstr>FSMatType11</vt:lpstr>
      <vt:lpstr>FSMatType12</vt:lpstr>
      <vt:lpstr>FSMatType13</vt:lpstr>
      <vt:lpstr>FSMatType14</vt:lpstr>
      <vt:lpstr>FSMatType15</vt:lpstr>
      <vt:lpstr>FSMatType2</vt:lpstr>
      <vt:lpstr>FSMatType3</vt:lpstr>
      <vt:lpstr>FSMatType4</vt:lpstr>
      <vt:lpstr>FSMatType5</vt:lpstr>
      <vt:lpstr>FSMatType6</vt:lpstr>
      <vt:lpstr>FSMatType7</vt:lpstr>
      <vt:lpstr>FSMatType8</vt:lpstr>
      <vt:lpstr>FSMatType9</vt:lpstr>
      <vt:lpstr>FSMaxRegrind1</vt:lpstr>
      <vt:lpstr>FSMaxRegrind2</vt:lpstr>
      <vt:lpstr>FSMetricConv</vt:lpstr>
      <vt:lpstr>FSMfgCost1</vt:lpstr>
      <vt:lpstr>FSMfgCost10</vt:lpstr>
      <vt:lpstr>FSMfgCost2</vt:lpstr>
      <vt:lpstr>FSMfgCost3</vt:lpstr>
      <vt:lpstr>FSMfgCost4</vt:lpstr>
      <vt:lpstr>FSMfgCost5</vt:lpstr>
      <vt:lpstr>FSMfgCost6</vt:lpstr>
      <vt:lpstr>FSMfgCost7</vt:lpstr>
      <vt:lpstr>FSMfgCost8</vt:lpstr>
      <vt:lpstr>FSMfgCost9</vt:lpstr>
      <vt:lpstr>FSMinAmt1</vt:lpstr>
      <vt:lpstr>FSMinAmt10</vt:lpstr>
      <vt:lpstr>FSMinAmt101</vt:lpstr>
      <vt:lpstr>FSMinAmt1010</vt:lpstr>
      <vt:lpstr>FSMinAmt102</vt:lpstr>
      <vt:lpstr>FSMinAmt103</vt:lpstr>
      <vt:lpstr>FSMinAmt104</vt:lpstr>
      <vt:lpstr>FSMinAmt105</vt:lpstr>
      <vt:lpstr>FSMinAmt106</vt:lpstr>
      <vt:lpstr>FSMinAmt107</vt:lpstr>
      <vt:lpstr>FSMinAmt108</vt:lpstr>
      <vt:lpstr>FSMinAmt109</vt:lpstr>
      <vt:lpstr>FSMinAmt2</vt:lpstr>
      <vt:lpstr>FSMinAmt21</vt:lpstr>
      <vt:lpstr>FSMinAmt210</vt:lpstr>
      <vt:lpstr>FSMinAmt22</vt:lpstr>
      <vt:lpstr>FSMinAmt23</vt:lpstr>
      <vt:lpstr>FSMinAmt24</vt:lpstr>
      <vt:lpstr>FSMinAmt25</vt:lpstr>
      <vt:lpstr>FSMinAmt26</vt:lpstr>
      <vt:lpstr>FSMinAmt27</vt:lpstr>
      <vt:lpstr>FSMinAmt28</vt:lpstr>
      <vt:lpstr>FSMinAmt29</vt:lpstr>
      <vt:lpstr>FSMinAmt3</vt:lpstr>
      <vt:lpstr>FSMinAmt31</vt:lpstr>
      <vt:lpstr>FSMinAmt310</vt:lpstr>
      <vt:lpstr>FSMinAmt32</vt:lpstr>
      <vt:lpstr>FSMinAmt33</vt:lpstr>
      <vt:lpstr>FSMinAmt34</vt:lpstr>
      <vt:lpstr>FSMinAmt35</vt:lpstr>
      <vt:lpstr>FSMinAmt36</vt:lpstr>
      <vt:lpstr>FSMinAmt37</vt:lpstr>
      <vt:lpstr>FSMinAmt38</vt:lpstr>
      <vt:lpstr>FSMinAmt39</vt:lpstr>
      <vt:lpstr>FSMinAmt4</vt:lpstr>
      <vt:lpstr>FSMinAmt41</vt:lpstr>
      <vt:lpstr>FSMinAmt410</vt:lpstr>
      <vt:lpstr>FSMinAmt42</vt:lpstr>
      <vt:lpstr>FSMinAmt43</vt:lpstr>
      <vt:lpstr>FSMinAmt44</vt:lpstr>
      <vt:lpstr>FSMinAmt45</vt:lpstr>
      <vt:lpstr>FSMinAmt46</vt:lpstr>
      <vt:lpstr>FSMinAmt47</vt:lpstr>
      <vt:lpstr>FSMinAmt48</vt:lpstr>
      <vt:lpstr>FSMinAmt49</vt:lpstr>
      <vt:lpstr>FSMinAmt5</vt:lpstr>
      <vt:lpstr>FSMinAmt51</vt:lpstr>
      <vt:lpstr>FSMinAmt510</vt:lpstr>
      <vt:lpstr>FSMinAmt52</vt:lpstr>
      <vt:lpstr>FSMinAmt53</vt:lpstr>
      <vt:lpstr>FSMinAmt54</vt:lpstr>
      <vt:lpstr>FSMinAmt55</vt:lpstr>
      <vt:lpstr>FSMinAmt56</vt:lpstr>
      <vt:lpstr>FSMinAmt57</vt:lpstr>
      <vt:lpstr>FSMinAmt58</vt:lpstr>
      <vt:lpstr>FSMinAmt59</vt:lpstr>
      <vt:lpstr>FSMinAmt6</vt:lpstr>
      <vt:lpstr>FSMinAmt61</vt:lpstr>
      <vt:lpstr>FSMinAmt610</vt:lpstr>
      <vt:lpstr>FSMinAmt62</vt:lpstr>
      <vt:lpstr>FSMinAmt63</vt:lpstr>
      <vt:lpstr>FSMinAmt64</vt:lpstr>
      <vt:lpstr>FSMinAmt65</vt:lpstr>
      <vt:lpstr>FSMinAmt66</vt:lpstr>
      <vt:lpstr>FSMinAmt67</vt:lpstr>
      <vt:lpstr>FSMinAmt68</vt:lpstr>
      <vt:lpstr>FSMinAmt69</vt:lpstr>
      <vt:lpstr>FSMinAmt7</vt:lpstr>
      <vt:lpstr>FSMinAmt71</vt:lpstr>
      <vt:lpstr>FSMinAmt710</vt:lpstr>
      <vt:lpstr>FSMinAmt72</vt:lpstr>
      <vt:lpstr>FSMinAmt73</vt:lpstr>
      <vt:lpstr>FSMinAmt74</vt:lpstr>
      <vt:lpstr>FSMinAmt75</vt:lpstr>
      <vt:lpstr>FSMinAmt76</vt:lpstr>
      <vt:lpstr>FSMinAmt77</vt:lpstr>
      <vt:lpstr>FSMinAmt78</vt:lpstr>
      <vt:lpstr>FSMinAmt79</vt:lpstr>
      <vt:lpstr>FSMinAmt8</vt:lpstr>
      <vt:lpstr>FSMinAmt81</vt:lpstr>
      <vt:lpstr>FSMinAmt810</vt:lpstr>
      <vt:lpstr>FSMinAmt82</vt:lpstr>
      <vt:lpstr>FSMinAmt83</vt:lpstr>
      <vt:lpstr>FSMinAmt84</vt:lpstr>
      <vt:lpstr>FSMinAmt85</vt:lpstr>
      <vt:lpstr>FSMinAmt86</vt:lpstr>
      <vt:lpstr>FSMinAmt87</vt:lpstr>
      <vt:lpstr>FSMinAmt88</vt:lpstr>
      <vt:lpstr>FSMinAmt89</vt:lpstr>
      <vt:lpstr>FSMinAmt9</vt:lpstr>
      <vt:lpstr>FSMinAmt91</vt:lpstr>
      <vt:lpstr>FSMinAmt910</vt:lpstr>
      <vt:lpstr>FSMinAmt92</vt:lpstr>
      <vt:lpstr>FSMinAmt93</vt:lpstr>
      <vt:lpstr>FSMinAmt94</vt:lpstr>
      <vt:lpstr>FSMinAmt95</vt:lpstr>
      <vt:lpstr>FSMinAmt96</vt:lpstr>
      <vt:lpstr>FSMinAmt97</vt:lpstr>
      <vt:lpstr>FSMinAmt98</vt:lpstr>
      <vt:lpstr>FSMinAmt99</vt:lpstr>
      <vt:lpstr>FSMinCost1</vt:lpstr>
      <vt:lpstr>FSMinCost10</vt:lpstr>
      <vt:lpstr>FSMinCost2</vt:lpstr>
      <vt:lpstr>FSMinCost3</vt:lpstr>
      <vt:lpstr>FSMinCost4</vt:lpstr>
      <vt:lpstr>FSMinCost5</vt:lpstr>
      <vt:lpstr>FSMinCost6</vt:lpstr>
      <vt:lpstr>FSMinCost7</vt:lpstr>
      <vt:lpstr>FSMinCost8</vt:lpstr>
      <vt:lpstr>FSMinCost9</vt:lpstr>
      <vt:lpstr>FSMinCostPercentage11</vt:lpstr>
      <vt:lpstr>FSMinCostPercentage12</vt:lpstr>
      <vt:lpstr>FSMinCostPercentage13</vt:lpstr>
      <vt:lpstr>FSMinCostPercentage14</vt:lpstr>
      <vt:lpstr>FSMinCostPercentage15</vt:lpstr>
      <vt:lpstr>FSMinCostPercentage21</vt:lpstr>
      <vt:lpstr>FSMinCostPercentage22</vt:lpstr>
      <vt:lpstr>FSMinCostPercentage23</vt:lpstr>
      <vt:lpstr>FSMinCostPercentage24</vt:lpstr>
      <vt:lpstr>FSMinCostPercentage25</vt:lpstr>
      <vt:lpstr>FSMinPrice1</vt:lpstr>
      <vt:lpstr>FSMinPrice10</vt:lpstr>
      <vt:lpstr>FSMinPrice2</vt:lpstr>
      <vt:lpstr>FSMinPrice3</vt:lpstr>
      <vt:lpstr>FSMinPrice4</vt:lpstr>
      <vt:lpstr>FSMinPrice5</vt:lpstr>
      <vt:lpstr>FSMinPrice6</vt:lpstr>
      <vt:lpstr>FSMinPrice7</vt:lpstr>
      <vt:lpstr>FSMinPrice8</vt:lpstr>
      <vt:lpstr>FSMinPrice9</vt:lpstr>
      <vt:lpstr>FSMinRel1</vt:lpstr>
      <vt:lpstr>FSMinRel10</vt:lpstr>
      <vt:lpstr>FSMinRel101</vt:lpstr>
      <vt:lpstr>FSMinRel1010</vt:lpstr>
      <vt:lpstr>FSMinRel102</vt:lpstr>
      <vt:lpstr>FSMinRel103</vt:lpstr>
      <vt:lpstr>FSMinRel104</vt:lpstr>
      <vt:lpstr>FSMinRel105</vt:lpstr>
      <vt:lpstr>FSMinRel106</vt:lpstr>
      <vt:lpstr>FSMinRel107</vt:lpstr>
      <vt:lpstr>FSMinRel108</vt:lpstr>
      <vt:lpstr>FSMinRel109</vt:lpstr>
      <vt:lpstr>FSMinRel2</vt:lpstr>
      <vt:lpstr>FSMinRel21</vt:lpstr>
      <vt:lpstr>FSMinRel210</vt:lpstr>
      <vt:lpstr>FSMinRel22</vt:lpstr>
      <vt:lpstr>FSMinRel23</vt:lpstr>
      <vt:lpstr>FSMinRel24</vt:lpstr>
      <vt:lpstr>FSMinRel25</vt:lpstr>
      <vt:lpstr>FSMinRel26</vt:lpstr>
      <vt:lpstr>FSMinRel27</vt:lpstr>
      <vt:lpstr>FSMinRel28</vt:lpstr>
      <vt:lpstr>FSMinRel29</vt:lpstr>
      <vt:lpstr>FSMinRel3</vt:lpstr>
      <vt:lpstr>FSMinRel31</vt:lpstr>
      <vt:lpstr>FSMinRel310</vt:lpstr>
      <vt:lpstr>FSMinRel32</vt:lpstr>
      <vt:lpstr>FSMinRel33</vt:lpstr>
      <vt:lpstr>FSMinRel34</vt:lpstr>
      <vt:lpstr>FSMinRel35</vt:lpstr>
      <vt:lpstr>FSMinRel36</vt:lpstr>
      <vt:lpstr>FSMinRel37</vt:lpstr>
      <vt:lpstr>FSMinRel38</vt:lpstr>
      <vt:lpstr>FSMinRel39</vt:lpstr>
      <vt:lpstr>FSMinRel4</vt:lpstr>
      <vt:lpstr>FSMinRel41</vt:lpstr>
      <vt:lpstr>FSMinRel410</vt:lpstr>
      <vt:lpstr>FSMinRel42</vt:lpstr>
      <vt:lpstr>FSMinRel43</vt:lpstr>
      <vt:lpstr>FSMinRel44</vt:lpstr>
      <vt:lpstr>FSMinRel45</vt:lpstr>
      <vt:lpstr>FSMinRel46</vt:lpstr>
      <vt:lpstr>FSMinRel47</vt:lpstr>
      <vt:lpstr>FSMinRel48</vt:lpstr>
      <vt:lpstr>FSMinRel49</vt:lpstr>
      <vt:lpstr>FSMinRel5</vt:lpstr>
      <vt:lpstr>FSMinRel51</vt:lpstr>
      <vt:lpstr>FSMinRel510</vt:lpstr>
      <vt:lpstr>FSMinRel52</vt:lpstr>
      <vt:lpstr>FSMinRel53</vt:lpstr>
      <vt:lpstr>FSMinRel54</vt:lpstr>
      <vt:lpstr>FSMinRel55</vt:lpstr>
      <vt:lpstr>FSMinRel56</vt:lpstr>
      <vt:lpstr>FSMinRel57</vt:lpstr>
      <vt:lpstr>FSMinRel58</vt:lpstr>
      <vt:lpstr>FSMinRel59</vt:lpstr>
      <vt:lpstr>FSMinRel6</vt:lpstr>
      <vt:lpstr>FSMinRel61</vt:lpstr>
      <vt:lpstr>FSMinRel610</vt:lpstr>
      <vt:lpstr>FSMinRel62</vt:lpstr>
      <vt:lpstr>FSMinRel63</vt:lpstr>
      <vt:lpstr>FSMinRel64</vt:lpstr>
      <vt:lpstr>FSMinRel65</vt:lpstr>
      <vt:lpstr>FSMinRel66</vt:lpstr>
      <vt:lpstr>FSMinRel67</vt:lpstr>
      <vt:lpstr>FSMinRel68</vt:lpstr>
      <vt:lpstr>FSMinRel69</vt:lpstr>
      <vt:lpstr>FSMinRel7</vt:lpstr>
      <vt:lpstr>FSMinRel71</vt:lpstr>
      <vt:lpstr>FSMinRel710</vt:lpstr>
      <vt:lpstr>FSMinRel72</vt:lpstr>
      <vt:lpstr>FSMinRel73</vt:lpstr>
      <vt:lpstr>FSMinRel74</vt:lpstr>
      <vt:lpstr>FSMinRel75</vt:lpstr>
      <vt:lpstr>FSMinRel76</vt:lpstr>
      <vt:lpstr>FSMinRel77</vt:lpstr>
      <vt:lpstr>FSMinRel78</vt:lpstr>
      <vt:lpstr>FSMinRel79</vt:lpstr>
      <vt:lpstr>FSMinRel8</vt:lpstr>
      <vt:lpstr>FSMinRel81</vt:lpstr>
      <vt:lpstr>FSMinRel810</vt:lpstr>
      <vt:lpstr>FSMinRel82</vt:lpstr>
      <vt:lpstr>FSMinRel83</vt:lpstr>
      <vt:lpstr>FSMinRel84</vt:lpstr>
      <vt:lpstr>FSMinRel85</vt:lpstr>
      <vt:lpstr>FSMinRel86</vt:lpstr>
      <vt:lpstr>FSMinRel87</vt:lpstr>
      <vt:lpstr>FSMinRel88</vt:lpstr>
      <vt:lpstr>FSMinRel89</vt:lpstr>
      <vt:lpstr>FSMinRel9</vt:lpstr>
      <vt:lpstr>FSMinRel91</vt:lpstr>
      <vt:lpstr>FSMinRel910</vt:lpstr>
      <vt:lpstr>FSMinRel92</vt:lpstr>
      <vt:lpstr>FSMinRel93</vt:lpstr>
      <vt:lpstr>FSMinRel94</vt:lpstr>
      <vt:lpstr>FSMinRel95</vt:lpstr>
      <vt:lpstr>FSMinRel96</vt:lpstr>
      <vt:lpstr>FSMinRel97</vt:lpstr>
      <vt:lpstr>FSMinRel98</vt:lpstr>
      <vt:lpstr>FSMinRel99</vt:lpstr>
      <vt:lpstr>FSMinShip1</vt:lpstr>
      <vt:lpstr>FSMinShip10</vt:lpstr>
      <vt:lpstr>FSMinShip2</vt:lpstr>
      <vt:lpstr>FSMinShip3</vt:lpstr>
      <vt:lpstr>FSMinShip4</vt:lpstr>
      <vt:lpstr>FSMinShip5</vt:lpstr>
      <vt:lpstr>FSMinShip6</vt:lpstr>
      <vt:lpstr>FSMinShip7</vt:lpstr>
      <vt:lpstr>FSMinShip8</vt:lpstr>
      <vt:lpstr>FSMinShip9</vt:lpstr>
      <vt:lpstr>FSMuCellRed1</vt:lpstr>
      <vt:lpstr>FSMuCellRed2</vt:lpstr>
      <vt:lpstr>FSOpsDesc</vt:lpstr>
      <vt:lpstr>FSOrdRelPerc1</vt:lpstr>
      <vt:lpstr>FSOrdRelPerc10</vt:lpstr>
      <vt:lpstr>FSOrdRelPerc2</vt:lpstr>
      <vt:lpstr>FSOrdRelPerc3</vt:lpstr>
      <vt:lpstr>FSOrdRelPerc4</vt:lpstr>
      <vt:lpstr>FSOrdRelPerc5</vt:lpstr>
      <vt:lpstr>FSOrdRelPerc6</vt:lpstr>
      <vt:lpstr>FSOrdRelPerc7</vt:lpstr>
      <vt:lpstr>FSOrdRelPerc8</vt:lpstr>
      <vt:lpstr>FSOrdRelPerc9</vt:lpstr>
      <vt:lpstr>FSPackAmt101</vt:lpstr>
      <vt:lpstr>FSPackAmt101A</vt:lpstr>
      <vt:lpstr>FSPackAmt11</vt:lpstr>
      <vt:lpstr>FSPackAmt11A</vt:lpstr>
      <vt:lpstr>FSPackAmt21</vt:lpstr>
      <vt:lpstr>FSPackAmt21A</vt:lpstr>
      <vt:lpstr>FSPackAmt31</vt:lpstr>
      <vt:lpstr>FSPackAmt31A</vt:lpstr>
      <vt:lpstr>FSPackAmt41</vt:lpstr>
      <vt:lpstr>FSPackAmt41A</vt:lpstr>
      <vt:lpstr>FSPackAmt51</vt:lpstr>
      <vt:lpstr>FSPackAmt51A</vt:lpstr>
      <vt:lpstr>FSPackAmt61</vt:lpstr>
      <vt:lpstr>FSPackAmt61A</vt:lpstr>
      <vt:lpstr>FSPackAmt71</vt:lpstr>
      <vt:lpstr>FSPackAmt71A</vt:lpstr>
      <vt:lpstr>FSPackAmt81</vt:lpstr>
      <vt:lpstr>FSPackAmt81A</vt:lpstr>
      <vt:lpstr>FSPackAmt91</vt:lpstr>
      <vt:lpstr>FSPackAmt91A</vt:lpstr>
      <vt:lpstr>FSPackCost1</vt:lpstr>
      <vt:lpstr>FSPackCost10</vt:lpstr>
      <vt:lpstr>FSPackCost2</vt:lpstr>
      <vt:lpstr>FSPackCost3</vt:lpstr>
      <vt:lpstr>FSPackCost4</vt:lpstr>
      <vt:lpstr>FSPackCost5</vt:lpstr>
      <vt:lpstr>FSPackCost6</vt:lpstr>
      <vt:lpstr>FSPackCost7</vt:lpstr>
      <vt:lpstr>FSPackCost8</vt:lpstr>
      <vt:lpstr>FSPackCost9</vt:lpstr>
      <vt:lpstr>FSPackCostPercentage11</vt:lpstr>
      <vt:lpstr>FSPackCostPercentage12</vt:lpstr>
      <vt:lpstr>FSPackCostPercentage13</vt:lpstr>
      <vt:lpstr>FSPackCostPercentage14</vt:lpstr>
      <vt:lpstr>FSPackCostPercentage15</vt:lpstr>
      <vt:lpstr>FSPackCostPercentage21</vt:lpstr>
      <vt:lpstr>FSPackCostPercentage22</vt:lpstr>
      <vt:lpstr>FSPackCostPercentage23</vt:lpstr>
      <vt:lpstr>FSPackCostPercentage24</vt:lpstr>
      <vt:lpstr>FSPackCostPercentage25</vt:lpstr>
      <vt:lpstr>FSPackPrice1</vt:lpstr>
      <vt:lpstr>FSPackPrice10</vt:lpstr>
      <vt:lpstr>FSPackPrice2</vt:lpstr>
      <vt:lpstr>FSPackPrice3</vt:lpstr>
      <vt:lpstr>FSPackPrice4</vt:lpstr>
      <vt:lpstr>FSPackPrice5</vt:lpstr>
      <vt:lpstr>FSPackPrice6</vt:lpstr>
      <vt:lpstr>FSPackPrice7</vt:lpstr>
      <vt:lpstr>FSPackPrice8</vt:lpstr>
      <vt:lpstr>FSPackPrice9</vt:lpstr>
      <vt:lpstr>FSPartWeight1</vt:lpstr>
      <vt:lpstr>FSPartWeight2</vt:lpstr>
      <vt:lpstr>FSPcsHrD27</vt:lpstr>
      <vt:lpstr>FSPcsHrD28</vt:lpstr>
      <vt:lpstr>FSPcsHrD29</vt:lpstr>
      <vt:lpstr>FSPcsHrD35</vt:lpstr>
      <vt:lpstr>FSPcsHrD36</vt:lpstr>
      <vt:lpstr>FSPcsHrD37</vt:lpstr>
      <vt:lpstr>FSPcsHrD38</vt:lpstr>
      <vt:lpstr>FSPcsHrD39</vt:lpstr>
      <vt:lpstr>FSPcsHrD40</vt:lpstr>
      <vt:lpstr>FSPcsHrD41</vt:lpstr>
      <vt:lpstr>FSPcsHrE27</vt:lpstr>
      <vt:lpstr>FSPcsHrE28</vt:lpstr>
      <vt:lpstr>FSPcsHrE29</vt:lpstr>
      <vt:lpstr>FSPcsHrE35</vt:lpstr>
      <vt:lpstr>FSPcsHrE36</vt:lpstr>
      <vt:lpstr>FSPcsHrE37</vt:lpstr>
      <vt:lpstr>FSPcsHrE38</vt:lpstr>
      <vt:lpstr>FSPcsHrE39</vt:lpstr>
      <vt:lpstr>FSPcsHrE40</vt:lpstr>
      <vt:lpstr>FSPcsHrE41</vt:lpstr>
      <vt:lpstr>FSPCSScr1</vt:lpstr>
      <vt:lpstr>FSPCSScr1A</vt:lpstr>
      <vt:lpstr>FSPCSScr1B</vt:lpstr>
      <vt:lpstr>FSPCSScr1C</vt:lpstr>
      <vt:lpstr>FSPCSScr1D</vt:lpstr>
      <vt:lpstr>FSPCSScr1E</vt:lpstr>
      <vt:lpstr>FSPCSScr1F</vt:lpstr>
      <vt:lpstr>FSPCSScr1G</vt:lpstr>
      <vt:lpstr>FSPCSScr1H</vt:lpstr>
      <vt:lpstr>FSPCSScr1I</vt:lpstr>
      <vt:lpstr>FSPCSScr2</vt:lpstr>
      <vt:lpstr>FSPCSScr2A</vt:lpstr>
      <vt:lpstr>FSPCSScr2B</vt:lpstr>
      <vt:lpstr>FSPCSScr2C</vt:lpstr>
      <vt:lpstr>FSPCSScr2D</vt:lpstr>
      <vt:lpstr>FSPCSScr2E</vt:lpstr>
      <vt:lpstr>FSPCSScr2F</vt:lpstr>
      <vt:lpstr>FSPCSScr2G</vt:lpstr>
      <vt:lpstr>FSPCSScr2H</vt:lpstr>
      <vt:lpstr>FSPCSScr2I</vt:lpstr>
      <vt:lpstr>FSPrCostCalc11</vt:lpstr>
      <vt:lpstr>FSPrCostCalc12</vt:lpstr>
      <vt:lpstr>FSPrCostCalc13</vt:lpstr>
      <vt:lpstr>FSPrCostCalc14</vt:lpstr>
      <vt:lpstr>FSPrCostCalc15</vt:lpstr>
      <vt:lpstr>FSPrCostCalc16</vt:lpstr>
      <vt:lpstr>FSPrCostCalc17</vt:lpstr>
      <vt:lpstr>FSPrCostCalc17A</vt:lpstr>
      <vt:lpstr>FSPrCostCalc17B</vt:lpstr>
      <vt:lpstr>FSPrCostCalc18</vt:lpstr>
      <vt:lpstr>FSPrCostCalc21</vt:lpstr>
      <vt:lpstr>FSPrCostCalc22</vt:lpstr>
      <vt:lpstr>FSPrCostCalc23</vt:lpstr>
      <vt:lpstr>FSPrCostCalc24</vt:lpstr>
      <vt:lpstr>FSPrCostCalc25</vt:lpstr>
      <vt:lpstr>FSPrCostCalc26</vt:lpstr>
      <vt:lpstr>FSPrCostCalc27</vt:lpstr>
      <vt:lpstr>FSPrCostCalc27A</vt:lpstr>
      <vt:lpstr>FSPrCostCalc27B</vt:lpstr>
      <vt:lpstr>FSPrCostCalc28</vt:lpstr>
      <vt:lpstr>FSPrePr1</vt:lpstr>
      <vt:lpstr>FSPrePr10</vt:lpstr>
      <vt:lpstr>FSPrePr2</vt:lpstr>
      <vt:lpstr>FSPrePr3</vt:lpstr>
      <vt:lpstr>FSPrePr4</vt:lpstr>
      <vt:lpstr>FSPrePr5</vt:lpstr>
      <vt:lpstr>FSPrePr6</vt:lpstr>
      <vt:lpstr>FSPrePr7</vt:lpstr>
      <vt:lpstr>FSPrePr8</vt:lpstr>
      <vt:lpstr>FSPrePr9</vt:lpstr>
      <vt:lpstr>FSPrePrWO1</vt:lpstr>
      <vt:lpstr>FSPrePrWO10</vt:lpstr>
      <vt:lpstr>FSPrePrWO2</vt:lpstr>
      <vt:lpstr>FSPrePrWO3</vt:lpstr>
      <vt:lpstr>FSPrePrWO4</vt:lpstr>
      <vt:lpstr>FSPrePrWO5</vt:lpstr>
      <vt:lpstr>FSPrePrWO6</vt:lpstr>
      <vt:lpstr>FSPrePrWO7</vt:lpstr>
      <vt:lpstr>FSPrePrWO8</vt:lpstr>
      <vt:lpstr>FSPrePrWO9</vt:lpstr>
      <vt:lpstr>FSPressCost11</vt:lpstr>
      <vt:lpstr>FSPressCost12</vt:lpstr>
      <vt:lpstr>FSPressCost13</vt:lpstr>
      <vt:lpstr>FSPressCost14</vt:lpstr>
      <vt:lpstr>FSPressCost15</vt:lpstr>
      <vt:lpstr>FSPressCost16</vt:lpstr>
      <vt:lpstr>FSPressCost17</vt:lpstr>
      <vt:lpstr>FSPressCost17A</vt:lpstr>
      <vt:lpstr>FSPressCost17B</vt:lpstr>
      <vt:lpstr>FSPressCost18</vt:lpstr>
      <vt:lpstr>FSPressCost21</vt:lpstr>
      <vt:lpstr>FSPressCost22</vt:lpstr>
      <vt:lpstr>FSPressCost23</vt:lpstr>
      <vt:lpstr>FSPressCost24</vt:lpstr>
      <vt:lpstr>FSPressCost25</vt:lpstr>
      <vt:lpstr>FSPressCost26</vt:lpstr>
      <vt:lpstr>FSPressCost27</vt:lpstr>
      <vt:lpstr>FSPressCost27A</vt:lpstr>
      <vt:lpstr>FSPressCost27B</vt:lpstr>
      <vt:lpstr>FSPressCost28</vt:lpstr>
      <vt:lpstr>FSPressCostA38</vt:lpstr>
      <vt:lpstr>FSPressCostB38</vt:lpstr>
      <vt:lpstr>FSPressCostPercentage11</vt:lpstr>
      <vt:lpstr>FSPressCostPercentage12</vt:lpstr>
      <vt:lpstr>FSPressCostPercentage13</vt:lpstr>
      <vt:lpstr>FSPressCostPercentage14</vt:lpstr>
      <vt:lpstr>FSPressCostPercentage15</vt:lpstr>
      <vt:lpstr>FSPressCostPercentage21</vt:lpstr>
      <vt:lpstr>FSPressCostPercentage22</vt:lpstr>
      <vt:lpstr>FSPressCostPercentage23</vt:lpstr>
      <vt:lpstr>FSPressCostPercentage24</vt:lpstr>
      <vt:lpstr>FSPressCostPercentage25</vt:lpstr>
      <vt:lpstr>FSPressHrs101</vt:lpstr>
      <vt:lpstr>FSPressHrs1010</vt:lpstr>
      <vt:lpstr>FSPressHrs102</vt:lpstr>
      <vt:lpstr>FSPressHrs103</vt:lpstr>
      <vt:lpstr>FSPressHrs104</vt:lpstr>
      <vt:lpstr>FSPressHrs105</vt:lpstr>
      <vt:lpstr>FSPressHrs106</vt:lpstr>
      <vt:lpstr>FSPressHrs107</vt:lpstr>
      <vt:lpstr>FSPressHrs108</vt:lpstr>
      <vt:lpstr>FSPressHrs109</vt:lpstr>
      <vt:lpstr>FSPressHrs11</vt:lpstr>
      <vt:lpstr>FSPressHrs110</vt:lpstr>
      <vt:lpstr>FSPressHrs12</vt:lpstr>
      <vt:lpstr>FSPressHrs13</vt:lpstr>
      <vt:lpstr>FSPressHrs14</vt:lpstr>
      <vt:lpstr>FSPressHrs15</vt:lpstr>
      <vt:lpstr>FSPressHrs16</vt:lpstr>
      <vt:lpstr>FSPressHrs17</vt:lpstr>
      <vt:lpstr>FSPressHrs18</vt:lpstr>
      <vt:lpstr>FSPressHrs19</vt:lpstr>
      <vt:lpstr>FSPressHrs21</vt:lpstr>
      <vt:lpstr>FSPressHrs210</vt:lpstr>
      <vt:lpstr>FSPressHrs22</vt:lpstr>
      <vt:lpstr>FSPressHrs23</vt:lpstr>
      <vt:lpstr>FSPressHrs24</vt:lpstr>
      <vt:lpstr>FSPressHrs25</vt:lpstr>
      <vt:lpstr>FSPressHrs26</vt:lpstr>
      <vt:lpstr>FSPressHrs27</vt:lpstr>
      <vt:lpstr>FSPressHrs28</vt:lpstr>
      <vt:lpstr>FSPressHrs29</vt:lpstr>
      <vt:lpstr>FSPressHrs31</vt:lpstr>
      <vt:lpstr>FSPressHrs310</vt:lpstr>
      <vt:lpstr>FSPressHrs32</vt:lpstr>
      <vt:lpstr>FSPressHrs33</vt:lpstr>
      <vt:lpstr>FSPressHrs34</vt:lpstr>
      <vt:lpstr>FSPressHrs35</vt:lpstr>
      <vt:lpstr>FSPressHrs36</vt:lpstr>
      <vt:lpstr>FSPressHrs37</vt:lpstr>
      <vt:lpstr>FSPressHrs38</vt:lpstr>
      <vt:lpstr>FSPressHrs39</vt:lpstr>
      <vt:lpstr>FSPressHrs41</vt:lpstr>
      <vt:lpstr>FSPressHrs410</vt:lpstr>
      <vt:lpstr>FSPressHrs42</vt:lpstr>
      <vt:lpstr>FSPressHrs43</vt:lpstr>
      <vt:lpstr>FSPressHrs44</vt:lpstr>
      <vt:lpstr>FSPressHrs45</vt:lpstr>
      <vt:lpstr>FSPressHrs46</vt:lpstr>
      <vt:lpstr>FSPressHrs47</vt:lpstr>
      <vt:lpstr>FSPressHrs48</vt:lpstr>
      <vt:lpstr>FSPressHrs49</vt:lpstr>
      <vt:lpstr>FSPressHrs51</vt:lpstr>
      <vt:lpstr>FSPressHrs510</vt:lpstr>
      <vt:lpstr>FSPressHrs52</vt:lpstr>
      <vt:lpstr>FSPressHrs53</vt:lpstr>
      <vt:lpstr>FSPressHrs54</vt:lpstr>
      <vt:lpstr>FSPressHrs55</vt:lpstr>
      <vt:lpstr>FSPressHrs56</vt:lpstr>
      <vt:lpstr>FSPressHrs57</vt:lpstr>
      <vt:lpstr>FSPressHrs58</vt:lpstr>
      <vt:lpstr>FSPressHrs59</vt:lpstr>
      <vt:lpstr>FSPressHrs61</vt:lpstr>
      <vt:lpstr>FSPressHrs610</vt:lpstr>
      <vt:lpstr>FSPressHrs62</vt:lpstr>
      <vt:lpstr>FSPressHrs63</vt:lpstr>
      <vt:lpstr>FSPressHrs64</vt:lpstr>
      <vt:lpstr>FSPressHrs65</vt:lpstr>
      <vt:lpstr>FSPressHrs66</vt:lpstr>
      <vt:lpstr>FSPressHrs67</vt:lpstr>
      <vt:lpstr>FSPressHrs68</vt:lpstr>
      <vt:lpstr>FSPressHrs69</vt:lpstr>
      <vt:lpstr>FSPressHrs71</vt:lpstr>
      <vt:lpstr>FSPressHrs710</vt:lpstr>
      <vt:lpstr>FSPressHrs72</vt:lpstr>
      <vt:lpstr>FSPressHrs73</vt:lpstr>
      <vt:lpstr>FSPressHrs74</vt:lpstr>
      <vt:lpstr>FSPressHrs75</vt:lpstr>
      <vt:lpstr>FSPressHrs76</vt:lpstr>
      <vt:lpstr>FSPressHrs77</vt:lpstr>
      <vt:lpstr>FSPressHrs78</vt:lpstr>
      <vt:lpstr>FSPressHrs79</vt:lpstr>
      <vt:lpstr>FSPressHrs81</vt:lpstr>
      <vt:lpstr>FSPressHrs810</vt:lpstr>
      <vt:lpstr>FSPressHrs82</vt:lpstr>
      <vt:lpstr>FSPressHrs83</vt:lpstr>
      <vt:lpstr>FSPressHrs84</vt:lpstr>
      <vt:lpstr>FSPressHrs85</vt:lpstr>
      <vt:lpstr>FSPressHrs86</vt:lpstr>
      <vt:lpstr>FSPressHrs87</vt:lpstr>
      <vt:lpstr>FSPressHrs88</vt:lpstr>
      <vt:lpstr>FSPressHrs89</vt:lpstr>
      <vt:lpstr>FSPressHrs91</vt:lpstr>
      <vt:lpstr>FSPressHrs910</vt:lpstr>
      <vt:lpstr>FSPressHrs92</vt:lpstr>
      <vt:lpstr>FSPressHrs93</vt:lpstr>
      <vt:lpstr>FSPressHrs94</vt:lpstr>
      <vt:lpstr>FSPressHrs95</vt:lpstr>
      <vt:lpstr>FSPressHrs96</vt:lpstr>
      <vt:lpstr>FSPressHrs97</vt:lpstr>
      <vt:lpstr>FSPressHrs98</vt:lpstr>
      <vt:lpstr>FSPressHrs99</vt:lpstr>
      <vt:lpstr>FSPressInd1</vt:lpstr>
      <vt:lpstr>FSPressInd10</vt:lpstr>
      <vt:lpstr>FSPressInd101</vt:lpstr>
      <vt:lpstr>FSPressInd1010</vt:lpstr>
      <vt:lpstr>FSPressInd102</vt:lpstr>
      <vt:lpstr>FSPressInd103</vt:lpstr>
      <vt:lpstr>FSPressInd104</vt:lpstr>
      <vt:lpstr>FSPressInd105</vt:lpstr>
      <vt:lpstr>FSPressInd106</vt:lpstr>
      <vt:lpstr>FSPressInd107</vt:lpstr>
      <vt:lpstr>FSPressInd108</vt:lpstr>
      <vt:lpstr>FSPressInd109</vt:lpstr>
      <vt:lpstr>FSPressInd2</vt:lpstr>
      <vt:lpstr>FSPressInd21</vt:lpstr>
      <vt:lpstr>FSPressInd210</vt:lpstr>
      <vt:lpstr>FSPressInd22</vt:lpstr>
      <vt:lpstr>FSPressInd23</vt:lpstr>
      <vt:lpstr>FSPressInd24</vt:lpstr>
      <vt:lpstr>FSPressInd25</vt:lpstr>
      <vt:lpstr>FSPressInd26</vt:lpstr>
      <vt:lpstr>FSPressInd27</vt:lpstr>
      <vt:lpstr>FSPressInd28</vt:lpstr>
      <vt:lpstr>FSPressInd29</vt:lpstr>
      <vt:lpstr>FSPressInd3</vt:lpstr>
      <vt:lpstr>FSPressInd31</vt:lpstr>
      <vt:lpstr>FSPressInd310</vt:lpstr>
      <vt:lpstr>FSPressInd32</vt:lpstr>
      <vt:lpstr>FSPressInd33</vt:lpstr>
      <vt:lpstr>FSPressInd34</vt:lpstr>
      <vt:lpstr>FSPressInd35</vt:lpstr>
      <vt:lpstr>FSPressInd36</vt:lpstr>
      <vt:lpstr>FSPressInd37</vt:lpstr>
      <vt:lpstr>FSPressInd38</vt:lpstr>
      <vt:lpstr>FSPressInd39</vt:lpstr>
      <vt:lpstr>FSPressInd4</vt:lpstr>
      <vt:lpstr>FSPressInd41</vt:lpstr>
      <vt:lpstr>FSPressInd410</vt:lpstr>
      <vt:lpstr>FSPressInd42</vt:lpstr>
      <vt:lpstr>FSPressInd43</vt:lpstr>
      <vt:lpstr>FSPressInd44</vt:lpstr>
      <vt:lpstr>FSPressInd45</vt:lpstr>
      <vt:lpstr>FSPressInd46</vt:lpstr>
      <vt:lpstr>FSPressInd47</vt:lpstr>
      <vt:lpstr>FSPressInd48</vt:lpstr>
      <vt:lpstr>FSPressInd49</vt:lpstr>
      <vt:lpstr>FSPressInd5</vt:lpstr>
      <vt:lpstr>FSPressInd51</vt:lpstr>
      <vt:lpstr>FSPressInd510</vt:lpstr>
      <vt:lpstr>FSPressInd52</vt:lpstr>
      <vt:lpstr>FSPressInd53</vt:lpstr>
      <vt:lpstr>FSPressInd54</vt:lpstr>
      <vt:lpstr>FSPressInd55</vt:lpstr>
      <vt:lpstr>FSPressInd56</vt:lpstr>
      <vt:lpstr>FSPressInd57</vt:lpstr>
      <vt:lpstr>FSPressInd58</vt:lpstr>
      <vt:lpstr>FSPressInd59</vt:lpstr>
      <vt:lpstr>FSPressInd6</vt:lpstr>
      <vt:lpstr>FSPressInd61</vt:lpstr>
      <vt:lpstr>FSPressInd610</vt:lpstr>
      <vt:lpstr>FSPressInd62</vt:lpstr>
      <vt:lpstr>FSPressInd63</vt:lpstr>
      <vt:lpstr>FSPressInd64</vt:lpstr>
      <vt:lpstr>FSPressInd65</vt:lpstr>
      <vt:lpstr>FSPressInd66</vt:lpstr>
      <vt:lpstr>FSPressInd67</vt:lpstr>
      <vt:lpstr>FSPressInd68</vt:lpstr>
      <vt:lpstr>FSPressInd69</vt:lpstr>
      <vt:lpstr>FSPressInd7</vt:lpstr>
      <vt:lpstr>FSPressInd71</vt:lpstr>
      <vt:lpstr>FSPressInd710</vt:lpstr>
      <vt:lpstr>FSPressInd72</vt:lpstr>
      <vt:lpstr>FSPressInd73</vt:lpstr>
      <vt:lpstr>FSPressInd74</vt:lpstr>
      <vt:lpstr>FSPressInd75</vt:lpstr>
      <vt:lpstr>FSPressInd76</vt:lpstr>
      <vt:lpstr>FSPressInd77</vt:lpstr>
      <vt:lpstr>FSPressInd78</vt:lpstr>
      <vt:lpstr>FSPressInd79</vt:lpstr>
      <vt:lpstr>FSPressInd8</vt:lpstr>
      <vt:lpstr>FSPressInd81</vt:lpstr>
      <vt:lpstr>FSPressInd810</vt:lpstr>
      <vt:lpstr>FSPressInd82</vt:lpstr>
      <vt:lpstr>FSPressInd83</vt:lpstr>
      <vt:lpstr>FSPressInd84</vt:lpstr>
      <vt:lpstr>FSPressInd85</vt:lpstr>
      <vt:lpstr>FSPressInd86</vt:lpstr>
      <vt:lpstr>FSPressInd87</vt:lpstr>
      <vt:lpstr>FSPressInd88</vt:lpstr>
      <vt:lpstr>FSPressInd89</vt:lpstr>
      <vt:lpstr>FSPressInd9</vt:lpstr>
      <vt:lpstr>FSPressInd91</vt:lpstr>
      <vt:lpstr>FSPressInd910</vt:lpstr>
      <vt:lpstr>FSPressInd92</vt:lpstr>
      <vt:lpstr>FSPressInd93</vt:lpstr>
      <vt:lpstr>FSPressInd94</vt:lpstr>
      <vt:lpstr>FSPressInd95</vt:lpstr>
      <vt:lpstr>FSPressInd96</vt:lpstr>
      <vt:lpstr>FSPressInd97</vt:lpstr>
      <vt:lpstr>FSPressInd98</vt:lpstr>
      <vt:lpstr>FSPressInd99</vt:lpstr>
      <vt:lpstr>FSPressSales1</vt:lpstr>
      <vt:lpstr>FSPressSales10</vt:lpstr>
      <vt:lpstr>FSPressSales2</vt:lpstr>
      <vt:lpstr>FSPressSales3</vt:lpstr>
      <vt:lpstr>FSPressSales4</vt:lpstr>
      <vt:lpstr>FSPressSales5</vt:lpstr>
      <vt:lpstr>FSPressSales6</vt:lpstr>
      <vt:lpstr>FSPressSales7</vt:lpstr>
      <vt:lpstr>FSPressSales8</vt:lpstr>
      <vt:lpstr>FSPressSales9</vt:lpstr>
      <vt:lpstr>FSPressShotSize1</vt:lpstr>
      <vt:lpstr>FSPressShotSize2</vt:lpstr>
      <vt:lpstr>FSPrice1</vt:lpstr>
      <vt:lpstr>FSPrice10</vt:lpstr>
      <vt:lpstr>FSPrice2</vt:lpstr>
      <vt:lpstr>FSPrice3</vt:lpstr>
      <vt:lpstr>FSPrice4</vt:lpstr>
      <vt:lpstr>FSPrice5</vt:lpstr>
      <vt:lpstr>FSPrice6</vt:lpstr>
      <vt:lpstr>FSPrice7</vt:lpstr>
      <vt:lpstr>FSPrice8</vt:lpstr>
      <vt:lpstr>FSPrice9</vt:lpstr>
      <vt:lpstr>FSPriceAdj1</vt:lpstr>
      <vt:lpstr>FSPriceAdj10</vt:lpstr>
      <vt:lpstr>FSPriceAdj2</vt:lpstr>
      <vt:lpstr>FSPriceAdj3</vt:lpstr>
      <vt:lpstr>FSPriceAdj4</vt:lpstr>
      <vt:lpstr>FSPriceAdj5</vt:lpstr>
      <vt:lpstr>FSPriceAdj6</vt:lpstr>
      <vt:lpstr>FSPriceAdj7</vt:lpstr>
      <vt:lpstr>FSPriceAdj8</vt:lpstr>
      <vt:lpstr>FSPriceAdj9</vt:lpstr>
      <vt:lpstr>FSPrsIndLogTest1</vt:lpstr>
      <vt:lpstr>FSPrsIndLogTest10</vt:lpstr>
      <vt:lpstr>FSPrsIndLogTest101</vt:lpstr>
      <vt:lpstr>FSPrsIndLogTest1010</vt:lpstr>
      <vt:lpstr>FSPrsIndLogTest102</vt:lpstr>
      <vt:lpstr>FSPrsIndLogTest103</vt:lpstr>
      <vt:lpstr>FSPrsIndLogTest104</vt:lpstr>
      <vt:lpstr>FSPrsIndLogTest105</vt:lpstr>
      <vt:lpstr>FSPrsIndLogTest106</vt:lpstr>
      <vt:lpstr>FSPrsIndLogTest107</vt:lpstr>
      <vt:lpstr>FSPrsIndLogTest108</vt:lpstr>
      <vt:lpstr>FSPrsIndLogTest109</vt:lpstr>
      <vt:lpstr>FSPrsIndLogTest2</vt:lpstr>
      <vt:lpstr>FSPrsIndLogTest21</vt:lpstr>
      <vt:lpstr>FSPrsIndLogTest210</vt:lpstr>
      <vt:lpstr>FSPrsIndLogTest22</vt:lpstr>
      <vt:lpstr>FSPrsIndLogTest23</vt:lpstr>
      <vt:lpstr>FSPrsIndLogTest24</vt:lpstr>
      <vt:lpstr>FSPrsIndLogTest25</vt:lpstr>
      <vt:lpstr>FSPrsIndLogTest26</vt:lpstr>
      <vt:lpstr>FSPrsIndLogTest27</vt:lpstr>
      <vt:lpstr>FSPrsIndLogTest28</vt:lpstr>
      <vt:lpstr>FSPrsIndLogTest29</vt:lpstr>
      <vt:lpstr>FSPrsIndLogTest3</vt:lpstr>
      <vt:lpstr>FSPrsIndLogTest31</vt:lpstr>
      <vt:lpstr>FSPrsIndLogTest310</vt:lpstr>
      <vt:lpstr>FSPrsIndLogTest32</vt:lpstr>
      <vt:lpstr>FSPrsIndLogTest33</vt:lpstr>
      <vt:lpstr>FSPrsIndLogTest34</vt:lpstr>
      <vt:lpstr>FSPrsIndLogTest35</vt:lpstr>
      <vt:lpstr>FSPrsIndLogTest36</vt:lpstr>
      <vt:lpstr>FSPrsIndLogTest37</vt:lpstr>
      <vt:lpstr>FSPrsIndLogTest38</vt:lpstr>
      <vt:lpstr>FSPrsIndLogTest39</vt:lpstr>
      <vt:lpstr>FSPrsIndLogTest4</vt:lpstr>
      <vt:lpstr>FSPrsIndLogTest41</vt:lpstr>
      <vt:lpstr>FSPrsIndLogTest410</vt:lpstr>
      <vt:lpstr>FSPrsIndLogTest42</vt:lpstr>
      <vt:lpstr>FSPrsIndLogTest43</vt:lpstr>
      <vt:lpstr>FSPrsIndLogTest44</vt:lpstr>
      <vt:lpstr>FSPrsIndLogTest45</vt:lpstr>
      <vt:lpstr>FSPrsIndLogTest46</vt:lpstr>
      <vt:lpstr>FSPrsIndLogTest47</vt:lpstr>
      <vt:lpstr>FSPrsIndLogTest48</vt:lpstr>
      <vt:lpstr>FSPrsIndLogTest49</vt:lpstr>
      <vt:lpstr>FSPrsIndLogTest5</vt:lpstr>
      <vt:lpstr>FSPrsIndLogTest51</vt:lpstr>
      <vt:lpstr>FSPrsIndLogTest510</vt:lpstr>
      <vt:lpstr>FSPrsIndLogTest52</vt:lpstr>
      <vt:lpstr>FSPrsIndLogTest53</vt:lpstr>
      <vt:lpstr>FSPrsIndLogTest54</vt:lpstr>
      <vt:lpstr>FSPrsIndLogTest55</vt:lpstr>
      <vt:lpstr>FSPrsIndLogTest56</vt:lpstr>
      <vt:lpstr>FSPrsIndLogTest57</vt:lpstr>
      <vt:lpstr>FSPrsIndLogTest58</vt:lpstr>
      <vt:lpstr>FSPrsIndLogTest59</vt:lpstr>
      <vt:lpstr>FSPrsIndLogTest6</vt:lpstr>
      <vt:lpstr>FSPrsIndLogTest61</vt:lpstr>
      <vt:lpstr>FSPrsIndLogTest610</vt:lpstr>
      <vt:lpstr>FSPrsIndLogTest62</vt:lpstr>
      <vt:lpstr>FSPrsIndLogTest63</vt:lpstr>
      <vt:lpstr>FSPrsIndLogTest64</vt:lpstr>
      <vt:lpstr>FSPrsIndLogTest65</vt:lpstr>
      <vt:lpstr>FSPrsIndLogTest66</vt:lpstr>
      <vt:lpstr>FSPrsIndLogTest67</vt:lpstr>
      <vt:lpstr>FSPrsIndLogTest68</vt:lpstr>
      <vt:lpstr>FSPrsIndLogTest69</vt:lpstr>
      <vt:lpstr>FSPrsIndLogTest7</vt:lpstr>
      <vt:lpstr>FSPrsIndLogTest71</vt:lpstr>
      <vt:lpstr>FSPrsIndLogTest710</vt:lpstr>
      <vt:lpstr>FSPrsIndLogTest72</vt:lpstr>
      <vt:lpstr>FSPrsIndLogTest73</vt:lpstr>
      <vt:lpstr>FSPrsIndLogTest74</vt:lpstr>
      <vt:lpstr>FSPrsIndLogTest75</vt:lpstr>
      <vt:lpstr>FSPrsIndLogTest76</vt:lpstr>
      <vt:lpstr>FSPrsIndLogTest77</vt:lpstr>
      <vt:lpstr>FSPrsIndLogTest78</vt:lpstr>
      <vt:lpstr>FSPrsIndLogTest79</vt:lpstr>
      <vt:lpstr>FSPrsIndLogTest8</vt:lpstr>
      <vt:lpstr>FSPrsIndLogTest81</vt:lpstr>
      <vt:lpstr>FSPrsIndLogTest810</vt:lpstr>
      <vt:lpstr>FSPrsIndLogTest82</vt:lpstr>
      <vt:lpstr>FSPrsIndLogTest83</vt:lpstr>
      <vt:lpstr>FSPrsIndLogTest84</vt:lpstr>
      <vt:lpstr>FSPrsIndLogTest85</vt:lpstr>
      <vt:lpstr>FSPrsIndLogTest86</vt:lpstr>
      <vt:lpstr>FSPrsIndLogTest87</vt:lpstr>
      <vt:lpstr>FSPrsIndLogTest88</vt:lpstr>
      <vt:lpstr>FSPrsIndLogTest89</vt:lpstr>
      <vt:lpstr>FSPrsIndLogTest9</vt:lpstr>
      <vt:lpstr>FSPrsIndLogTest91</vt:lpstr>
      <vt:lpstr>FSPrsIndLogTest910</vt:lpstr>
      <vt:lpstr>FSPrsIndLogTest92</vt:lpstr>
      <vt:lpstr>FSPrsIndLogTest93</vt:lpstr>
      <vt:lpstr>FSPrsIndLogTest94</vt:lpstr>
      <vt:lpstr>FSPrsIndLogTest95</vt:lpstr>
      <vt:lpstr>FSPrsIndLogTest96</vt:lpstr>
      <vt:lpstr>FSPrsIndLogTest97</vt:lpstr>
      <vt:lpstr>FSPrsIndLogTest98</vt:lpstr>
      <vt:lpstr>FSPrsIndLogTest99</vt:lpstr>
      <vt:lpstr>FSPrsList1</vt:lpstr>
      <vt:lpstr>FSPrsList10</vt:lpstr>
      <vt:lpstr>FSPrsList11</vt:lpstr>
      <vt:lpstr>FSPrsList16</vt:lpstr>
      <vt:lpstr>FSPrsList17</vt:lpstr>
      <vt:lpstr>FSPrsList18</vt:lpstr>
      <vt:lpstr>FSPrsList19</vt:lpstr>
      <vt:lpstr>FSPrsList2</vt:lpstr>
      <vt:lpstr>FSPrsList20</vt:lpstr>
      <vt:lpstr>FSPrsList21</vt:lpstr>
      <vt:lpstr>FSPrsList22</vt:lpstr>
      <vt:lpstr>FSPrsList23</vt:lpstr>
      <vt:lpstr>FSPrsList24</vt:lpstr>
      <vt:lpstr>FSPrsList25</vt:lpstr>
      <vt:lpstr>FSPrsList26</vt:lpstr>
      <vt:lpstr>FSPrsList3</vt:lpstr>
      <vt:lpstr>FSPrsList4</vt:lpstr>
      <vt:lpstr>FSPrsList5</vt:lpstr>
      <vt:lpstr>FSPrsList6</vt:lpstr>
      <vt:lpstr>FSPrsList7</vt:lpstr>
      <vt:lpstr>FSPrsList8</vt:lpstr>
      <vt:lpstr>FSPrsList9</vt:lpstr>
      <vt:lpstr>FSRatio1</vt:lpstr>
      <vt:lpstr>FSRatio10</vt:lpstr>
      <vt:lpstr>FSRatio2</vt:lpstr>
      <vt:lpstr>FSRatio3</vt:lpstr>
      <vt:lpstr>FSRatio4</vt:lpstr>
      <vt:lpstr>FSRatio5</vt:lpstr>
      <vt:lpstr>FSRatio6</vt:lpstr>
      <vt:lpstr>FSRatio7</vt:lpstr>
      <vt:lpstr>FSRatio8</vt:lpstr>
      <vt:lpstr>FSRatio9</vt:lpstr>
      <vt:lpstr>FSRecalcShotSize1</vt:lpstr>
      <vt:lpstr>FSRecalcShotSize2</vt:lpstr>
      <vt:lpstr>FSReduction1</vt:lpstr>
      <vt:lpstr>FSReduction10</vt:lpstr>
      <vt:lpstr>FSReduction2</vt:lpstr>
      <vt:lpstr>FSReduction3</vt:lpstr>
      <vt:lpstr>FSReduction4</vt:lpstr>
      <vt:lpstr>FSReduction5</vt:lpstr>
      <vt:lpstr>FSReduction6</vt:lpstr>
      <vt:lpstr>FSReduction7</vt:lpstr>
      <vt:lpstr>FSReduction8</vt:lpstr>
      <vt:lpstr>FSReduction9</vt:lpstr>
      <vt:lpstr>FSRegrind1</vt:lpstr>
      <vt:lpstr>FSRegrind2</vt:lpstr>
      <vt:lpstr>FSRepCost1</vt:lpstr>
      <vt:lpstr>FSRepCost10</vt:lpstr>
      <vt:lpstr>FSRepCost2</vt:lpstr>
      <vt:lpstr>FSRepCost3</vt:lpstr>
      <vt:lpstr>FSRepCost4</vt:lpstr>
      <vt:lpstr>FSRepCost5</vt:lpstr>
      <vt:lpstr>FSRepCost6</vt:lpstr>
      <vt:lpstr>FSRepCost7</vt:lpstr>
      <vt:lpstr>FSRepCost8</vt:lpstr>
      <vt:lpstr>FSRepCost9</vt:lpstr>
      <vt:lpstr>FSResinCostPercentage11</vt:lpstr>
      <vt:lpstr>FSResinCostPercentage12</vt:lpstr>
      <vt:lpstr>FSResinCostPercentage13</vt:lpstr>
      <vt:lpstr>FSResinCostPercentage14</vt:lpstr>
      <vt:lpstr>FSResinCostPercentage15</vt:lpstr>
      <vt:lpstr>FSResinCostPercentage21</vt:lpstr>
      <vt:lpstr>FSResinCostPercentage22</vt:lpstr>
      <vt:lpstr>FSResinCostPercentage23</vt:lpstr>
      <vt:lpstr>FSResinCostPercentage24</vt:lpstr>
      <vt:lpstr>FSResinCostPercentage25</vt:lpstr>
      <vt:lpstr>FSResinTest11</vt:lpstr>
      <vt:lpstr>FSResinTest110</vt:lpstr>
      <vt:lpstr>FSResinTest110A</vt:lpstr>
      <vt:lpstr>FSResinTest110B</vt:lpstr>
      <vt:lpstr>FSResinTest11A</vt:lpstr>
      <vt:lpstr>FSResinTest11B</vt:lpstr>
      <vt:lpstr>FSResinTest12</vt:lpstr>
      <vt:lpstr>FSResinTest12A</vt:lpstr>
      <vt:lpstr>FSResinTest12B</vt:lpstr>
      <vt:lpstr>FSResinTest13</vt:lpstr>
      <vt:lpstr>FSResinTest13A</vt:lpstr>
      <vt:lpstr>FSResinTest13B</vt:lpstr>
      <vt:lpstr>FSResinTest14</vt:lpstr>
      <vt:lpstr>FSResinTest14A</vt:lpstr>
      <vt:lpstr>FSResinTest14B</vt:lpstr>
      <vt:lpstr>FSResinTest15</vt:lpstr>
      <vt:lpstr>FSResinTest15A</vt:lpstr>
      <vt:lpstr>FSResinTest15B</vt:lpstr>
      <vt:lpstr>FSResinTest16</vt:lpstr>
      <vt:lpstr>FSResinTest16A</vt:lpstr>
      <vt:lpstr>FSResinTest16B</vt:lpstr>
      <vt:lpstr>FSResinTest17</vt:lpstr>
      <vt:lpstr>FSResinTest17A</vt:lpstr>
      <vt:lpstr>FSResinTest17B</vt:lpstr>
      <vt:lpstr>FSResinTest18</vt:lpstr>
      <vt:lpstr>FSResinTest18A</vt:lpstr>
      <vt:lpstr>FSResinTest18B</vt:lpstr>
      <vt:lpstr>FSResinTest19</vt:lpstr>
      <vt:lpstr>FSResinTest19A</vt:lpstr>
      <vt:lpstr>FSResinTest19B</vt:lpstr>
      <vt:lpstr>FSResinTest21</vt:lpstr>
      <vt:lpstr>FSResinTest210</vt:lpstr>
      <vt:lpstr>FSResinTest210A</vt:lpstr>
      <vt:lpstr>FSResinTest210B</vt:lpstr>
      <vt:lpstr>FSResinTest21A</vt:lpstr>
      <vt:lpstr>FSResinTest21B</vt:lpstr>
      <vt:lpstr>FSResinTest22</vt:lpstr>
      <vt:lpstr>FSResinTest22A</vt:lpstr>
      <vt:lpstr>FSResinTest22B</vt:lpstr>
      <vt:lpstr>FSResinTest23</vt:lpstr>
      <vt:lpstr>FSResinTest23A</vt:lpstr>
      <vt:lpstr>FSResinTest23B</vt:lpstr>
      <vt:lpstr>FSResinTest24</vt:lpstr>
      <vt:lpstr>FSResinTest24A</vt:lpstr>
      <vt:lpstr>FSResinTest24B</vt:lpstr>
      <vt:lpstr>FSResinTest25</vt:lpstr>
      <vt:lpstr>FSResinTest25A</vt:lpstr>
      <vt:lpstr>FSResinTest25B</vt:lpstr>
      <vt:lpstr>FSResinTest26</vt:lpstr>
      <vt:lpstr>FSResinTest26A</vt:lpstr>
      <vt:lpstr>FSResinTest26B</vt:lpstr>
      <vt:lpstr>FSResinTest27</vt:lpstr>
      <vt:lpstr>FSResinTest27A</vt:lpstr>
      <vt:lpstr>FSResinTest27B</vt:lpstr>
      <vt:lpstr>FSResinTest28</vt:lpstr>
      <vt:lpstr>FSResinTest28A</vt:lpstr>
      <vt:lpstr>FSResinTest28B</vt:lpstr>
      <vt:lpstr>FSResinTest29</vt:lpstr>
      <vt:lpstr>FSResinTest29A</vt:lpstr>
      <vt:lpstr>FSResinTest29B</vt:lpstr>
      <vt:lpstr>FSResinTest31</vt:lpstr>
      <vt:lpstr>FSResinTest310</vt:lpstr>
      <vt:lpstr>FSResinTest310A</vt:lpstr>
      <vt:lpstr>FSResinTest310B</vt:lpstr>
      <vt:lpstr>FSResinTest31A</vt:lpstr>
      <vt:lpstr>FSResinTest31B</vt:lpstr>
      <vt:lpstr>FSResinTest32</vt:lpstr>
      <vt:lpstr>FSResinTest32A</vt:lpstr>
      <vt:lpstr>FSResinTest32B</vt:lpstr>
      <vt:lpstr>FSResinTest33</vt:lpstr>
      <vt:lpstr>FSResinTest33A</vt:lpstr>
      <vt:lpstr>FSResinTest33B</vt:lpstr>
      <vt:lpstr>FSResinTest34</vt:lpstr>
      <vt:lpstr>FSResinTest34A</vt:lpstr>
      <vt:lpstr>FSResinTest34B</vt:lpstr>
      <vt:lpstr>FSResinTest35</vt:lpstr>
      <vt:lpstr>FSResinTest35A</vt:lpstr>
      <vt:lpstr>FSResinTest35B</vt:lpstr>
      <vt:lpstr>FSResinTest36</vt:lpstr>
      <vt:lpstr>FSResinTest36A</vt:lpstr>
      <vt:lpstr>FSResinTest36B</vt:lpstr>
      <vt:lpstr>FSResinTest37</vt:lpstr>
      <vt:lpstr>FSResinTest37A</vt:lpstr>
      <vt:lpstr>FSResinTest37B</vt:lpstr>
      <vt:lpstr>FSResinTest38</vt:lpstr>
      <vt:lpstr>FSResinTest38A</vt:lpstr>
      <vt:lpstr>FSResinTest38B</vt:lpstr>
      <vt:lpstr>FSResinTest39</vt:lpstr>
      <vt:lpstr>FSResinTest39A</vt:lpstr>
      <vt:lpstr>FSResinTest39B</vt:lpstr>
      <vt:lpstr>FSResinTest41</vt:lpstr>
      <vt:lpstr>FSResinTest410</vt:lpstr>
      <vt:lpstr>FSResinTest410A</vt:lpstr>
      <vt:lpstr>FSResinTest410B</vt:lpstr>
      <vt:lpstr>FSResinTest411</vt:lpstr>
      <vt:lpstr>FSResinTest411A</vt:lpstr>
      <vt:lpstr>FSResinTest411B</vt:lpstr>
      <vt:lpstr>FSResinTest412</vt:lpstr>
      <vt:lpstr>FSResinTest412A</vt:lpstr>
      <vt:lpstr>FSResinTest412B</vt:lpstr>
      <vt:lpstr>FSResinTest413</vt:lpstr>
      <vt:lpstr>FSResinTest413A</vt:lpstr>
      <vt:lpstr>FSResinTest413B</vt:lpstr>
      <vt:lpstr>FSResinTest414</vt:lpstr>
      <vt:lpstr>FSResinTest414A</vt:lpstr>
      <vt:lpstr>FSResinTest414B</vt:lpstr>
      <vt:lpstr>FSResinTest415</vt:lpstr>
      <vt:lpstr>FSResinTest415A</vt:lpstr>
      <vt:lpstr>FSResinTest415B</vt:lpstr>
      <vt:lpstr>FSResinTest41A</vt:lpstr>
      <vt:lpstr>FSResinTest41B</vt:lpstr>
      <vt:lpstr>FSResinTest42</vt:lpstr>
      <vt:lpstr>FSResinTest42A</vt:lpstr>
      <vt:lpstr>FSResinTest42B</vt:lpstr>
      <vt:lpstr>FSResinTest43</vt:lpstr>
      <vt:lpstr>FSResinTest43A</vt:lpstr>
      <vt:lpstr>FSResinTest43B</vt:lpstr>
      <vt:lpstr>FSResinTest44</vt:lpstr>
      <vt:lpstr>FSResinTest44A</vt:lpstr>
      <vt:lpstr>FSResinTest44B</vt:lpstr>
      <vt:lpstr>FSResinTest45</vt:lpstr>
      <vt:lpstr>FSResinTest45A</vt:lpstr>
      <vt:lpstr>FSResinTest45B</vt:lpstr>
      <vt:lpstr>FSResinTest46</vt:lpstr>
      <vt:lpstr>FSResinTest46A</vt:lpstr>
      <vt:lpstr>FSResinTest46B</vt:lpstr>
      <vt:lpstr>FSResinTest47</vt:lpstr>
      <vt:lpstr>FSResinTest47A</vt:lpstr>
      <vt:lpstr>FSResinTest47B</vt:lpstr>
      <vt:lpstr>FSResinTest48</vt:lpstr>
      <vt:lpstr>FSResinTest48A</vt:lpstr>
      <vt:lpstr>FSResinTest48B</vt:lpstr>
      <vt:lpstr>FSResinTest49</vt:lpstr>
      <vt:lpstr>FSResinTest49A</vt:lpstr>
      <vt:lpstr>FSResinTest49B</vt:lpstr>
      <vt:lpstr>FSResinTotQty</vt:lpstr>
      <vt:lpstr>FSResinTotQty1</vt:lpstr>
      <vt:lpstr>FSResRel1</vt:lpstr>
      <vt:lpstr>FSResRel10</vt:lpstr>
      <vt:lpstr>FSResRel2</vt:lpstr>
      <vt:lpstr>FSResRel3</vt:lpstr>
      <vt:lpstr>FSResRel4</vt:lpstr>
      <vt:lpstr>FSResRel5</vt:lpstr>
      <vt:lpstr>FSResRel6</vt:lpstr>
      <vt:lpstr>FSResRel7</vt:lpstr>
      <vt:lpstr>FSResRel8</vt:lpstr>
      <vt:lpstr>FSResRel9</vt:lpstr>
      <vt:lpstr>FSResSales1</vt:lpstr>
      <vt:lpstr>FSResSales10</vt:lpstr>
      <vt:lpstr>FSResSales2</vt:lpstr>
      <vt:lpstr>FSResSales3</vt:lpstr>
      <vt:lpstr>FSResSales4</vt:lpstr>
      <vt:lpstr>FSResSales5</vt:lpstr>
      <vt:lpstr>FSResSales6</vt:lpstr>
      <vt:lpstr>FSResSales7</vt:lpstr>
      <vt:lpstr>FSResSales8</vt:lpstr>
      <vt:lpstr>FSResSales9</vt:lpstr>
      <vt:lpstr>FSRevisedFinalPrice1</vt:lpstr>
      <vt:lpstr>FSRevisedFinalPrice10</vt:lpstr>
      <vt:lpstr>FSRevisedFinalPrice2</vt:lpstr>
      <vt:lpstr>FSRevisedFinalPrice3</vt:lpstr>
      <vt:lpstr>FSRevisedFinalPrice4</vt:lpstr>
      <vt:lpstr>FSRevisedFinalPrice5</vt:lpstr>
      <vt:lpstr>FSRevisedFinalPrice6</vt:lpstr>
      <vt:lpstr>FSRevisedFinalPrice7</vt:lpstr>
      <vt:lpstr>FSRevisedFinalPrice8</vt:lpstr>
      <vt:lpstr>FSRevisedFinalPrice9</vt:lpstr>
      <vt:lpstr>FSRevMargin1</vt:lpstr>
      <vt:lpstr>FSRevMargin10</vt:lpstr>
      <vt:lpstr>FSRevMargin2</vt:lpstr>
      <vt:lpstr>FSRevMargin3</vt:lpstr>
      <vt:lpstr>FSRevMargin4</vt:lpstr>
      <vt:lpstr>FSRevMargin5</vt:lpstr>
      <vt:lpstr>FSRevMargin6</vt:lpstr>
      <vt:lpstr>FSRevMargin7</vt:lpstr>
      <vt:lpstr>FSRevMargin8</vt:lpstr>
      <vt:lpstr>FSRevMargin9</vt:lpstr>
      <vt:lpstr>FSRobotCost1</vt:lpstr>
      <vt:lpstr>FSRobotCost10</vt:lpstr>
      <vt:lpstr>FSRobotCost2</vt:lpstr>
      <vt:lpstr>FSRobotCost3</vt:lpstr>
      <vt:lpstr>FSRobotCost4</vt:lpstr>
      <vt:lpstr>FSRobotCost5</vt:lpstr>
      <vt:lpstr>FSRobotCost6</vt:lpstr>
      <vt:lpstr>FSRobotCost7</vt:lpstr>
      <vt:lpstr>FSRobotCost8</vt:lpstr>
      <vt:lpstr>FSRobotCost9</vt:lpstr>
      <vt:lpstr>FSRobotCostPercentage11</vt:lpstr>
      <vt:lpstr>FSRobotCostPercentage12</vt:lpstr>
      <vt:lpstr>FSRobotCostPercentage13</vt:lpstr>
      <vt:lpstr>FSRobotCostPercentage14</vt:lpstr>
      <vt:lpstr>FSRobotCostPercentage15</vt:lpstr>
      <vt:lpstr>FSRobotCostPercentage21</vt:lpstr>
      <vt:lpstr>FSRobotCostPercentage22</vt:lpstr>
      <vt:lpstr>FSRobotCostPercentage23</vt:lpstr>
      <vt:lpstr>FSRobotCostPercentage24</vt:lpstr>
      <vt:lpstr>FSRobotCostPercentage25</vt:lpstr>
      <vt:lpstr>FSRobotPrice1</vt:lpstr>
      <vt:lpstr>FSRobotPrice10</vt:lpstr>
      <vt:lpstr>FSRobotPrice2</vt:lpstr>
      <vt:lpstr>FSRobotPrice3</vt:lpstr>
      <vt:lpstr>FSRobotPrice4</vt:lpstr>
      <vt:lpstr>FSRobotPrice5</vt:lpstr>
      <vt:lpstr>FSRobotPrice6</vt:lpstr>
      <vt:lpstr>FSRobotPrice7</vt:lpstr>
      <vt:lpstr>FSRobotPrice8</vt:lpstr>
      <vt:lpstr>FSRobotPrice9</vt:lpstr>
      <vt:lpstr>FSRobotTest1</vt:lpstr>
      <vt:lpstr>FSRobotTest10</vt:lpstr>
      <vt:lpstr>FSRobotTest2</vt:lpstr>
      <vt:lpstr>FSRobotTest3</vt:lpstr>
      <vt:lpstr>FSRobotTest4</vt:lpstr>
      <vt:lpstr>FSRobotTest5</vt:lpstr>
      <vt:lpstr>FSRobotTest6</vt:lpstr>
      <vt:lpstr>FSRobotTest7</vt:lpstr>
      <vt:lpstr>FSRobotTest8</vt:lpstr>
      <vt:lpstr>FSRobotTest9</vt:lpstr>
      <vt:lpstr>FSRunCalcCIV1</vt:lpstr>
      <vt:lpstr>FSRunCalcCIV2</vt:lpstr>
      <vt:lpstr>FSRunCalcDia</vt:lpstr>
      <vt:lpstr>FSRunCalcLgth</vt:lpstr>
      <vt:lpstr>FSRunCalcLgth1</vt:lpstr>
      <vt:lpstr>FSRunnerWt1</vt:lpstr>
      <vt:lpstr>FSRunnerWt2</vt:lpstr>
      <vt:lpstr>FSRunWtCalc1</vt:lpstr>
      <vt:lpstr>FSRunWtCalc2</vt:lpstr>
      <vt:lpstr>FSScn1TotPcs</vt:lpstr>
      <vt:lpstr>FSScn2TotPcs</vt:lpstr>
      <vt:lpstr>FSScrap1</vt:lpstr>
      <vt:lpstr>FSScrap2</vt:lpstr>
      <vt:lpstr>FSSetUp1</vt:lpstr>
      <vt:lpstr>FSSetUp10</vt:lpstr>
      <vt:lpstr>FSSetUp2</vt:lpstr>
      <vt:lpstr>FSSetUp3</vt:lpstr>
      <vt:lpstr>FSSetUp4</vt:lpstr>
      <vt:lpstr>FSSetUp5</vt:lpstr>
      <vt:lpstr>FSSetUp6</vt:lpstr>
      <vt:lpstr>FSSetUp7</vt:lpstr>
      <vt:lpstr>FSSetUp8</vt:lpstr>
      <vt:lpstr>FSSetUp9</vt:lpstr>
      <vt:lpstr>FSShotSize1</vt:lpstr>
      <vt:lpstr>FSShotSize2</vt:lpstr>
      <vt:lpstr>FSShotSizeA1</vt:lpstr>
      <vt:lpstr>FSShotSizeA2</vt:lpstr>
      <vt:lpstr>FSShotSizeComparison1</vt:lpstr>
      <vt:lpstr>FSShotSizeComparison2</vt:lpstr>
      <vt:lpstr>FSSpecPack</vt:lpstr>
      <vt:lpstr>FSSpecPack1</vt:lpstr>
      <vt:lpstr>FSSpecPackCost</vt:lpstr>
      <vt:lpstr>FSSpecPackCost1</vt:lpstr>
      <vt:lpstr>FSSpecPackCost2</vt:lpstr>
      <vt:lpstr>FSSpecPackCostA</vt:lpstr>
      <vt:lpstr>FSSpecPackPrice1</vt:lpstr>
      <vt:lpstr>FSSpecPackPrice2</vt:lpstr>
      <vt:lpstr>FSSprueFactor1</vt:lpstr>
      <vt:lpstr>FSSprueFactor2</vt:lpstr>
      <vt:lpstr>FSTargetMar1</vt:lpstr>
      <vt:lpstr>FSTargetMar10</vt:lpstr>
      <vt:lpstr>FSTargetMar2</vt:lpstr>
      <vt:lpstr>FSTargetMar3</vt:lpstr>
      <vt:lpstr>FSTargetMar4</vt:lpstr>
      <vt:lpstr>FSTargetMar5</vt:lpstr>
      <vt:lpstr>FSTargetMar6</vt:lpstr>
      <vt:lpstr>FSTargetMar7</vt:lpstr>
      <vt:lpstr>FSTargetMar8</vt:lpstr>
      <vt:lpstr>FSTargetMar9</vt:lpstr>
      <vt:lpstr>FStmCostPercentage11</vt:lpstr>
      <vt:lpstr>FStmCostPercentage12</vt:lpstr>
      <vt:lpstr>FStmCostPercentage13</vt:lpstr>
      <vt:lpstr>FStmCostPercentage14</vt:lpstr>
      <vt:lpstr>FStmCostPercentage15</vt:lpstr>
      <vt:lpstr>FStmCostPercentage21</vt:lpstr>
      <vt:lpstr>FStmCostPercentage22</vt:lpstr>
      <vt:lpstr>FStmCostPercentage23</vt:lpstr>
      <vt:lpstr>FStmCostPercentage24</vt:lpstr>
      <vt:lpstr>FStmCostPercentage25</vt:lpstr>
      <vt:lpstr>FSToolMaint11</vt:lpstr>
      <vt:lpstr>FSToolMaint12</vt:lpstr>
      <vt:lpstr>FSToolMaint13</vt:lpstr>
      <vt:lpstr>FSToolMaint14</vt:lpstr>
      <vt:lpstr>FSToolMaint15</vt:lpstr>
      <vt:lpstr>FSToolMaint16</vt:lpstr>
      <vt:lpstr>FSToolMaint17</vt:lpstr>
      <vt:lpstr>FSToolMaint17A</vt:lpstr>
      <vt:lpstr>FSToolMaint17B</vt:lpstr>
      <vt:lpstr>FSToolMaint18</vt:lpstr>
      <vt:lpstr>FSToolMaint21</vt:lpstr>
      <vt:lpstr>FSToolMaint22</vt:lpstr>
      <vt:lpstr>FSToolMaint23</vt:lpstr>
      <vt:lpstr>FSToolMaint24</vt:lpstr>
      <vt:lpstr>FSToolMaint25</vt:lpstr>
      <vt:lpstr>FSToolMaint26</vt:lpstr>
      <vt:lpstr>FSToolMaint27</vt:lpstr>
      <vt:lpstr>FSToolMaint27A</vt:lpstr>
      <vt:lpstr>FSToolMaint27B</vt:lpstr>
      <vt:lpstr>FSToolMaint28</vt:lpstr>
      <vt:lpstr>FSToolMaintCost11</vt:lpstr>
      <vt:lpstr>FSToolMaintCost12</vt:lpstr>
      <vt:lpstr>FSToolMaintCost13</vt:lpstr>
      <vt:lpstr>FSToolMaintCost14</vt:lpstr>
      <vt:lpstr>FSToolMaintCost15</vt:lpstr>
      <vt:lpstr>FSToolMaintCost16</vt:lpstr>
      <vt:lpstr>FSToolMaintCost17</vt:lpstr>
      <vt:lpstr>FSToolMaintCost17A</vt:lpstr>
      <vt:lpstr>FSToolMaintCost17B</vt:lpstr>
      <vt:lpstr>FSToolMaintCost18</vt:lpstr>
      <vt:lpstr>FSToolMaintCost21</vt:lpstr>
      <vt:lpstr>FSToolMaintCost22</vt:lpstr>
      <vt:lpstr>FSToolMaintCost23</vt:lpstr>
      <vt:lpstr>FSToolMaintCost24</vt:lpstr>
      <vt:lpstr>FSToolMaintCost25</vt:lpstr>
      <vt:lpstr>FSToolMaintCost26</vt:lpstr>
      <vt:lpstr>FSToolMaintCost27</vt:lpstr>
      <vt:lpstr>FSToolMaintCost27A</vt:lpstr>
      <vt:lpstr>FSToolMaintCost27B</vt:lpstr>
      <vt:lpstr>FSToolMaintCost28</vt:lpstr>
      <vt:lpstr>FSToolMaintCostTot1</vt:lpstr>
      <vt:lpstr>FSToolMaintCostTot2</vt:lpstr>
      <vt:lpstr>FSToolPrice1</vt:lpstr>
      <vt:lpstr>FSToolPrice2</vt:lpstr>
      <vt:lpstr>FSTotBOJ43</vt:lpstr>
      <vt:lpstr>FSTotBOJ44</vt:lpstr>
      <vt:lpstr>FSTotBOJ58</vt:lpstr>
      <vt:lpstr>FSTotBOJ59</vt:lpstr>
      <vt:lpstr>FSTotBOK43</vt:lpstr>
      <vt:lpstr>FSTotBOK44</vt:lpstr>
      <vt:lpstr>FSTotBOK58</vt:lpstr>
      <vt:lpstr>FSTotBOK59</vt:lpstr>
      <vt:lpstr>FSTotBOL43</vt:lpstr>
      <vt:lpstr>FSTotBOL44</vt:lpstr>
      <vt:lpstr>FSTotBOL58</vt:lpstr>
      <vt:lpstr>FSTotBOL59</vt:lpstr>
      <vt:lpstr>FSTotBOM43</vt:lpstr>
      <vt:lpstr>FSTotBOM44</vt:lpstr>
      <vt:lpstr>FSTotBOM58</vt:lpstr>
      <vt:lpstr>FSTotBOM59</vt:lpstr>
      <vt:lpstr>FSTotBON43</vt:lpstr>
      <vt:lpstr>FSTotBON44</vt:lpstr>
      <vt:lpstr>FSTotBON58</vt:lpstr>
      <vt:lpstr>FSTotBON59</vt:lpstr>
      <vt:lpstr>FSTotBurriedPack1</vt:lpstr>
      <vt:lpstr>FSTotBurriedPack2</vt:lpstr>
      <vt:lpstr>FSTotHrs1</vt:lpstr>
      <vt:lpstr>FSTotHrs10</vt:lpstr>
      <vt:lpstr>FSTotHrs2</vt:lpstr>
      <vt:lpstr>FSTotHrs3</vt:lpstr>
      <vt:lpstr>FSTotHrs4</vt:lpstr>
      <vt:lpstr>FSTotHrs5</vt:lpstr>
      <vt:lpstr>FSTotHrs6</vt:lpstr>
      <vt:lpstr>FSTotHrs7</vt:lpstr>
      <vt:lpstr>FSTotHrs8</vt:lpstr>
      <vt:lpstr>FSTotHrs9</vt:lpstr>
      <vt:lpstr>FSTotMatJ13</vt:lpstr>
      <vt:lpstr>FSTotMatJ14</vt:lpstr>
      <vt:lpstr>FSTotMatJ28</vt:lpstr>
      <vt:lpstr>FSTotMatJ29</vt:lpstr>
      <vt:lpstr>FSTotMatK13</vt:lpstr>
      <vt:lpstr>FSTotMatK14</vt:lpstr>
      <vt:lpstr>FSTotMatK28</vt:lpstr>
      <vt:lpstr>FSTotMatK29</vt:lpstr>
      <vt:lpstr>FSTotMatL13</vt:lpstr>
      <vt:lpstr>FSTotMatL14</vt:lpstr>
      <vt:lpstr>FSTotMatL28</vt:lpstr>
      <vt:lpstr>FSTotMatL29</vt:lpstr>
      <vt:lpstr>FSTotMatM13</vt:lpstr>
      <vt:lpstr>FSTotMatM14</vt:lpstr>
      <vt:lpstr>FSTotMatM28</vt:lpstr>
      <vt:lpstr>FSTotMatM29</vt:lpstr>
      <vt:lpstr>FSTotMatN13</vt:lpstr>
      <vt:lpstr>FSTotMatN14</vt:lpstr>
      <vt:lpstr>FSTotMatN28</vt:lpstr>
      <vt:lpstr>FSTotMatN29</vt:lpstr>
      <vt:lpstr>FSTotMin1</vt:lpstr>
      <vt:lpstr>FSTotMin2</vt:lpstr>
      <vt:lpstr>FSTotMinRel1</vt:lpstr>
      <vt:lpstr>FSTotMinRel10</vt:lpstr>
      <vt:lpstr>FSTotMinRel2</vt:lpstr>
      <vt:lpstr>FSTotMinRel3</vt:lpstr>
      <vt:lpstr>FSTotMinRel4</vt:lpstr>
      <vt:lpstr>FSTotMinRel5</vt:lpstr>
      <vt:lpstr>FSTotMinRel6</vt:lpstr>
      <vt:lpstr>FSTotMinRel7</vt:lpstr>
      <vt:lpstr>FSTotMinRel8</vt:lpstr>
      <vt:lpstr>FSTotMinRel9</vt:lpstr>
      <vt:lpstr>FSTotRes1</vt:lpstr>
      <vt:lpstr>FSTotRes10</vt:lpstr>
      <vt:lpstr>FSTotRes2</vt:lpstr>
      <vt:lpstr>FSTotRes3</vt:lpstr>
      <vt:lpstr>FSTotRes4</vt:lpstr>
      <vt:lpstr>FSTotRes5</vt:lpstr>
      <vt:lpstr>FSTotRes6</vt:lpstr>
      <vt:lpstr>FSTotRes7</vt:lpstr>
      <vt:lpstr>FSTotRes8</vt:lpstr>
      <vt:lpstr>FSTotRes9</vt:lpstr>
      <vt:lpstr>FSVAHour1</vt:lpstr>
      <vt:lpstr>FSVAHour10</vt:lpstr>
      <vt:lpstr>FSVAHour2</vt:lpstr>
      <vt:lpstr>FSVAHour3</vt:lpstr>
      <vt:lpstr>FSVAHour4</vt:lpstr>
      <vt:lpstr>FSVAHour5</vt:lpstr>
      <vt:lpstr>FSVAHour6</vt:lpstr>
      <vt:lpstr>FSVAHour7</vt:lpstr>
      <vt:lpstr>FSVAHour8</vt:lpstr>
      <vt:lpstr>FSVAHour9</vt:lpstr>
      <vt:lpstr>FSWgtCIVol</vt:lpstr>
      <vt:lpstr>FSWgtMetricVol</vt:lpstr>
      <vt:lpstr>GFLADDER1</vt:lpstr>
      <vt:lpstr>GFLADDER2</vt:lpstr>
      <vt:lpstr>GFLFactor1</vt:lpstr>
      <vt:lpstr>GFLFactor2</vt:lpstr>
      <vt:lpstr>GFLFlag</vt:lpstr>
      <vt:lpstr>GFLMultiplier</vt:lpstr>
      <vt:lpstr>GFLOnNoteA</vt:lpstr>
      <vt:lpstr>GFLOnNoteAA</vt:lpstr>
      <vt:lpstr>GFLOnNoteAAA</vt:lpstr>
      <vt:lpstr>Hierarchy1</vt:lpstr>
      <vt:lpstr>Hierarchy2</vt:lpstr>
      <vt:lpstr>Hierarchy3</vt:lpstr>
      <vt:lpstr>HotRunner1</vt:lpstr>
      <vt:lpstr>HotRunner10</vt:lpstr>
      <vt:lpstr>HotRunner2</vt:lpstr>
      <vt:lpstr>HotRunner3</vt:lpstr>
      <vt:lpstr>HotRunner4</vt:lpstr>
      <vt:lpstr>HotRunner5</vt:lpstr>
      <vt:lpstr>HotRunner6</vt:lpstr>
      <vt:lpstr>HotRunner7</vt:lpstr>
      <vt:lpstr>HotRunner8</vt:lpstr>
      <vt:lpstr>HotRunner9</vt:lpstr>
      <vt:lpstr>HotRunnerFlag</vt:lpstr>
      <vt:lpstr>HRSFactor</vt:lpstr>
      <vt:lpstr>IntNote250</vt:lpstr>
      <vt:lpstr>LogTestMat1</vt:lpstr>
      <vt:lpstr>LogTestMat10</vt:lpstr>
      <vt:lpstr>LogTestMat2</vt:lpstr>
      <vt:lpstr>LogTestMat3</vt:lpstr>
      <vt:lpstr>LogTestMat4</vt:lpstr>
      <vt:lpstr>LogTestMat5</vt:lpstr>
      <vt:lpstr>LogTestMat6</vt:lpstr>
      <vt:lpstr>LogTestMat7</vt:lpstr>
      <vt:lpstr>LogTestMat8</vt:lpstr>
      <vt:lpstr>LogTestMat9</vt:lpstr>
      <vt:lpstr>MarketCodes</vt:lpstr>
      <vt:lpstr>Mat10</vt:lpstr>
      <vt:lpstr>Mat102</vt:lpstr>
      <vt:lpstr>Mat103</vt:lpstr>
      <vt:lpstr>Mat104</vt:lpstr>
      <vt:lpstr>Mat105</vt:lpstr>
      <vt:lpstr>Mat11</vt:lpstr>
      <vt:lpstr>Mat112</vt:lpstr>
      <vt:lpstr>Mat113</vt:lpstr>
      <vt:lpstr>Mat114</vt:lpstr>
      <vt:lpstr>Mat115</vt:lpstr>
      <vt:lpstr>Mat12</vt:lpstr>
      <vt:lpstr>Mat122</vt:lpstr>
      <vt:lpstr>Mat123</vt:lpstr>
      <vt:lpstr>Mat124</vt:lpstr>
      <vt:lpstr>Mat125</vt:lpstr>
      <vt:lpstr>Mat13</vt:lpstr>
      <vt:lpstr>Mat132</vt:lpstr>
      <vt:lpstr>Mat133</vt:lpstr>
      <vt:lpstr>Mat134</vt:lpstr>
      <vt:lpstr>Mat135</vt:lpstr>
      <vt:lpstr>Mat14</vt:lpstr>
      <vt:lpstr>Mat142</vt:lpstr>
      <vt:lpstr>Mat143</vt:lpstr>
      <vt:lpstr>Mat144</vt:lpstr>
      <vt:lpstr>Mat145</vt:lpstr>
      <vt:lpstr>Mat15</vt:lpstr>
      <vt:lpstr>Mat152</vt:lpstr>
      <vt:lpstr>Mat153</vt:lpstr>
      <vt:lpstr>Mat154</vt:lpstr>
      <vt:lpstr>Mat155</vt:lpstr>
      <vt:lpstr>Mat6</vt:lpstr>
      <vt:lpstr>Mat62</vt:lpstr>
      <vt:lpstr>Mat63</vt:lpstr>
      <vt:lpstr>Mat64</vt:lpstr>
      <vt:lpstr>Mat65</vt:lpstr>
      <vt:lpstr>Mat7</vt:lpstr>
      <vt:lpstr>Mat72</vt:lpstr>
      <vt:lpstr>Mat73</vt:lpstr>
      <vt:lpstr>Mat74</vt:lpstr>
      <vt:lpstr>Mat75</vt:lpstr>
      <vt:lpstr>Mat8</vt:lpstr>
      <vt:lpstr>Mat82</vt:lpstr>
      <vt:lpstr>Mat83</vt:lpstr>
      <vt:lpstr>Mat84</vt:lpstr>
      <vt:lpstr>Mat85</vt:lpstr>
      <vt:lpstr>Mat9</vt:lpstr>
      <vt:lpstr>Mat92</vt:lpstr>
      <vt:lpstr>Mat93</vt:lpstr>
      <vt:lpstr>Mat94</vt:lpstr>
      <vt:lpstr>Mat95</vt:lpstr>
      <vt:lpstr>MatFive</vt:lpstr>
      <vt:lpstr>MatFive2</vt:lpstr>
      <vt:lpstr>MatFive3</vt:lpstr>
      <vt:lpstr>MatFive4</vt:lpstr>
      <vt:lpstr>MatFive5</vt:lpstr>
      <vt:lpstr>MatFour</vt:lpstr>
      <vt:lpstr>MatFour2</vt:lpstr>
      <vt:lpstr>MatFour3</vt:lpstr>
      <vt:lpstr>MatFour4</vt:lpstr>
      <vt:lpstr>MatFour5</vt:lpstr>
      <vt:lpstr>Matl10Req</vt:lpstr>
      <vt:lpstr>Matl11Req</vt:lpstr>
      <vt:lpstr>Matl12Req</vt:lpstr>
      <vt:lpstr>Matl13Req</vt:lpstr>
      <vt:lpstr>Matl14Req</vt:lpstr>
      <vt:lpstr>Matl15Req</vt:lpstr>
      <vt:lpstr>Matl6Req</vt:lpstr>
      <vt:lpstr>Matl7Req</vt:lpstr>
      <vt:lpstr>Matl8Req</vt:lpstr>
      <vt:lpstr>Matl9Req</vt:lpstr>
      <vt:lpstr>MatlfiveReq</vt:lpstr>
      <vt:lpstr>MatlfourReq</vt:lpstr>
      <vt:lpstr>MatlOneReq</vt:lpstr>
      <vt:lpstr>MatlThreeReq</vt:lpstr>
      <vt:lpstr>MatlTwoReq</vt:lpstr>
      <vt:lpstr>MatOne</vt:lpstr>
      <vt:lpstr>MatOne2</vt:lpstr>
      <vt:lpstr>MatOne3</vt:lpstr>
      <vt:lpstr>MatOne4</vt:lpstr>
      <vt:lpstr>MatOne5</vt:lpstr>
      <vt:lpstr>MatThree</vt:lpstr>
      <vt:lpstr>MatThree2</vt:lpstr>
      <vt:lpstr>MatThree3</vt:lpstr>
      <vt:lpstr>MatThree4</vt:lpstr>
      <vt:lpstr>MatThree5</vt:lpstr>
      <vt:lpstr>MatTwo</vt:lpstr>
      <vt:lpstr>MatTwo2</vt:lpstr>
      <vt:lpstr>MatTwo3</vt:lpstr>
      <vt:lpstr>MatTwo4</vt:lpstr>
      <vt:lpstr>MatTwo5</vt:lpstr>
      <vt:lpstr>MDMoldType</vt:lpstr>
      <vt:lpstr>MDPlantList</vt:lpstr>
      <vt:lpstr>MinRel1</vt:lpstr>
      <vt:lpstr>MinRel10</vt:lpstr>
      <vt:lpstr>MinRel2</vt:lpstr>
      <vt:lpstr>MinRel3</vt:lpstr>
      <vt:lpstr>MinRel4</vt:lpstr>
      <vt:lpstr>MinRel5</vt:lpstr>
      <vt:lpstr>MinRel6</vt:lpstr>
      <vt:lpstr>MinRel7</vt:lpstr>
      <vt:lpstr>MinRel8</vt:lpstr>
      <vt:lpstr>MinRel9</vt:lpstr>
      <vt:lpstr>MinRelFlag</vt:lpstr>
      <vt:lpstr>MinShip1</vt:lpstr>
      <vt:lpstr>MinShip10</vt:lpstr>
      <vt:lpstr>MinShip2</vt:lpstr>
      <vt:lpstr>MinShip3</vt:lpstr>
      <vt:lpstr>MinShip4</vt:lpstr>
      <vt:lpstr>MinShip5</vt:lpstr>
      <vt:lpstr>MinShip6</vt:lpstr>
      <vt:lpstr>MinShip7</vt:lpstr>
      <vt:lpstr>MinShip8</vt:lpstr>
      <vt:lpstr>MinShip9</vt:lpstr>
      <vt:lpstr>MinShipFlag</vt:lpstr>
      <vt:lpstr>MuCell1</vt:lpstr>
      <vt:lpstr>MuCell2</vt:lpstr>
      <vt:lpstr>MucellFactor11</vt:lpstr>
      <vt:lpstr>MucellFactor12</vt:lpstr>
      <vt:lpstr>MuCellFlag</vt:lpstr>
      <vt:lpstr>MuCellNote</vt:lpstr>
      <vt:lpstr>MuCellNoteA</vt:lpstr>
      <vt:lpstr>Notes142</vt:lpstr>
      <vt:lpstr>Notes158</vt:lpstr>
      <vt:lpstr>NotesAmort1</vt:lpstr>
      <vt:lpstr>NotesAmort2</vt:lpstr>
      <vt:lpstr>NotesGearStart</vt:lpstr>
      <vt:lpstr>NotesInsertEnd</vt:lpstr>
      <vt:lpstr>NotesInsertStart</vt:lpstr>
      <vt:lpstr>NotesPAEnd</vt:lpstr>
      <vt:lpstr>NotesPAStart</vt:lpstr>
      <vt:lpstr>NotesProtoEnd</vt:lpstr>
      <vt:lpstr>NotesProtoStart</vt:lpstr>
      <vt:lpstr>OtherSheets</vt:lpstr>
      <vt:lpstr>PartWeight</vt:lpstr>
      <vt:lpstr>PFAddr</vt:lpstr>
      <vt:lpstr>PFCitySt</vt:lpstr>
      <vt:lpstr>PFCustAttn</vt:lpstr>
      <vt:lpstr>PFCustName</vt:lpstr>
      <vt:lpstr>PFPOBox</vt:lpstr>
      <vt:lpstr>PFSalutation</vt:lpstr>
      <vt:lpstr>Plant2101Rate</vt:lpstr>
      <vt:lpstr>Plant2101ToolRate</vt:lpstr>
      <vt:lpstr>Plant2103Rate</vt:lpstr>
      <vt:lpstr>Plant2103ToolRate</vt:lpstr>
      <vt:lpstr>Plant2104Note</vt:lpstr>
      <vt:lpstr>Plant2104Rate</vt:lpstr>
      <vt:lpstr>Plant2104ToolRate</vt:lpstr>
      <vt:lpstr>PrePr1</vt:lpstr>
      <vt:lpstr>PrePr10</vt:lpstr>
      <vt:lpstr>PrePr2</vt:lpstr>
      <vt:lpstr>PrePr21</vt:lpstr>
      <vt:lpstr>PrePr210</vt:lpstr>
      <vt:lpstr>PrePr22</vt:lpstr>
      <vt:lpstr>PrePr23</vt:lpstr>
      <vt:lpstr>PrePr24</vt:lpstr>
      <vt:lpstr>PrePr25</vt:lpstr>
      <vt:lpstr>PrePr26</vt:lpstr>
      <vt:lpstr>PrePr27</vt:lpstr>
      <vt:lpstr>PrePr28</vt:lpstr>
      <vt:lpstr>PrePr29</vt:lpstr>
      <vt:lpstr>PrePr3</vt:lpstr>
      <vt:lpstr>PrePr4</vt:lpstr>
      <vt:lpstr>PrePr5</vt:lpstr>
      <vt:lpstr>PrePr6</vt:lpstr>
      <vt:lpstr>PrePr7</vt:lpstr>
      <vt:lpstr>PrePr8</vt:lpstr>
      <vt:lpstr>PrePr9</vt:lpstr>
      <vt:lpstr>Press1</vt:lpstr>
      <vt:lpstr>Press10</vt:lpstr>
      <vt:lpstr>Press2</vt:lpstr>
      <vt:lpstr>Press2101</vt:lpstr>
      <vt:lpstr>Press2103</vt:lpstr>
      <vt:lpstr>Press2104</vt:lpstr>
      <vt:lpstr>Press2104A</vt:lpstr>
      <vt:lpstr>Press3</vt:lpstr>
      <vt:lpstr>Press4</vt:lpstr>
      <vt:lpstr>Press5</vt:lpstr>
      <vt:lpstr>Press6</vt:lpstr>
      <vt:lpstr>Press7</vt:lpstr>
      <vt:lpstr>Press8</vt:lpstr>
      <vt:lpstr>Press9</vt:lpstr>
      <vt:lpstr>PressList</vt:lpstr>
      <vt:lpstr>PriceAdjuster1</vt:lpstr>
      <vt:lpstr>PriceAdjuster12</vt:lpstr>
      <vt:lpstr>PriceAdjuster13</vt:lpstr>
      <vt:lpstr>PriceAdjuster14</vt:lpstr>
      <vt:lpstr>PriceAdjuster15</vt:lpstr>
      <vt:lpstr>PriceAdjuster2</vt:lpstr>
      <vt:lpstr>PriceAdjuster22</vt:lpstr>
      <vt:lpstr>PriceAdjuster23</vt:lpstr>
      <vt:lpstr>PriceAdjuster24</vt:lpstr>
      <vt:lpstr>PriceAdjuster25</vt:lpstr>
      <vt:lpstr>'Autoliv Mold Cost Breakdown'!Print_Area</vt:lpstr>
      <vt:lpstr>'Cost Breakdown'!Print_Area</vt:lpstr>
      <vt:lpstr>'Cost Breakdown Two'!Print_Area</vt:lpstr>
      <vt:lpstr>PrintSecurityEnd</vt:lpstr>
      <vt:lpstr>PrintSecurityEndA</vt:lpstr>
      <vt:lpstr>PrintSecurityStart</vt:lpstr>
      <vt:lpstr>PrintSecurityStartA</vt:lpstr>
      <vt:lpstr>PRList</vt:lpstr>
      <vt:lpstr>ProjAnalNotesStart</vt:lpstr>
      <vt:lpstr>PRPackAmt</vt:lpstr>
      <vt:lpstr>PRPackAmt1</vt:lpstr>
      <vt:lpstr>PRPackAmt1A</vt:lpstr>
      <vt:lpstr>PSPack</vt:lpstr>
      <vt:lpstr>PSPackArray</vt:lpstr>
      <vt:lpstr>PSPackDol</vt:lpstr>
      <vt:lpstr>QEAmortAmt1</vt:lpstr>
      <vt:lpstr>QEAmortAmt2</vt:lpstr>
      <vt:lpstr>QEAmortYears</vt:lpstr>
      <vt:lpstr>QEAnnSale1</vt:lpstr>
      <vt:lpstr>QEAnnSale10</vt:lpstr>
      <vt:lpstr>QEAnnSale2</vt:lpstr>
      <vt:lpstr>QEAnnSale3</vt:lpstr>
      <vt:lpstr>QEAnnSale4</vt:lpstr>
      <vt:lpstr>QEAnnSale5</vt:lpstr>
      <vt:lpstr>QEAnnSale6</vt:lpstr>
      <vt:lpstr>QEAnnSale7</vt:lpstr>
      <vt:lpstr>QEAnnSale8</vt:lpstr>
      <vt:lpstr>QEAnnSale9</vt:lpstr>
      <vt:lpstr>QEAutoCost1</vt:lpstr>
      <vt:lpstr>QEAutoCost2</vt:lpstr>
      <vt:lpstr>QEAutomationCost</vt:lpstr>
      <vt:lpstr>QEAutomationCost2</vt:lpstr>
      <vt:lpstr>QEAutoPrice1</vt:lpstr>
      <vt:lpstr>QEAutoPrice2</vt:lpstr>
      <vt:lpstr>QEB90</vt:lpstr>
      <vt:lpstr>QEBurriedPack1</vt:lpstr>
      <vt:lpstr>QEBurriedPack2</vt:lpstr>
      <vt:lpstr>QEBuyout</vt:lpstr>
      <vt:lpstr>QEC90</vt:lpstr>
      <vt:lpstr>QECalcMar1</vt:lpstr>
      <vt:lpstr>QECalcMar10</vt:lpstr>
      <vt:lpstr>QECalcMar2</vt:lpstr>
      <vt:lpstr>QECalcMar3</vt:lpstr>
      <vt:lpstr>QECalcMar4</vt:lpstr>
      <vt:lpstr>QECalcMar5</vt:lpstr>
      <vt:lpstr>QECalcMar6</vt:lpstr>
      <vt:lpstr>QECalcMar7</vt:lpstr>
      <vt:lpstr>QECalcMar8</vt:lpstr>
      <vt:lpstr>QECalcMar9</vt:lpstr>
      <vt:lpstr>QECavPrs1</vt:lpstr>
      <vt:lpstr>QECavPrs10</vt:lpstr>
      <vt:lpstr>QECavPrs2</vt:lpstr>
      <vt:lpstr>QECavPrs21</vt:lpstr>
      <vt:lpstr>QECavPrs210</vt:lpstr>
      <vt:lpstr>QECavPrs22</vt:lpstr>
      <vt:lpstr>QECavPrs23</vt:lpstr>
      <vt:lpstr>QECavPrs24</vt:lpstr>
      <vt:lpstr>QECavPrs25</vt:lpstr>
      <vt:lpstr>QECavPrs26</vt:lpstr>
      <vt:lpstr>QECavPrs27</vt:lpstr>
      <vt:lpstr>QECavPrs28</vt:lpstr>
      <vt:lpstr>QECavPrs29</vt:lpstr>
      <vt:lpstr>QECavPrs3</vt:lpstr>
      <vt:lpstr>QECavPrs4</vt:lpstr>
      <vt:lpstr>QECavPrs5</vt:lpstr>
      <vt:lpstr>QECavPrs6</vt:lpstr>
      <vt:lpstr>QECavPrs7</vt:lpstr>
      <vt:lpstr>QECavPrs8</vt:lpstr>
      <vt:lpstr>QECavPrs9</vt:lpstr>
      <vt:lpstr>QECommVal</vt:lpstr>
      <vt:lpstr>QECustAttn</vt:lpstr>
      <vt:lpstr>QECustFax</vt:lpstr>
      <vt:lpstr>QECustInq</vt:lpstr>
      <vt:lpstr>QECustName</vt:lpstr>
      <vt:lpstr>QECustNum</vt:lpstr>
      <vt:lpstr>QECustPhone</vt:lpstr>
      <vt:lpstr>QECycle1</vt:lpstr>
      <vt:lpstr>QECycle10</vt:lpstr>
      <vt:lpstr>QECycle2</vt:lpstr>
      <vt:lpstr>QECycle3</vt:lpstr>
      <vt:lpstr>QECycle4</vt:lpstr>
      <vt:lpstr>QECycle5</vt:lpstr>
      <vt:lpstr>QECycle6</vt:lpstr>
      <vt:lpstr>QECycle7</vt:lpstr>
      <vt:lpstr>QECycle8</vt:lpstr>
      <vt:lpstr>QECycle9</vt:lpstr>
      <vt:lpstr>QEDateDue</vt:lpstr>
      <vt:lpstr>QEDateRec</vt:lpstr>
      <vt:lpstr>QEDeselect1</vt:lpstr>
      <vt:lpstr>QEDeselect10</vt:lpstr>
      <vt:lpstr>QEDeselect2</vt:lpstr>
      <vt:lpstr>QEDeselect3</vt:lpstr>
      <vt:lpstr>QEDeselect4</vt:lpstr>
      <vt:lpstr>QEDeselect5</vt:lpstr>
      <vt:lpstr>QEDeselect6</vt:lpstr>
      <vt:lpstr>QEDeselect7</vt:lpstr>
      <vt:lpstr>QEDeselect8</vt:lpstr>
      <vt:lpstr>QEDeselect9</vt:lpstr>
      <vt:lpstr>QEEndReport</vt:lpstr>
      <vt:lpstr>QEEst</vt:lpstr>
      <vt:lpstr>QEEstMoldPrice1</vt:lpstr>
      <vt:lpstr>QEEstMoldPrice2</vt:lpstr>
      <vt:lpstr>QEFinalPrice1</vt:lpstr>
      <vt:lpstr>QEFinalPrice10</vt:lpstr>
      <vt:lpstr>QEFinalPrice2</vt:lpstr>
      <vt:lpstr>QEFinalPrice3</vt:lpstr>
      <vt:lpstr>QEFinalPrice4</vt:lpstr>
      <vt:lpstr>QEFinalPrice5</vt:lpstr>
      <vt:lpstr>QEFinalPrice6</vt:lpstr>
      <vt:lpstr>QEFinalPrice7</vt:lpstr>
      <vt:lpstr>QEFinalPrice8</vt:lpstr>
      <vt:lpstr>QEFinalPrice9</vt:lpstr>
      <vt:lpstr>QEFinMinShip1</vt:lpstr>
      <vt:lpstr>QEFinMinShip10</vt:lpstr>
      <vt:lpstr>QEFinMinShip2</vt:lpstr>
      <vt:lpstr>QEFinMinShip3</vt:lpstr>
      <vt:lpstr>QEFinMinShip4</vt:lpstr>
      <vt:lpstr>QEFinMinShip5</vt:lpstr>
      <vt:lpstr>QEFinMinShip6</vt:lpstr>
      <vt:lpstr>QEFinMinShip7</vt:lpstr>
      <vt:lpstr>QEFinMinShip8</vt:lpstr>
      <vt:lpstr>QEFinMinShip9</vt:lpstr>
      <vt:lpstr>QEFinPriceStart</vt:lpstr>
      <vt:lpstr>QEGFLRobot</vt:lpstr>
      <vt:lpstr>QEHierarchy1</vt:lpstr>
      <vt:lpstr>QEHierarchy2</vt:lpstr>
      <vt:lpstr>QEHierarchy3</vt:lpstr>
      <vt:lpstr>QELabor</vt:lpstr>
      <vt:lpstr>QELaborRate1</vt:lpstr>
      <vt:lpstr>QELaborRate10</vt:lpstr>
      <vt:lpstr>QELaborRate2</vt:lpstr>
      <vt:lpstr>QELaborRate3</vt:lpstr>
      <vt:lpstr>QELaborRate4</vt:lpstr>
      <vt:lpstr>QELaborRate5</vt:lpstr>
      <vt:lpstr>QELaborRate6</vt:lpstr>
      <vt:lpstr>QELaborRate7</vt:lpstr>
      <vt:lpstr>QELaborRate8</vt:lpstr>
      <vt:lpstr>QELaborRate9</vt:lpstr>
      <vt:lpstr>QEMarketCode</vt:lpstr>
      <vt:lpstr>QEMat10Cost1</vt:lpstr>
      <vt:lpstr>QEMat10Cost2</vt:lpstr>
      <vt:lpstr>QEMat10Cost3</vt:lpstr>
      <vt:lpstr>QEMat10Cost4</vt:lpstr>
      <vt:lpstr>QEMat10Cost5</vt:lpstr>
      <vt:lpstr>QEMat1Cost1</vt:lpstr>
      <vt:lpstr>QEMat1Cost2</vt:lpstr>
      <vt:lpstr>QEMat1Cost3</vt:lpstr>
      <vt:lpstr>QEMat1Cost4</vt:lpstr>
      <vt:lpstr>QEMat1Cost5</vt:lpstr>
      <vt:lpstr>QEMat2Cost1</vt:lpstr>
      <vt:lpstr>QEMat2Cost2</vt:lpstr>
      <vt:lpstr>QEMat2Cost3</vt:lpstr>
      <vt:lpstr>QEMat2Cost4</vt:lpstr>
      <vt:lpstr>QEMat2Cost5</vt:lpstr>
      <vt:lpstr>QEMat3Cost1</vt:lpstr>
      <vt:lpstr>QEMat3Cost2</vt:lpstr>
      <vt:lpstr>QEMat3Cost3</vt:lpstr>
      <vt:lpstr>QEMat3Cost4</vt:lpstr>
      <vt:lpstr>QEMat3Cost5</vt:lpstr>
      <vt:lpstr>QEMat4Cost1</vt:lpstr>
      <vt:lpstr>QEMat4Cost2</vt:lpstr>
      <vt:lpstr>QEMat4Cost3</vt:lpstr>
      <vt:lpstr>QEMat4Cost4</vt:lpstr>
      <vt:lpstr>QEMat4Cost5</vt:lpstr>
      <vt:lpstr>QEMat5Cost1</vt:lpstr>
      <vt:lpstr>QEMat5Cost2</vt:lpstr>
      <vt:lpstr>QEMat5Cost3</vt:lpstr>
      <vt:lpstr>QEMat5Cost4</vt:lpstr>
      <vt:lpstr>QEMat5Cost5</vt:lpstr>
      <vt:lpstr>QEMat6Cost1</vt:lpstr>
      <vt:lpstr>QEMat6Cost2</vt:lpstr>
      <vt:lpstr>QEMat6Cost3</vt:lpstr>
      <vt:lpstr>QEMat6Cost4</vt:lpstr>
      <vt:lpstr>QEMat6Cost5</vt:lpstr>
      <vt:lpstr>QEMat7Cost1</vt:lpstr>
      <vt:lpstr>QEMat7Cost2</vt:lpstr>
      <vt:lpstr>QEMat7Cost3</vt:lpstr>
      <vt:lpstr>QEMat7Cost4</vt:lpstr>
      <vt:lpstr>QEMat7Cost5</vt:lpstr>
      <vt:lpstr>QEMat8Cost1</vt:lpstr>
      <vt:lpstr>QEMat8Cost2</vt:lpstr>
      <vt:lpstr>QEMat8Cost3</vt:lpstr>
      <vt:lpstr>QEMat8Cost4</vt:lpstr>
      <vt:lpstr>QEMat8Cost5</vt:lpstr>
      <vt:lpstr>QEMat9Cost1</vt:lpstr>
      <vt:lpstr>QEMat9Cost2</vt:lpstr>
      <vt:lpstr>QEMat9Cost3</vt:lpstr>
      <vt:lpstr>QEMat9Cost4</vt:lpstr>
      <vt:lpstr>QEMat9Cost5</vt:lpstr>
      <vt:lpstr>QEMaterial1</vt:lpstr>
      <vt:lpstr>QEMaterial10</vt:lpstr>
      <vt:lpstr>QEMaterial2</vt:lpstr>
      <vt:lpstr>QEMaterial3</vt:lpstr>
      <vt:lpstr>QEMaterial4</vt:lpstr>
      <vt:lpstr>QEMaterial5</vt:lpstr>
      <vt:lpstr>QEMaterial6</vt:lpstr>
      <vt:lpstr>QEMaterial7</vt:lpstr>
      <vt:lpstr>QEMaterial8</vt:lpstr>
      <vt:lpstr>QEMaterial9</vt:lpstr>
      <vt:lpstr>QEMatl10</vt:lpstr>
      <vt:lpstr>QEMatl11</vt:lpstr>
      <vt:lpstr>QEMatl12</vt:lpstr>
      <vt:lpstr>QEMatl13</vt:lpstr>
      <vt:lpstr>QEMatl14</vt:lpstr>
      <vt:lpstr>QEMatl15</vt:lpstr>
      <vt:lpstr>QEMatl6</vt:lpstr>
      <vt:lpstr>QEMatl7</vt:lpstr>
      <vt:lpstr>QEMatl8</vt:lpstr>
      <vt:lpstr>QEMatl9</vt:lpstr>
      <vt:lpstr>QEMatlFive</vt:lpstr>
      <vt:lpstr>QEMatlFour</vt:lpstr>
      <vt:lpstr>QEMatlInsertFlag</vt:lpstr>
      <vt:lpstr>QEMatlMU1</vt:lpstr>
      <vt:lpstr>QEMatlMU10</vt:lpstr>
      <vt:lpstr>QEMatlMU11</vt:lpstr>
      <vt:lpstr>QEMatlMU12</vt:lpstr>
      <vt:lpstr>QEMatlMU13</vt:lpstr>
      <vt:lpstr>QEMatlMU14</vt:lpstr>
      <vt:lpstr>QEMatlMU15</vt:lpstr>
      <vt:lpstr>QEMatlMU2</vt:lpstr>
      <vt:lpstr>QEMatlMU3</vt:lpstr>
      <vt:lpstr>QEMatlMU4</vt:lpstr>
      <vt:lpstr>QEMatlMU5</vt:lpstr>
      <vt:lpstr>QEMatlMU6</vt:lpstr>
      <vt:lpstr>QEMatlMU7</vt:lpstr>
      <vt:lpstr>QEMatlMU8</vt:lpstr>
      <vt:lpstr>QEMatlMU9</vt:lpstr>
      <vt:lpstr>QEMatlOne</vt:lpstr>
      <vt:lpstr>QEMatlScr10</vt:lpstr>
      <vt:lpstr>QEMatlScr11</vt:lpstr>
      <vt:lpstr>QEMatlScr12</vt:lpstr>
      <vt:lpstr>QEMatlScr13</vt:lpstr>
      <vt:lpstr>QEMatlScr14</vt:lpstr>
      <vt:lpstr>QEMatlScr15</vt:lpstr>
      <vt:lpstr>QEMatlScr6</vt:lpstr>
      <vt:lpstr>QEMatlScr7</vt:lpstr>
      <vt:lpstr>QEMatlScr8</vt:lpstr>
      <vt:lpstr>QEMatlScr9</vt:lpstr>
      <vt:lpstr>QEMatlScrFive</vt:lpstr>
      <vt:lpstr>QEMatlScrFour</vt:lpstr>
      <vt:lpstr>QEMatlScrOne</vt:lpstr>
      <vt:lpstr>QEMatlScrThree</vt:lpstr>
      <vt:lpstr>QEMatlScrTwo</vt:lpstr>
      <vt:lpstr>QEMatlThree</vt:lpstr>
      <vt:lpstr>QEMatlTwo</vt:lpstr>
      <vt:lpstr>QEMatlYield</vt:lpstr>
      <vt:lpstr>QEMatStart</vt:lpstr>
      <vt:lpstr>QEMatType1</vt:lpstr>
      <vt:lpstr>QEMatType10</vt:lpstr>
      <vt:lpstr>QEMatType11</vt:lpstr>
      <vt:lpstr>QEMatType12</vt:lpstr>
      <vt:lpstr>QEMatType13</vt:lpstr>
      <vt:lpstr>QEMatType14</vt:lpstr>
      <vt:lpstr>QEMatType15</vt:lpstr>
      <vt:lpstr>QEMatType2</vt:lpstr>
      <vt:lpstr>QEMatType3</vt:lpstr>
      <vt:lpstr>QEMatType4</vt:lpstr>
      <vt:lpstr>QEMatType5</vt:lpstr>
      <vt:lpstr>QEMatType6</vt:lpstr>
      <vt:lpstr>QEMatType7</vt:lpstr>
      <vt:lpstr>QEMatType8</vt:lpstr>
      <vt:lpstr>QEMatType9</vt:lpstr>
      <vt:lpstr>QEMfgRate1</vt:lpstr>
      <vt:lpstr>QEMfgRate10</vt:lpstr>
      <vt:lpstr>QEMfgRate2</vt:lpstr>
      <vt:lpstr>QEMfgRate3</vt:lpstr>
      <vt:lpstr>QEMfgRate4</vt:lpstr>
      <vt:lpstr>QEMfgRate5</vt:lpstr>
      <vt:lpstr>QEMfgRate6</vt:lpstr>
      <vt:lpstr>QEMfgRate7</vt:lpstr>
      <vt:lpstr>QEMfgRate8</vt:lpstr>
      <vt:lpstr>QEMfgRate9</vt:lpstr>
      <vt:lpstr>QEMin</vt:lpstr>
      <vt:lpstr>QEMin1</vt:lpstr>
      <vt:lpstr>QEMin10</vt:lpstr>
      <vt:lpstr>QEMin2</vt:lpstr>
      <vt:lpstr>QEMin3</vt:lpstr>
      <vt:lpstr>QEMin4</vt:lpstr>
      <vt:lpstr>QEMin5</vt:lpstr>
      <vt:lpstr>QEMin6</vt:lpstr>
      <vt:lpstr>QEMin7</vt:lpstr>
      <vt:lpstr>QEMin8</vt:lpstr>
      <vt:lpstr>QEMin9</vt:lpstr>
      <vt:lpstr>QEMinCost1</vt:lpstr>
      <vt:lpstr>QEMinCost10</vt:lpstr>
      <vt:lpstr>QEMinCost2</vt:lpstr>
      <vt:lpstr>QEMinCost3</vt:lpstr>
      <vt:lpstr>QEMinCost4</vt:lpstr>
      <vt:lpstr>QEMinCost5</vt:lpstr>
      <vt:lpstr>QEMinCost6</vt:lpstr>
      <vt:lpstr>QEMinCost7</vt:lpstr>
      <vt:lpstr>QEMinCost8</vt:lpstr>
      <vt:lpstr>QEMinCost9</vt:lpstr>
      <vt:lpstr>QEMinRel1</vt:lpstr>
      <vt:lpstr>QEMinRel10</vt:lpstr>
      <vt:lpstr>QEMinRel1012</vt:lpstr>
      <vt:lpstr>QEMinRel112</vt:lpstr>
      <vt:lpstr>QEMinRel2</vt:lpstr>
      <vt:lpstr>QEMinRel212</vt:lpstr>
      <vt:lpstr>QEMinRel3</vt:lpstr>
      <vt:lpstr>QEMinRel312</vt:lpstr>
      <vt:lpstr>QEMinRel4</vt:lpstr>
      <vt:lpstr>QEMinRel412</vt:lpstr>
      <vt:lpstr>QEMinRel5</vt:lpstr>
      <vt:lpstr>QEMinRel512</vt:lpstr>
      <vt:lpstr>QEMinRel6</vt:lpstr>
      <vt:lpstr>QEMinRel612</vt:lpstr>
      <vt:lpstr>QEMinRel7</vt:lpstr>
      <vt:lpstr>QEMinRel712</vt:lpstr>
      <vt:lpstr>QEMinRel8</vt:lpstr>
      <vt:lpstr>QEMinRel812</vt:lpstr>
      <vt:lpstr>QEMinRel9</vt:lpstr>
      <vt:lpstr>QEMinRel912</vt:lpstr>
      <vt:lpstr>QEMinRelFlag</vt:lpstr>
      <vt:lpstr>QEMinShip1</vt:lpstr>
      <vt:lpstr>QEMinShip10</vt:lpstr>
      <vt:lpstr>QEMinShip2</vt:lpstr>
      <vt:lpstr>QEMinShip3</vt:lpstr>
      <vt:lpstr>QEMinShip4</vt:lpstr>
      <vt:lpstr>QEMinShip5</vt:lpstr>
      <vt:lpstr>QEMinShip6</vt:lpstr>
      <vt:lpstr>QEMinShip7</vt:lpstr>
      <vt:lpstr>QEMinShip8</vt:lpstr>
      <vt:lpstr>QEMinShip8X1</vt:lpstr>
      <vt:lpstr>QEMinShip8X10</vt:lpstr>
      <vt:lpstr>QEMinShip8X2</vt:lpstr>
      <vt:lpstr>QEMinShip8X3</vt:lpstr>
      <vt:lpstr>QEMinShip8X4</vt:lpstr>
      <vt:lpstr>QEMinShip8X5</vt:lpstr>
      <vt:lpstr>QEMinShip8X6</vt:lpstr>
      <vt:lpstr>QEMinShip8X7</vt:lpstr>
      <vt:lpstr>QEMinShip8X8</vt:lpstr>
      <vt:lpstr>QEMinShip8X9</vt:lpstr>
      <vt:lpstr>QEMinShip9</vt:lpstr>
      <vt:lpstr>QEMinShipFlag</vt:lpstr>
      <vt:lpstr>QEMoldCost</vt:lpstr>
      <vt:lpstr>QEMoldCost2</vt:lpstr>
      <vt:lpstr>QEMoldQual</vt:lpstr>
      <vt:lpstr>QEMoldQual2</vt:lpstr>
      <vt:lpstr>QEOper1</vt:lpstr>
      <vt:lpstr>QEOper10</vt:lpstr>
      <vt:lpstr>QEOper2</vt:lpstr>
      <vt:lpstr>QEOper3</vt:lpstr>
      <vt:lpstr>QEOper4</vt:lpstr>
      <vt:lpstr>QEOper5</vt:lpstr>
      <vt:lpstr>QEOper6</vt:lpstr>
      <vt:lpstr>QEOper7</vt:lpstr>
      <vt:lpstr>QEOper8</vt:lpstr>
      <vt:lpstr>QEOper9</vt:lpstr>
      <vt:lpstr>QEOpsDesc1</vt:lpstr>
      <vt:lpstr>QEOpsDesc10</vt:lpstr>
      <vt:lpstr>QEOpsDesc2</vt:lpstr>
      <vt:lpstr>QEOpsDesc3</vt:lpstr>
      <vt:lpstr>QEOpsDesc4</vt:lpstr>
      <vt:lpstr>QEOpsDesc5</vt:lpstr>
      <vt:lpstr>QEOpsDesc6</vt:lpstr>
      <vt:lpstr>QEOpsDesc7</vt:lpstr>
      <vt:lpstr>QEOpsDesc8</vt:lpstr>
      <vt:lpstr>QEOpsDesc9</vt:lpstr>
      <vt:lpstr>QEOrder</vt:lpstr>
      <vt:lpstr>QEOrder1</vt:lpstr>
      <vt:lpstr>QEPack</vt:lpstr>
      <vt:lpstr>QEPackCost</vt:lpstr>
      <vt:lpstr>QEPackCost1</vt:lpstr>
      <vt:lpstr>QEPartWeight1</vt:lpstr>
      <vt:lpstr>QEPartWeight2</vt:lpstr>
      <vt:lpstr>QEPcsHrs1</vt:lpstr>
      <vt:lpstr>QEPcsHrs12</vt:lpstr>
      <vt:lpstr>QEPcsHrs2</vt:lpstr>
      <vt:lpstr>QEPcsHrs22</vt:lpstr>
      <vt:lpstr>QEPcsHrs3</vt:lpstr>
      <vt:lpstr>QEPcsHrs32</vt:lpstr>
      <vt:lpstr>QEPCSSCR1</vt:lpstr>
      <vt:lpstr>QEPCSSCR1A</vt:lpstr>
      <vt:lpstr>QEPCSSCR1B</vt:lpstr>
      <vt:lpstr>QEPCSSCR1C</vt:lpstr>
      <vt:lpstr>QEPCSSCR1D</vt:lpstr>
      <vt:lpstr>QEPCSSCR1E</vt:lpstr>
      <vt:lpstr>QEPCSSCR1F</vt:lpstr>
      <vt:lpstr>QEPCSSCR2</vt:lpstr>
      <vt:lpstr>QEPCSSCR2A</vt:lpstr>
      <vt:lpstr>QEPCSSCR2B</vt:lpstr>
      <vt:lpstr>QEPCSSCR2C</vt:lpstr>
      <vt:lpstr>QEPCSSCR2D</vt:lpstr>
      <vt:lpstr>QEPCSSCR2E</vt:lpstr>
      <vt:lpstr>QEPCSSCR2F</vt:lpstr>
      <vt:lpstr>QEPercFlag</vt:lpstr>
      <vt:lpstr>QEPress1A</vt:lpstr>
      <vt:lpstr>QEPress2A</vt:lpstr>
      <vt:lpstr>QEPress3A</vt:lpstr>
      <vt:lpstr>QEPress4A</vt:lpstr>
      <vt:lpstr>QEPress5A</vt:lpstr>
      <vt:lpstr>QEPressInsertFlag</vt:lpstr>
      <vt:lpstr>QEPressScr10</vt:lpstr>
      <vt:lpstr>QEPressScr6</vt:lpstr>
      <vt:lpstr>QEPressScr7</vt:lpstr>
      <vt:lpstr>QEPressScr8</vt:lpstr>
      <vt:lpstr>QEPressScr9</vt:lpstr>
      <vt:lpstr>QEPressScrFive</vt:lpstr>
      <vt:lpstr>QEPressScrFour</vt:lpstr>
      <vt:lpstr>QEPressScrOne</vt:lpstr>
      <vt:lpstr>QEPressScrThree</vt:lpstr>
      <vt:lpstr>QEPressScrTwo</vt:lpstr>
      <vt:lpstr>QEPressStart</vt:lpstr>
      <vt:lpstr>QEPressYield</vt:lpstr>
      <vt:lpstr>QEPressYield1</vt:lpstr>
      <vt:lpstr>QEPrice1</vt:lpstr>
      <vt:lpstr>QEPrice10</vt:lpstr>
      <vt:lpstr>QEPrice2</vt:lpstr>
      <vt:lpstr>QEPrice3</vt:lpstr>
      <vt:lpstr>QEPrice4</vt:lpstr>
      <vt:lpstr>QEPrice5</vt:lpstr>
      <vt:lpstr>QEPrice6</vt:lpstr>
      <vt:lpstr>QEPrice7</vt:lpstr>
      <vt:lpstr>QEPrice8</vt:lpstr>
      <vt:lpstr>QEPrice9</vt:lpstr>
      <vt:lpstr>QEPriceStart</vt:lpstr>
      <vt:lpstr>QEPrintSet1</vt:lpstr>
      <vt:lpstr>QEPrintSet2</vt:lpstr>
      <vt:lpstr>QEPrintSet3</vt:lpstr>
      <vt:lpstr>QEProdLT</vt:lpstr>
      <vt:lpstr>QEPrsCost11</vt:lpstr>
      <vt:lpstr>QEPrsCost21</vt:lpstr>
      <vt:lpstr>QEPtName</vt:lpstr>
      <vt:lpstr>QEPtNum</vt:lpstr>
      <vt:lpstr>QEReduction1</vt:lpstr>
      <vt:lpstr>QEReduction10</vt:lpstr>
      <vt:lpstr>QEReduction2</vt:lpstr>
      <vt:lpstr>QEReduction3</vt:lpstr>
      <vt:lpstr>QEReduction4</vt:lpstr>
      <vt:lpstr>QEReduction5</vt:lpstr>
      <vt:lpstr>QEReduction6</vt:lpstr>
      <vt:lpstr>QEReduction7</vt:lpstr>
      <vt:lpstr>QEReduction8</vt:lpstr>
      <vt:lpstr>QEReduction9</vt:lpstr>
      <vt:lpstr>QERegrind1</vt:lpstr>
      <vt:lpstr>QERegrind2</vt:lpstr>
      <vt:lpstr>QERep</vt:lpstr>
      <vt:lpstr>QERep1</vt:lpstr>
      <vt:lpstr>QEResinCost</vt:lpstr>
      <vt:lpstr>QEResinPercent1</vt:lpstr>
      <vt:lpstr>QEResinPercent10</vt:lpstr>
      <vt:lpstr>QEResinPercent2</vt:lpstr>
      <vt:lpstr>QEResinPercent3</vt:lpstr>
      <vt:lpstr>QEResinPercent4</vt:lpstr>
      <vt:lpstr>QEResinPercent5</vt:lpstr>
      <vt:lpstr>QEResinPercent6</vt:lpstr>
      <vt:lpstr>QEResinPercent7</vt:lpstr>
      <vt:lpstr>QEResinPercent8</vt:lpstr>
      <vt:lpstr>QEResinPercent9</vt:lpstr>
      <vt:lpstr>QEResRel1</vt:lpstr>
      <vt:lpstr>QEResRel10</vt:lpstr>
      <vt:lpstr>QEResRel2</vt:lpstr>
      <vt:lpstr>QEResRel3</vt:lpstr>
      <vt:lpstr>QEResRel4</vt:lpstr>
      <vt:lpstr>QEResRel5</vt:lpstr>
      <vt:lpstr>QEResRel6</vt:lpstr>
      <vt:lpstr>QEResRel7</vt:lpstr>
      <vt:lpstr>QEResRel8</vt:lpstr>
      <vt:lpstr>QEResRel9</vt:lpstr>
      <vt:lpstr>QERevLevel</vt:lpstr>
      <vt:lpstr>QERobot</vt:lpstr>
      <vt:lpstr>QERunnerWeight1</vt:lpstr>
      <vt:lpstr>QERunnerWeight2</vt:lpstr>
      <vt:lpstr>QERunQtyStart</vt:lpstr>
      <vt:lpstr>QESales</vt:lpstr>
      <vt:lpstr>QESales1</vt:lpstr>
      <vt:lpstr>QESecOps1A</vt:lpstr>
      <vt:lpstr>QESecOps2A</vt:lpstr>
      <vt:lpstr>QESecOpsA</vt:lpstr>
      <vt:lpstr>QESetUp1</vt:lpstr>
      <vt:lpstr>QESetUp10</vt:lpstr>
      <vt:lpstr>QESetUp2</vt:lpstr>
      <vt:lpstr>QESetUp3</vt:lpstr>
      <vt:lpstr>QESetUp4</vt:lpstr>
      <vt:lpstr>QESetUp5</vt:lpstr>
      <vt:lpstr>QESetUp6</vt:lpstr>
      <vt:lpstr>QESetUp7</vt:lpstr>
      <vt:lpstr>QESetUp8</vt:lpstr>
      <vt:lpstr>QESetUp9</vt:lpstr>
      <vt:lpstr>QEShotSize1</vt:lpstr>
      <vt:lpstr>QEShotSize2</vt:lpstr>
      <vt:lpstr>QEStartReduction</vt:lpstr>
      <vt:lpstr>QEStatus</vt:lpstr>
      <vt:lpstr>QETargetMar1</vt:lpstr>
      <vt:lpstr>QETargetMar10</vt:lpstr>
      <vt:lpstr>QETargetMar2</vt:lpstr>
      <vt:lpstr>QETargetMar3</vt:lpstr>
      <vt:lpstr>QETargetMar4</vt:lpstr>
      <vt:lpstr>QETargetMar5</vt:lpstr>
      <vt:lpstr>QETargetMar6</vt:lpstr>
      <vt:lpstr>QETargetMar7</vt:lpstr>
      <vt:lpstr>QETargetMar8</vt:lpstr>
      <vt:lpstr>QETargetMar9</vt:lpstr>
      <vt:lpstr>QEToolMaint</vt:lpstr>
      <vt:lpstr>QEToolMaint1</vt:lpstr>
      <vt:lpstr>QEToolMaint10</vt:lpstr>
      <vt:lpstr>QEToolMaint2</vt:lpstr>
      <vt:lpstr>QEToolMaint3</vt:lpstr>
      <vt:lpstr>QEToolMaint4</vt:lpstr>
      <vt:lpstr>QEToolMaint5</vt:lpstr>
      <vt:lpstr>QEToolMaint6</vt:lpstr>
      <vt:lpstr>QEToolMaint7</vt:lpstr>
      <vt:lpstr>QEToolMaint8</vt:lpstr>
      <vt:lpstr>QEToolMaint9</vt:lpstr>
      <vt:lpstr>QEToolMaintRate1</vt:lpstr>
      <vt:lpstr>QEToolMaintRate10</vt:lpstr>
      <vt:lpstr>QEToolMaintRate2</vt:lpstr>
      <vt:lpstr>QEToolMaintRate3</vt:lpstr>
      <vt:lpstr>QEToolMaintRate4</vt:lpstr>
      <vt:lpstr>QEToolMaintRate5</vt:lpstr>
      <vt:lpstr>QEToolMaintRate6</vt:lpstr>
      <vt:lpstr>QEToolMaintRate7</vt:lpstr>
      <vt:lpstr>QEToolMaintRate8</vt:lpstr>
      <vt:lpstr>QEToolMaintRate9</vt:lpstr>
      <vt:lpstr>QETotMfgCost1</vt:lpstr>
      <vt:lpstr>QETotMfgCost10</vt:lpstr>
      <vt:lpstr>QETotMfgCost2</vt:lpstr>
      <vt:lpstr>QETotMfgCost3</vt:lpstr>
      <vt:lpstr>QETotMfgCost4</vt:lpstr>
      <vt:lpstr>QETotMfgCost5</vt:lpstr>
      <vt:lpstr>QETotMfgCost6</vt:lpstr>
      <vt:lpstr>QETotMfgCost7</vt:lpstr>
      <vt:lpstr>QETotMfgCost8</vt:lpstr>
      <vt:lpstr>QETotMfgCost9</vt:lpstr>
      <vt:lpstr>QualFactor</vt:lpstr>
      <vt:lpstr>QualReset</vt:lpstr>
      <vt:lpstr>QualReset1</vt:lpstr>
      <vt:lpstr>QualReset2</vt:lpstr>
      <vt:lpstr>QualResetA</vt:lpstr>
      <vt:lpstr>Quantity1</vt:lpstr>
      <vt:lpstr>Quantity10</vt:lpstr>
      <vt:lpstr>Quantity2</vt:lpstr>
      <vt:lpstr>Quantity3</vt:lpstr>
      <vt:lpstr>Quantity4</vt:lpstr>
      <vt:lpstr>Quantity5</vt:lpstr>
      <vt:lpstr>Quantity6</vt:lpstr>
      <vt:lpstr>Quantity7</vt:lpstr>
      <vt:lpstr>Quantity8</vt:lpstr>
      <vt:lpstr>Quantity9</vt:lpstr>
      <vt:lpstr>QuoteEntryEstimator</vt:lpstr>
      <vt:lpstr>QuoteEntryMarkup1</vt:lpstr>
      <vt:lpstr>QuoteEntryMarkup2</vt:lpstr>
      <vt:lpstr>QuoteEntryPlantNumber</vt:lpstr>
      <vt:lpstr>QuoteEntryQuoteNumber</vt:lpstr>
      <vt:lpstr>RateAdjust1</vt:lpstr>
      <vt:lpstr>RateAdjust10</vt:lpstr>
      <vt:lpstr>RateAdjust2</vt:lpstr>
      <vt:lpstr>RateAdjust3</vt:lpstr>
      <vt:lpstr>RateAdjust4</vt:lpstr>
      <vt:lpstr>RateAdjust5</vt:lpstr>
      <vt:lpstr>RateAdjust6</vt:lpstr>
      <vt:lpstr>RateAdjust7</vt:lpstr>
      <vt:lpstr>RateAdjust8</vt:lpstr>
      <vt:lpstr>RateAdjust9</vt:lpstr>
      <vt:lpstr>Regrind</vt:lpstr>
      <vt:lpstr>Res2Mat11Cost1</vt:lpstr>
      <vt:lpstr>Res2Mat11Cost2</vt:lpstr>
      <vt:lpstr>Res2Mat11Cost3</vt:lpstr>
      <vt:lpstr>Res2Mat11Cost4</vt:lpstr>
      <vt:lpstr>Res2Mat11Cost5</vt:lpstr>
      <vt:lpstr>Res2Mat11Price1</vt:lpstr>
      <vt:lpstr>Res2Mat12Cost1</vt:lpstr>
      <vt:lpstr>Res2Mat12Cost2</vt:lpstr>
      <vt:lpstr>Res2Mat12Cost3</vt:lpstr>
      <vt:lpstr>Res2Mat12Cost4</vt:lpstr>
      <vt:lpstr>Res2Mat12Cost5</vt:lpstr>
      <vt:lpstr>Res2Mat13Cost1</vt:lpstr>
      <vt:lpstr>Res2Mat13Cost2</vt:lpstr>
      <vt:lpstr>Res2Mat13Cost3</vt:lpstr>
      <vt:lpstr>Res2Mat13Cost4</vt:lpstr>
      <vt:lpstr>Res2Mat13Cost5</vt:lpstr>
      <vt:lpstr>Res2Mat14Cost1</vt:lpstr>
      <vt:lpstr>Res2Mat14Cost2</vt:lpstr>
      <vt:lpstr>Res2Mat14Cost3</vt:lpstr>
      <vt:lpstr>Res2Mat14Cost4</vt:lpstr>
      <vt:lpstr>Res2Mat14Cost5</vt:lpstr>
      <vt:lpstr>Res2Mat15Cost1</vt:lpstr>
      <vt:lpstr>Res2Mat15Cost2</vt:lpstr>
      <vt:lpstr>Res2Mat15Cost3</vt:lpstr>
      <vt:lpstr>Res2Mat15Cost4</vt:lpstr>
      <vt:lpstr>Res2Mat15Cost5</vt:lpstr>
      <vt:lpstr>ResMat11Cost1</vt:lpstr>
      <vt:lpstr>ResMat11Cost2</vt:lpstr>
      <vt:lpstr>ResMat11Cost3</vt:lpstr>
      <vt:lpstr>ResMat11Cost4</vt:lpstr>
      <vt:lpstr>ResMat11Cost5</vt:lpstr>
      <vt:lpstr>ResMat12Cost1</vt:lpstr>
      <vt:lpstr>ResMat12Cost2</vt:lpstr>
      <vt:lpstr>ResMat12Cost3</vt:lpstr>
      <vt:lpstr>ResMat12Cost4</vt:lpstr>
      <vt:lpstr>ResMat12Cost5</vt:lpstr>
      <vt:lpstr>ResMat13Cost1</vt:lpstr>
      <vt:lpstr>ResMat13Cost2</vt:lpstr>
      <vt:lpstr>ResMat13Cost3</vt:lpstr>
      <vt:lpstr>ResMat13Cost4</vt:lpstr>
      <vt:lpstr>ResMat13Cost5</vt:lpstr>
      <vt:lpstr>ResMat14Cost1</vt:lpstr>
      <vt:lpstr>ResMat14Cost2</vt:lpstr>
      <vt:lpstr>ResMat14Cost3</vt:lpstr>
      <vt:lpstr>ResMat14Cost4</vt:lpstr>
      <vt:lpstr>ResMat14Cost5</vt:lpstr>
      <vt:lpstr>ResMat15Cost1</vt:lpstr>
      <vt:lpstr>ResMat15Cost2</vt:lpstr>
      <vt:lpstr>ResMat15Cost3</vt:lpstr>
      <vt:lpstr>ResMat15Cost4</vt:lpstr>
      <vt:lpstr>ResMat15Cost5</vt:lpstr>
      <vt:lpstr>Revision</vt:lpstr>
      <vt:lpstr>RevisionDate</vt:lpstr>
      <vt:lpstr>RFQEndNotes</vt:lpstr>
      <vt:lpstr>RFQStartNotes</vt:lpstr>
      <vt:lpstr>RobotNoteA</vt:lpstr>
      <vt:lpstr>RunnerDiameter</vt:lpstr>
      <vt:lpstr>RunnerLen1</vt:lpstr>
      <vt:lpstr>RunnerLen2</vt:lpstr>
      <vt:lpstr>RunnerWeight1</vt:lpstr>
      <vt:lpstr>RunnerWeight2</vt:lpstr>
      <vt:lpstr>SalesContact</vt:lpstr>
      <vt:lpstr>ScnOneGFL</vt:lpstr>
      <vt:lpstr>ScnOneToolLT</vt:lpstr>
      <vt:lpstr>ScnOneToolPrice</vt:lpstr>
      <vt:lpstr>ScnTwoGFL</vt:lpstr>
      <vt:lpstr>ScnTwoToolLT</vt:lpstr>
      <vt:lpstr>ScnTwoToolPrice</vt:lpstr>
      <vt:lpstr>Scr1Robot</vt:lpstr>
      <vt:lpstr>Scr2Robot</vt:lpstr>
      <vt:lpstr>SpecialPackaging</vt:lpstr>
      <vt:lpstr>SpecialPackaging1</vt:lpstr>
      <vt:lpstr>StandardNote1</vt:lpstr>
      <vt:lpstr>StandardNote10</vt:lpstr>
      <vt:lpstr>StandardNote11</vt:lpstr>
      <vt:lpstr>StandardNote12</vt:lpstr>
      <vt:lpstr>StandardNote13</vt:lpstr>
      <vt:lpstr>StandardNote2</vt:lpstr>
      <vt:lpstr>StandardNote3</vt:lpstr>
      <vt:lpstr>StandardNote4</vt:lpstr>
      <vt:lpstr>StandardNote5</vt:lpstr>
      <vt:lpstr>StandardNote6</vt:lpstr>
      <vt:lpstr>StandardNote7</vt:lpstr>
      <vt:lpstr>StandardNote8</vt:lpstr>
      <vt:lpstr>StandardNote9</vt:lpstr>
      <vt:lpstr>StartAutomation</vt:lpstr>
      <vt:lpstr>StartAutomation1</vt:lpstr>
      <vt:lpstr>StartAutomation2</vt:lpstr>
      <vt:lpstr>StartCustomerNotes</vt:lpstr>
      <vt:lpstr>StartInternalNote</vt:lpstr>
      <vt:lpstr>StartInternalNoteA</vt:lpstr>
      <vt:lpstr>StartInternalNoteB</vt:lpstr>
      <vt:lpstr>StartQuoteEntry</vt:lpstr>
      <vt:lpstr>StartQuoteEntry1</vt:lpstr>
      <vt:lpstr>Status</vt:lpstr>
      <vt:lpstr>'Customer Quote Each'!Text1</vt:lpstr>
      <vt:lpstr>ToolMaintList</vt:lpstr>
      <vt:lpstr>ToolMargin</vt:lpstr>
      <vt:lpstr>ToolPrice1</vt:lpstr>
      <vt:lpstr>ToolPrice2</vt:lpstr>
      <vt:lpstr>ToolPriceLT1</vt:lpstr>
      <vt:lpstr>ToolPriceLT2</vt:lpstr>
      <vt:lpstr>TSCavScr1</vt:lpstr>
      <vt:lpstr>TSCavScr2</vt:lpstr>
      <vt:lpstr>TSHrsWk1</vt:lpstr>
      <vt:lpstr>TSHrsWk2</vt:lpstr>
      <vt:lpstr>VSAutomationFactor</vt:lpstr>
      <vt:lpstr>VSAutomFactor</vt:lpstr>
      <vt:lpstr>VSCIMultiplier</vt:lpstr>
      <vt:lpstr>VSDuns2101</vt:lpstr>
      <vt:lpstr>VSDuns2103</vt:lpstr>
      <vt:lpstr>VSDuns2104</vt:lpstr>
      <vt:lpstr>VSELPLTAdd</vt:lpstr>
      <vt:lpstr>VSELPQualAdd</vt:lpstr>
      <vt:lpstr>VSGramConversion</vt:lpstr>
      <vt:lpstr>VSHotRunFac</vt:lpstr>
      <vt:lpstr>VSLT1</vt:lpstr>
      <vt:lpstr>VSLT2</vt:lpstr>
      <vt:lpstr>VSLT3</vt:lpstr>
      <vt:lpstr>VSMexLTAdd</vt:lpstr>
      <vt:lpstr>VSMexQualAdd</vt:lpstr>
      <vt:lpstr>VSMucellMatl</vt:lpstr>
      <vt:lpstr>VSMuCellPress</vt:lpstr>
      <vt:lpstr>VSPackMU</vt:lpstr>
      <vt:lpstr>VSPathName</vt:lpstr>
      <vt:lpstr>VSPlant2101Address1</vt:lpstr>
      <vt:lpstr>VSPlant2101Address2</vt:lpstr>
      <vt:lpstr>VSPlant2101Address3</vt:lpstr>
      <vt:lpstr>VSPlant2101Address4</vt:lpstr>
      <vt:lpstr>VSPlant2101Address5</vt:lpstr>
      <vt:lpstr>VSPlant2103Address1</vt:lpstr>
      <vt:lpstr>VSPlant2103Address2</vt:lpstr>
      <vt:lpstr>VSPlant2103Address3</vt:lpstr>
      <vt:lpstr>VSPlant2103Address4</vt:lpstr>
      <vt:lpstr>VSPlant2103Address5</vt:lpstr>
      <vt:lpstr>VSPlant2104Address1</vt:lpstr>
      <vt:lpstr>VSPlant2104Address1A</vt:lpstr>
      <vt:lpstr>VSPlant2104Address2</vt:lpstr>
      <vt:lpstr>VSPlant2104Address3</vt:lpstr>
      <vt:lpstr>VSPlant2104Address4</vt:lpstr>
      <vt:lpstr>VSPlant2104Address5</vt:lpstr>
      <vt:lpstr>VSPrecFoamSal</vt:lpstr>
      <vt:lpstr>VSRNDFactor</vt:lpstr>
      <vt:lpstr>VSRobotAmort</vt:lpstr>
      <vt:lpstr>VSShotSizeFactor</vt:lpstr>
      <vt:lpstr>VSShotSizeVar</vt:lpstr>
    </vt:vector>
  </TitlesOfParts>
  <Company>THERMOTECH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PartCost 2002</dc:title>
  <dc:creator>Scott Jukich</dc:creator>
  <cp:lastModifiedBy>MS OFFICE</cp:lastModifiedBy>
  <cp:lastPrinted>2005-09-16T13:28:33Z</cp:lastPrinted>
  <dcterms:created xsi:type="dcterms:W3CDTF">2001-02-02T22:15:35Z</dcterms:created>
  <dcterms:modified xsi:type="dcterms:W3CDTF">2012-12-08T01:15:50Z</dcterms:modified>
</cp:coreProperties>
</file>