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avani\Box\MS-Data-Science\Week6\"/>
    </mc:Choice>
  </mc:AlternateContent>
  <bookViews>
    <workbookView xWindow="0" yWindow="0" windowWidth="23040" windowHeight="9315" activeTab="6"/>
  </bookViews>
  <sheets>
    <sheet name="Sheet1" sheetId="1" r:id="rId1"/>
    <sheet name="Sheet2" sheetId="2" r:id="rId2"/>
    <sheet name="Sheet3" sheetId="3" r:id="rId3"/>
    <sheet name="Sheet4" sheetId="4" r:id="rId4"/>
    <sheet name="6.42c" sheetId="5" r:id="rId5"/>
    <sheet name="6.46" sheetId="6" r:id="rId6"/>
    <sheet name="Sheet5" sheetId="8" r:id="rId7"/>
    <sheet name="Sheet6" sheetId="9" r:id="rId8"/>
    <sheet name="6.18" sheetId="10" r:id="rId9"/>
    <sheet name="6.48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7" l="1"/>
  <c r="K20" i="8"/>
  <c r="F19" i="5"/>
  <c r="H12" i="5"/>
  <c r="F12" i="5"/>
  <c r="I14" i="8"/>
  <c r="I16" i="8"/>
  <c r="H14" i="8"/>
  <c r="G14" i="8"/>
  <c r="H10" i="6"/>
  <c r="I15" i="6"/>
  <c r="L11" i="6"/>
  <c r="L12" i="6"/>
  <c r="L10" i="6"/>
  <c r="K27" i="10" l="1"/>
  <c r="J27" i="10"/>
  <c r="K23" i="10"/>
  <c r="K21" i="10"/>
  <c r="G21" i="10"/>
  <c r="H21" i="10" s="1"/>
  <c r="I21" i="10" s="1"/>
  <c r="F20" i="10"/>
  <c r="I17" i="10"/>
  <c r="F17" i="10"/>
  <c r="H17" i="10"/>
  <c r="H12" i="10"/>
  <c r="F12" i="10"/>
  <c r="D3" i="10"/>
  <c r="I6" i="10"/>
  <c r="F3" i="10"/>
  <c r="I4" i="10" s="1"/>
  <c r="E3" i="10"/>
  <c r="L21" i="10" l="1"/>
  <c r="L13" i="9"/>
  <c r="F17" i="9"/>
  <c r="E17" i="9"/>
  <c r="I16" i="9"/>
  <c r="K13" i="9"/>
  <c r="G13" i="9"/>
  <c r="F13" i="9"/>
  <c r="E13" i="9"/>
  <c r="E10" i="9"/>
  <c r="I19" i="8"/>
  <c r="O16" i="8" l="1"/>
  <c r="M7" i="8"/>
  <c r="J7" i="8"/>
  <c r="G7" i="8"/>
  <c r="M6" i="8"/>
  <c r="M5" i="8"/>
  <c r="M4" i="8"/>
  <c r="J6" i="8"/>
  <c r="J5" i="8"/>
  <c r="J4" i="8"/>
  <c r="I6" i="8"/>
  <c r="I5" i="8"/>
  <c r="I4" i="8"/>
  <c r="G6" i="8"/>
  <c r="G5" i="8"/>
  <c r="G4" i="8"/>
  <c r="F10" i="8"/>
  <c r="H11" i="8"/>
  <c r="H10" i="8"/>
  <c r="G10" i="8"/>
  <c r="K7" i="8"/>
  <c r="H7" i="8"/>
  <c r="E7" i="8"/>
  <c r="N6" i="8"/>
  <c r="L6" i="8" s="1"/>
  <c r="N5" i="8"/>
  <c r="N4" i="8"/>
  <c r="N7" i="8" s="1"/>
  <c r="G32" i="3"/>
  <c r="G31" i="3"/>
  <c r="G28" i="3"/>
  <c r="G29" i="3"/>
  <c r="G9" i="3"/>
  <c r="J6" i="3"/>
  <c r="I6" i="3"/>
  <c r="J5" i="3"/>
  <c r="F7" i="3"/>
  <c r="F2" i="3"/>
  <c r="L5" i="8" l="1"/>
  <c r="F6" i="8"/>
  <c r="F4" i="8"/>
  <c r="F5" i="8"/>
  <c r="I7" i="8"/>
  <c r="L4" i="8"/>
  <c r="L7" i="8" s="1"/>
  <c r="C6" i="7"/>
  <c r="C5" i="7"/>
  <c r="D2" i="7"/>
  <c r="C2" i="7"/>
  <c r="F7" i="8" l="1"/>
  <c r="K7" i="6"/>
  <c r="I7" i="6"/>
  <c r="G7" i="6"/>
  <c r="M5" i="6"/>
  <c r="M6" i="6"/>
  <c r="M4" i="6"/>
  <c r="J4" i="5"/>
  <c r="J5" i="5"/>
  <c r="J6" i="5"/>
  <c r="J3" i="5"/>
  <c r="I4" i="5"/>
  <c r="I5" i="5"/>
  <c r="I6" i="5"/>
  <c r="I3" i="5"/>
  <c r="H4" i="5"/>
  <c r="H5" i="5"/>
  <c r="H6" i="5"/>
  <c r="H3" i="5"/>
  <c r="G4" i="5"/>
  <c r="G5" i="5"/>
  <c r="G6" i="5"/>
  <c r="G3" i="5"/>
  <c r="G7" i="5" s="1"/>
  <c r="F7" i="5"/>
  <c r="E7" i="5"/>
  <c r="L5" i="6" l="1"/>
  <c r="J4" i="6"/>
  <c r="H5" i="6"/>
  <c r="H11" i="6" s="1"/>
  <c r="L6" i="6"/>
  <c r="M7" i="6"/>
  <c r="J5" i="6" s="1"/>
  <c r="J11" i="6" s="1"/>
  <c r="H7" i="5"/>
  <c r="D32" i="4"/>
  <c r="D31" i="4"/>
  <c r="D30" i="4"/>
  <c r="D29" i="4"/>
  <c r="C29" i="4"/>
  <c r="C31" i="4"/>
  <c r="C30" i="4"/>
  <c r="C32" i="4"/>
  <c r="D27" i="4"/>
  <c r="D26" i="4"/>
  <c r="D25" i="4"/>
  <c r="D24" i="4"/>
  <c r="C27" i="4"/>
  <c r="C26" i="4"/>
  <c r="C25" i="4"/>
  <c r="C24" i="4"/>
  <c r="L4" i="6" l="1"/>
  <c r="J6" i="6"/>
  <c r="J12" i="6" s="1"/>
  <c r="J10" i="6"/>
  <c r="J7" i="6"/>
  <c r="H6" i="6"/>
  <c r="H12" i="6" s="1"/>
  <c r="H4" i="6"/>
  <c r="E19" i="4"/>
  <c r="H14" i="4"/>
  <c r="E14" i="4"/>
  <c r="C16" i="4"/>
  <c r="D16" i="4"/>
  <c r="E16" i="4"/>
  <c r="F16" i="4"/>
  <c r="D11" i="4"/>
  <c r="D10" i="4"/>
  <c r="D9" i="4"/>
  <c r="D15" i="3"/>
  <c r="D14" i="3"/>
  <c r="G18" i="3"/>
  <c r="E18" i="3"/>
  <c r="E17" i="3"/>
  <c r="G17" i="3" s="1"/>
  <c r="F15" i="3"/>
  <c r="F14" i="3"/>
  <c r="F9" i="3"/>
  <c r="F6" i="3"/>
  <c r="C6" i="3"/>
  <c r="G2" i="3"/>
  <c r="D2" i="3"/>
  <c r="D1" i="3"/>
  <c r="B2" i="3"/>
  <c r="B1" i="3"/>
  <c r="H7" i="6" l="1"/>
  <c r="L7" i="6"/>
  <c r="G20" i="3"/>
  <c r="D22" i="3" s="1"/>
  <c r="G22" i="3" s="1"/>
  <c r="Q26" i="2"/>
  <c r="Q25" i="2"/>
  <c r="Q27" i="2" s="1"/>
  <c r="R27" i="2"/>
  <c r="H27" i="2"/>
  <c r="G27" i="2"/>
  <c r="F27" i="2"/>
  <c r="F26" i="2"/>
  <c r="F25" i="2"/>
  <c r="J22" i="2"/>
  <c r="S27" i="2" l="1"/>
  <c r="L22" i="2"/>
  <c r="I21" i="2"/>
  <c r="I20" i="2"/>
  <c r="I22" i="2" s="1"/>
  <c r="M14" i="2"/>
  <c r="M13" i="2"/>
  <c r="N15" i="2"/>
  <c r="G9" i="2"/>
  <c r="G8" i="2"/>
  <c r="G10" i="2" s="1"/>
  <c r="J10" i="2" s="1"/>
  <c r="H10" i="2"/>
  <c r="G4" i="2"/>
  <c r="G3" i="2"/>
  <c r="L5" i="2"/>
  <c r="L4" i="2"/>
  <c r="D5" i="2"/>
  <c r="D1" i="2"/>
  <c r="B2" i="2"/>
  <c r="B1" i="2"/>
  <c r="I29" i="1"/>
  <c r="I28" i="1"/>
  <c r="F28" i="1"/>
  <c r="E25" i="1"/>
  <c r="E23" i="1"/>
  <c r="F21" i="1"/>
  <c r="E21" i="1"/>
  <c r="D21" i="1"/>
  <c r="O20" i="1"/>
  <c r="N20" i="1"/>
  <c r="P21" i="1"/>
  <c r="N21" i="1"/>
  <c r="F18" i="1"/>
  <c r="K18" i="1"/>
  <c r="J18" i="1"/>
  <c r="H18" i="1"/>
  <c r="H15" i="1"/>
  <c r="H12" i="1"/>
  <c r="F15" i="1"/>
  <c r="G12" i="1"/>
  <c r="H9" i="1"/>
  <c r="D2" i="1"/>
  <c r="D1" i="1"/>
  <c r="C2" i="1"/>
  <c r="C1" i="1"/>
  <c r="M15" i="2" l="1"/>
  <c r="P15" i="2"/>
</calcChain>
</file>

<file path=xl/sharedStrings.xml><?xml version="1.0" encoding="utf-8"?>
<sst xmlns="http://schemas.openxmlformats.org/spreadsheetml/2006/main" count="56" uniqueCount="34">
  <si>
    <t>(0.015/1.64) * (0.015/1.64) = (0.5 * 0.5)/n</t>
  </si>
  <si>
    <t>Republican Ratio</t>
  </si>
  <si>
    <t>Democrat Ratio</t>
  </si>
  <si>
    <t>pr</t>
  </si>
  <si>
    <t>SE</t>
  </si>
  <si>
    <t>Party A_x000E_liation</t>
  </si>
  <si>
    <t>Answer</t>
  </si>
  <si>
    <t xml:space="preserve">Republican </t>
  </si>
  <si>
    <t xml:space="preserve">Democrat </t>
  </si>
  <si>
    <t>Independent</t>
  </si>
  <si>
    <t xml:space="preserve">Should </t>
  </si>
  <si>
    <t xml:space="preserve">Should not </t>
  </si>
  <si>
    <t xml:space="preserve">Don't know/No answer </t>
  </si>
  <si>
    <t>Total</t>
  </si>
  <si>
    <t>p</t>
  </si>
  <si>
    <t>pd</t>
  </si>
  <si>
    <t>From T-Tablle for 0.680</t>
  </si>
  <si>
    <t>a</t>
  </si>
  <si>
    <t>c</t>
  </si>
  <si>
    <t>Humans evolved, with God guiding</t>
  </si>
  <si>
    <t>Humans evolved, but God had no part in process</t>
  </si>
  <si>
    <t>God created humans in present form</t>
  </si>
  <si>
    <t>Other / No opinion</t>
  </si>
  <si>
    <t>TOTAL</t>
  </si>
  <si>
    <t>Actual Count In 2010</t>
  </si>
  <si>
    <t>Expected Count in 2010 (Same as that of 2001)</t>
  </si>
  <si>
    <r>
      <t>X^2</t>
    </r>
    <r>
      <rPr>
        <b/>
        <sz val="8"/>
        <color theme="1"/>
        <rFont val="Calibri"/>
        <family val="2"/>
        <scheme val="minor"/>
      </rPr>
      <t>df</t>
    </r>
  </si>
  <si>
    <t>Expected Republican</t>
  </si>
  <si>
    <t>Party Affiliation</t>
  </si>
  <si>
    <t>Expected Democrats</t>
  </si>
  <si>
    <t>Expected Indpendent</t>
  </si>
  <si>
    <t>x^2</t>
  </si>
  <si>
    <t>95% Confidence Interval for USA 2005 = ( , )</t>
  </si>
  <si>
    <t>95% Confidence Interval for USA 2012 = (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</si>
</sst>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00"/>
    <numFmt numFmtId="166" formatCode="0.0000000"/>
    <numFmt numFmtId="167" formatCode="0.0000"/>
    <numFmt numFmtId="168" formatCode="0.000000"/>
    <numFmt numFmtId="169" formatCode="0.00000000"/>
    <numFmt numFmtId="170" formatCode="0.0000000000"/>
    <numFmt numFmtId="171" formatCode="0.0000000000000"/>
  </numFmts>
  <fonts count="5" x14ac:knownFonts="1">
    <font>
      <sz val="11"/>
      <color theme="1"/>
      <name val="Calibri"/>
      <family val="2"/>
      <scheme val="minor"/>
    </font>
    <font>
      <sz val="10.5"/>
      <color rgb="FF26262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5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7" fontId="2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0" fontId="0" fillId="0" borderId="0" xfId="1" applyNumberFormat="1" applyFont="1"/>
    <xf numFmtId="167" fontId="0" fillId="0" borderId="0" xfId="0" applyNumberFormat="1"/>
    <xf numFmtId="9" fontId="0" fillId="0" borderId="0" xfId="1" applyFont="1"/>
    <xf numFmtId="167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wrapText="1"/>
    </xf>
    <xf numFmtId="167" fontId="2" fillId="2" borderId="1" xfId="0" applyNumberFormat="1" applyFont="1" applyFill="1" applyBorder="1" applyAlignment="1">
      <alignment wrapText="1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9"/>
  <sheetViews>
    <sheetView topLeftCell="A10" workbookViewId="0">
      <selection activeCell="I29" sqref="I29"/>
    </sheetView>
  </sheetViews>
  <sheetFormatPr defaultRowHeight="15" x14ac:dyDescent="0.25"/>
  <cols>
    <col min="5" max="5" width="18.85546875" bestFit="1" customWidth="1"/>
    <col min="14" max="14" width="11.5703125" bestFit="1" customWidth="1"/>
    <col min="15" max="15" width="12" bestFit="1" customWidth="1"/>
  </cols>
  <sheetData>
    <row r="1" spans="3:8" x14ac:dyDescent="0.25">
      <c r="C1">
        <f>20 * 0.77</f>
        <v>15.4</v>
      </c>
      <c r="D1">
        <f>40 * 0.77</f>
        <v>30.8</v>
      </c>
    </row>
    <row r="2" spans="3:8" x14ac:dyDescent="0.25">
      <c r="C2">
        <f>20 * (1-0.77)</f>
        <v>4.5999999999999996</v>
      </c>
      <c r="D2">
        <f>40 * (1-0.77)</f>
        <v>9.1999999999999993</v>
      </c>
    </row>
    <row r="9" spans="3:8" x14ac:dyDescent="0.25">
      <c r="H9">
        <f>SQRT((0.08*(1-0.08)/125))</f>
        <v>2.4265201420964961E-2</v>
      </c>
    </row>
    <row r="12" spans="3:8" x14ac:dyDescent="0.25">
      <c r="G12">
        <f>SQRT((0.77*(1-0.77)/60))</f>
        <v>5.4329243199833607E-2</v>
      </c>
      <c r="H12">
        <f>SQRT((0.77*(1-0.77)/120))</f>
        <v>3.8416576283335467E-2</v>
      </c>
    </row>
    <row r="15" spans="3:8" x14ac:dyDescent="0.25">
      <c r="F15">
        <f>(0.85 - 0.77)/0.054329243</f>
        <v>1.4725034913517929</v>
      </c>
      <c r="H15">
        <f>(0.85 - 0.77)/H12</f>
        <v>2.0824344004518371</v>
      </c>
    </row>
    <row r="18" spans="4:16" x14ac:dyDescent="0.25">
      <c r="F18">
        <f>SQRT((0.66*(1-0.66))/1018)</f>
        <v>1.4846959959509985E-2</v>
      </c>
      <c r="H18">
        <f>1.96 * 0.01484696</f>
        <v>2.9100041599999998E-2</v>
      </c>
      <c r="J18">
        <f>SQRT((0.66*0.44)/1018)</f>
        <v>1.6889796503605434E-2</v>
      </c>
      <c r="K18">
        <f>1.96*J18</f>
        <v>3.3104001147066651E-2</v>
      </c>
    </row>
    <row r="20" spans="4:16" x14ac:dyDescent="0.25">
      <c r="N20">
        <f>(0.66*(1-0.66))/1018</f>
        <v>2.2043222003929273E-4</v>
      </c>
      <c r="O20">
        <f>SQRT(N20/1018)</f>
        <v>4.6533278123092381E-4</v>
      </c>
    </row>
    <row r="21" spans="4:16" x14ac:dyDescent="0.25">
      <c r="D21">
        <f>SQRT(0.66*(1-0.66)/1018)</f>
        <v>1.4846959959509985E-2</v>
      </c>
      <c r="E21">
        <f>SQRT(0.66*0.44/1018)</f>
        <v>1.6889796503605434E-2</v>
      </c>
      <c r="F21">
        <f>1.96*E21</f>
        <v>3.3104001147066651E-2</v>
      </c>
      <c r="N21" s="1">
        <f>SQRT((0.66*0.44)/1018)</f>
        <v>1.6889796503605434E-2</v>
      </c>
      <c r="P21">
        <f>SQRT((0.66*(0.44))/1018)</f>
        <v>1.6889796503605434E-2</v>
      </c>
    </row>
    <row r="23" spans="4:16" x14ac:dyDescent="0.25">
      <c r="E23" s="2">
        <f>66 + (1.96 * 0.033104001)</f>
        <v>66.064883841959997</v>
      </c>
    </row>
    <row r="24" spans="4:16" x14ac:dyDescent="0.25">
      <c r="E24" s="2"/>
    </row>
    <row r="25" spans="4:16" x14ac:dyDescent="0.25">
      <c r="E25" s="2">
        <f>66 - (1.96 * 0.033104001)</f>
        <v>65.935116158040003</v>
      </c>
    </row>
    <row r="28" spans="4:16" x14ac:dyDescent="0.25">
      <c r="F28">
        <f>1.96 * 0.01484696</f>
        <v>2.9100041599999998E-2</v>
      </c>
      <c r="I28">
        <f>66 + (1.96 * 0.029100042)</f>
        <v>66.057036082319996</v>
      </c>
    </row>
    <row r="29" spans="4:16" x14ac:dyDescent="0.25">
      <c r="I29">
        <f>66 + (1.96 * 0.029100042)</f>
        <v>66.057036082319996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L21" sqref="L21"/>
    </sheetView>
  </sheetViews>
  <sheetFormatPr defaultRowHeight="15" x14ac:dyDescent="0.25"/>
  <cols>
    <col min="3" max="3" width="9.5703125" bestFit="1" customWidth="1"/>
  </cols>
  <sheetData>
    <row r="2" spans="3:4" x14ac:dyDescent="0.25">
      <c r="C2" s="14">
        <f>2607/50739</f>
        <v>5.1380594808727018E-2</v>
      </c>
      <c r="D2" s="14">
        <f>48132/50739</f>
        <v>0.94861940519127297</v>
      </c>
    </row>
    <row r="5" spans="3:4" x14ac:dyDescent="0.25">
      <c r="C5" s="6">
        <f xml:space="preserve"> (2607*6617)/50739</f>
        <v>339.98539584934667</v>
      </c>
    </row>
    <row r="6" spans="3:4" x14ac:dyDescent="0.25">
      <c r="C6" s="15">
        <f>(373-340) ^2/340</f>
        <v>3.2029411764705884</v>
      </c>
    </row>
    <row r="21" spans="12:12" x14ac:dyDescent="0.25">
      <c r="L21">
        <f>2.4199 + 0.2488</f>
        <v>2.6687000000000003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workbookViewId="0">
      <selection activeCell="H27" sqref="H27"/>
    </sheetView>
  </sheetViews>
  <sheetFormatPr defaultRowHeight="15" x14ac:dyDescent="0.25"/>
  <cols>
    <col min="6" max="6" width="12" bestFit="1" customWidth="1"/>
  </cols>
  <sheetData>
    <row r="1" spans="2:16" x14ac:dyDescent="0.25">
      <c r="B1">
        <f>66 + (1.96 * 1.484696)</f>
        <v>68.91000416</v>
      </c>
      <c r="D1">
        <f>SQRT(0.66*(1-0.66)/1018)</f>
        <v>1.4846959959509985E-2</v>
      </c>
    </row>
    <row r="2" spans="2:16" x14ac:dyDescent="0.25">
      <c r="B2">
        <f>66 - (1.96 * 1.484696)</f>
        <v>63.08999584</v>
      </c>
    </row>
    <row r="3" spans="2:16" x14ac:dyDescent="0.25">
      <c r="G3">
        <f>48 + (1.64*2.7460491)</f>
        <v>52.503520524000002</v>
      </c>
    </row>
    <row r="4" spans="2:16" x14ac:dyDescent="0.25">
      <c r="G4">
        <f>48 - (1.64*2.7460491)</f>
        <v>43.496479475999998</v>
      </c>
      <c r="L4">
        <f>48 + (1.645*2.7460491)</f>
        <v>52.517250769500002</v>
      </c>
    </row>
    <row r="5" spans="2:16" x14ac:dyDescent="0.25">
      <c r="D5">
        <f>SQRT(0.48*(1 - 0.48)/331)</f>
        <v>2.7460490706630546E-2</v>
      </c>
      <c r="J5">
        <v>52.503520524000002</v>
      </c>
      <c r="L5">
        <f>48 - (1.645*2.7460491)</f>
        <v>43.482749230499998</v>
      </c>
    </row>
    <row r="6" spans="2:16" x14ac:dyDescent="0.25">
      <c r="J6">
        <v>43.496479475999998</v>
      </c>
    </row>
    <row r="8" spans="2:16" x14ac:dyDescent="0.25">
      <c r="G8">
        <f>0.015/1.64</f>
        <v>9.1463414634146336E-3</v>
      </c>
    </row>
    <row r="9" spans="2:16" x14ac:dyDescent="0.25">
      <c r="G9">
        <f>0.015/1.64</f>
        <v>9.1463414634146336E-3</v>
      </c>
    </row>
    <row r="10" spans="2:16" x14ac:dyDescent="0.25">
      <c r="G10">
        <f>G8*G9</f>
        <v>8.3655562165377737E-5</v>
      </c>
      <c r="H10">
        <f>0.48 * 0.52</f>
        <v>0.24959999999999999</v>
      </c>
      <c r="J10">
        <f>H10/G10</f>
        <v>2983.6629333333335</v>
      </c>
    </row>
    <row r="13" spans="2:16" x14ac:dyDescent="0.25">
      <c r="M13">
        <f>0.015/1.645</f>
        <v>9.11854103343465E-3</v>
      </c>
    </row>
    <row r="14" spans="2:16" x14ac:dyDescent="0.25">
      <c r="M14">
        <f>0.015/1.645</f>
        <v>9.11854103343465E-3</v>
      </c>
    </row>
    <row r="15" spans="2:16" x14ac:dyDescent="0.25">
      <c r="M15">
        <f>M13*M14</f>
        <v>8.314779057843145E-5</v>
      </c>
      <c r="N15">
        <f>0.48 * 0.52</f>
        <v>0.24959999999999999</v>
      </c>
      <c r="P15">
        <f>N15/M15</f>
        <v>3001.8837333333336</v>
      </c>
    </row>
    <row r="20" spans="6:19" x14ac:dyDescent="0.25">
      <c r="I20">
        <f>0.015/1.645</f>
        <v>9.11854103343465E-3</v>
      </c>
    </row>
    <row r="21" spans="6:19" x14ac:dyDescent="0.25">
      <c r="I21">
        <f>0.015/1.645</f>
        <v>9.11854103343465E-3</v>
      </c>
    </row>
    <row r="22" spans="6:19" x14ac:dyDescent="0.25">
      <c r="I22">
        <f>I20*I21</f>
        <v>8.314779057843145E-5</v>
      </c>
      <c r="J22">
        <f>0.5 * 0.5</f>
        <v>0.25</v>
      </c>
      <c r="L22">
        <f>J22/I22</f>
        <v>3006.6944444444448</v>
      </c>
    </row>
    <row r="24" spans="6:19" x14ac:dyDescent="0.25">
      <c r="F24" t="s">
        <v>0</v>
      </c>
    </row>
    <row r="25" spans="6:19" x14ac:dyDescent="0.25">
      <c r="F25">
        <f>(0.015/1.64)</f>
        <v>9.1463414634146336E-3</v>
      </c>
      <c r="Q25">
        <f>(0.015/1.645)</f>
        <v>9.11854103343465E-3</v>
      </c>
    </row>
    <row r="26" spans="6:19" x14ac:dyDescent="0.25">
      <c r="F26">
        <f>(0.015/1.64)</f>
        <v>9.1463414634146336E-3</v>
      </c>
      <c r="Q26">
        <f>(0.015/1.645)</f>
        <v>9.11854103343465E-3</v>
      </c>
    </row>
    <row r="27" spans="6:19" x14ac:dyDescent="0.25">
      <c r="F27">
        <f>F25*F26</f>
        <v>8.3655562165377737E-5</v>
      </c>
      <c r="G27">
        <f>0.5*0.5</f>
        <v>0.25</v>
      </c>
      <c r="H27">
        <f>G27/F27</f>
        <v>2988.4444444444448</v>
      </c>
      <c r="Q27">
        <f>Q25*Q26</f>
        <v>8.314779057843145E-5</v>
      </c>
      <c r="R27">
        <f>0.5*0.5</f>
        <v>0.25</v>
      </c>
      <c r="S27">
        <f>R27/Q27</f>
        <v>3006.6944444444448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31" sqref="G31"/>
    </sheetView>
  </sheetViews>
  <sheetFormatPr defaultRowHeight="15" x14ac:dyDescent="0.25"/>
  <cols>
    <col min="3" max="3" width="16" bestFit="1" customWidth="1"/>
    <col min="7" max="7" width="34.42578125" customWidth="1"/>
    <col min="9" max="9" width="9.5703125" bestFit="1" customWidth="1"/>
  </cols>
  <sheetData>
    <row r="1" spans="1:10" x14ac:dyDescent="0.25">
      <c r="A1">
        <v>0.33</v>
      </c>
      <c r="B1">
        <f>1-0.33</f>
        <v>0.66999999999999993</v>
      </c>
      <c r="C1">
        <v>1099</v>
      </c>
      <c r="D1">
        <f>A1*B1/C1</f>
        <v>2.0118289353958144E-4</v>
      </c>
    </row>
    <row r="2" spans="1:10" x14ac:dyDescent="0.25">
      <c r="A2">
        <v>0.22</v>
      </c>
      <c r="B2">
        <f>1-A2</f>
        <v>0.78</v>
      </c>
      <c r="C2">
        <v>1100</v>
      </c>
      <c r="D2">
        <f>A2*B2/C2</f>
        <v>1.56E-4</v>
      </c>
      <c r="F2">
        <f>D1+D2</f>
        <v>3.5718289353958146E-4</v>
      </c>
      <c r="G2">
        <f>SQRT(F2)</f>
        <v>1.8899282884267895E-2</v>
      </c>
    </row>
    <row r="5" spans="1:10" x14ac:dyDescent="0.25">
      <c r="I5">
        <v>0.11</v>
      </c>
      <c r="J5">
        <f>G2*B6</f>
        <v>3.7042594453165073E-2</v>
      </c>
    </row>
    <row r="6" spans="1:10" x14ac:dyDescent="0.25">
      <c r="B6">
        <v>1.96</v>
      </c>
      <c r="C6">
        <f>G2</f>
        <v>1.8899282884267895E-2</v>
      </c>
      <c r="D6">
        <v>0.15</v>
      </c>
      <c r="F6">
        <f>D6-(B6*C6)</f>
        <v>0.11295740554683492</v>
      </c>
      <c r="I6" s="16">
        <f>I5-J5</f>
        <v>7.2957405546834928E-2</v>
      </c>
      <c r="J6" s="16">
        <f>I5+J5</f>
        <v>0.14704259445316509</v>
      </c>
    </row>
    <row r="7" spans="1:10" x14ac:dyDescent="0.25">
      <c r="D7">
        <v>7.0000000000000007E-2</v>
      </c>
      <c r="F7">
        <f>D7+(B6*C6)</f>
        <v>0.10704259445316508</v>
      </c>
    </row>
    <row r="9" spans="1:10" x14ac:dyDescent="0.25">
      <c r="F9">
        <f>(F6)/G2</f>
        <v>5.9768090799287794</v>
      </c>
      <c r="G9">
        <f>(0.11 - 0)/0.018899283</f>
        <v>5.8203266229729458</v>
      </c>
    </row>
    <row r="14" spans="1:10" x14ac:dyDescent="0.25">
      <c r="C14" t="s">
        <v>1</v>
      </c>
      <c r="D14">
        <f>264/1137</f>
        <v>0.23218997361477572</v>
      </c>
      <c r="F14">
        <f>1-D14</f>
        <v>0.76781002638522433</v>
      </c>
      <c r="G14">
        <v>318</v>
      </c>
    </row>
    <row r="15" spans="1:10" x14ac:dyDescent="0.25">
      <c r="C15" t="s">
        <v>2</v>
      </c>
      <c r="D15">
        <f>299/1137</f>
        <v>0.26297273526824977</v>
      </c>
      <c r="F15">
        <f>1-D15</f>
        <v>0.73702726473175018</v>
      </c>
      <c r="G15">
        <v>369</v>
      </c>
    </row>
    <row r="17" spans="3:7" x14ac:dyDescent="0.25">
      <c r="E17">
        <f>D14*F14</f>
        <v>0.17827778976754549</v>
      </c>
      <c r="G17">
        <f>E17/G14</f>
        <v>5.6062198040108646E-4</v>
      </c>
    </row>
    <row r="18" spans="3:7" x14ac:dyDescent="0.25">
      <c r="E18">
        <f>D15*F15</f>
        <v>0.19381807577378476</v>
      </c>
      <c r="G18">
        <f>E18/G15</f>
        <v>5.2525223786933537E-4</v>
      </c>
    </row>
    <row r="20" spans="3:7" x14ac:dyDescent="0.25">
      <c r="G20" s="3">
        <f>G17-G18</f>
        <v>3.5369742531751085E-5</v>
      </c>
    </row>
    <row r="22" spans="3:7" x14ac:dyDescent="0.25">
      <c r="C22" t="s">
        <v>4</v>
      </c>
      <c r="D22" s="3">
        <f>G20</f>
        <v>3.5369742531751085E-5</v>
      </c>
      <c r="G22">
        <f>0.346/D22</f>
        <v>9782.3725940158893</v>
      </c>
    </row>
    <row r="28" spans="3:7" x14ac:dyDescent="0.25">
      <c r="G28" s="16">
        <f>0.11 + (1.65*0.018899283)</f>
        <v>0.14118381694999999</v>
      </c>
    </row>
    <row r="29" spans="3:7" x14ac:dyDescent="0.25">
      <c r="G29" s="16">
        <f>0.11 - (1.65*0.018899283)</f>
        <v>7.8816183050000002E-2</v>
      </c>
    </row>
    <row r="31" spans="3:7" x14ac:dyDescent="0.25">
      <c r="G31" s="16">
        <f>-0.11 + (1.96*0.018899283)</f>
        <v>-7.2957405320000002E-2</v>
      </c>
    </row>
    <row r="32" spans="3:7" x14ac:dyDescent="0.25">
      <c r="G32" s="16">
        <f>-0.11 - (1.96*0.018899283)</f>
        <v>-0.14704259468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D11" sqref="D11"/>
    </sheetView>
  </sheetViews>
  <sheetFormatPr defaultRowHeight="15" x14ac:dyDescent="0.25"/>
  <cols>
    <col min="3" max="3" width="29.140625" bestFit="1" customWidth="1"/>
    <col min="4" max="4" width="15.85546875" bestFit="1" customWidth="1"/>
    <col min="5" max="5" width="9.5703125" bestFit="1" customWidth="1"/>
    <col min="10" max="10" width="9.5703125" bestFit="1" customWidth="1"/>
  </cols>
  <sheetData>
    <row r="2" spans="2:10" x14ac:dyDescent="0.25">
      <c r="D2" t="s">
        <v>5</v>
      </c>
    </row>
    <row r="3" spans="2:10" x14ac:dyDescent="0.25">
      <c r="D3" t="s">
        <v>7</v>
      </c>
      <c r="E3" t="s">
        <v>8</v>
      </c>
      <c r="F3" t="s">
        <v>9</v>
      </c>
    </row>
    <row r="4" spans="2:10" x14ac:dyDescent="0.25">
      <c r="B4" t="s">
        <v>6</v>
      </c>
      <c r="C4" t="s">
        <v>10</v>
      </c>
      <c r="D4">
        <v>264</v>
      </c>
      <c r="E4">
        <v>299</v>
      </c>
      <c r="F4">
        <v>351</v>
      </c>
    </row>
    <row r="5" spans="2:10" x14ac:dyDescent="0.25">
      <c r="C5" t="s">
        <v>11</v>
      </c>
      <c r="D5">
        <v>38</v>
      </c>
      <c r="E5">
        <v>55</v>
      </c>
      <c r="F5">
        <v>77</v>
      </c>
    </row>
    <row r="6" spans="2:10" x14ac:dyDescent="0.25">
      <c r="C6" t="s">
        <v>12</v>
      </c>
      <c r="D6">
        <v>16</v>
      </c>
      <c r="E6">
        <v>15</v>
      </c>
      <c r="F6">
        <v>22</v>
      </c>
    </row>
    <row r="7" spans="2:10" x14ac:dyDescent="0.25">
      <c r="C7" t="s">
        <v>13</v>
      </c>
      <c r="D7">
        <v>318</v>
      </c>
      <c r="E7">
        <v>369</v>
      </c>
      <c r="F7">
        <v>450</v>
      </c>
    </row>
    <row r="8" spans="2:10" x14ac:dyDescent="0.25">
      <c r="J8" s="4">
        <v>0.81950509461426491</v>
      </c>
    </row>
    <row r="9" spans="2:10" x14ac:dyDescent="0.25">
      <c r="C9" t="s">
        <v>3</v>
      </c>
      <c r="D9">
        <f>D4/D7</f>
        <v>0.83018867924528306</v>
      </c>
    </row>
    <row r="10" spans="2:10" x14ac:dyDescent="0.25">
      <c r="C10" t="s">
        <v>15</v>
      </c>
      <c r="D10">
        <f>E4/E7</f>
        <v>0.81029810298102978</v>
      </c>
    </row>
    <row r="11" spans="2:10" x14ac:dyDescent="0.25">
      <c r="C11" t="s">
        <v>14</v>
      </c>
      <c r="D11">
        <f>(D4+E4)/(D7+E7)</f>
        <v>0.81950509461426491</v>
      </c>
      <c r="E11" s="5"/>
    </row>
    <row r="14" spans="2:10" x14ac:dyDescent="0.25">
      <c r="C14">
        <v>0.83</v>
      </c>
      <c r="D14">
        <v>0.81</v>
      </c>
      <c r="E14">
        <f>C14-D14</f>
        <v>1.9999999999999907E-2</v>
      </c>
      <c r="H14">
        <f>E14/F16</f>
        <v>0.68035439005702358</v>
      </c>
    </row>
    <row r="16" spans="2:10" x14ac:dyDescent="0.25">
      <c r="C16">
        <f>(0.82*(1-0.82))/318</f>
        <v>4.6415094339622651E-4</v>
      </c>
      <c r="D16">
        <f>(0.82*(1-0.82))/369</f>
        <v>4.0000000000000007E-4</v>
      </c>
      <c r="E16">
        <f>C16+D16</f>
        <v>8.6415094339622653E-4</v>
      </c>
      <c r="F16">
        <f>SQRT(E16)</f>
        <v>2.9396444400577197E-2</v>
      </c>
    </row>
    <row r="19" spans="1:5" x14ac:dyDescent="0.25">
      <c r="C19" t="s">
        <v>16</v>
      </c>
      <c r="D19">
        <v>0.75170000000000003</v>
      </c>
      <c r="E19">
        <f>2*D19</f>
        <v>1.5034000000000001</v>
      </c>
    </row>
    <row r="24" spans="1:5" x14ac:dyDescent="0.25">
      <c r="A24">
        <v>6.42</v>
      </c>
      <c r="B24" t="s">
        <v>17</v>
      </c>
      <c r="C24">
        <f>1019 * 0.38</f>
        <v>387.22</v>
      </c>
      <c r="D24" s="6">
        <f>1019 * 0.38</f>
        <v>387.22</v>
      </c>
    </row>
    <row r="25" spans="1:5" x14ac:dyDescent="0.25">
      <c r="C25">
        <f>1019 * 0.16</f>
        <v>163.04</v>
      </c>
      <c r="D25" s="6">
        <f>1019 * 0.16</f>
        <v>163.04</v>
      </c>
    </row>
    <row r="26" spans="1:5" x14ac:dyDescent="0.25">
      <c r="C26">
        <f>1019 * 0.4</f>
        <v>407.6</v>
      </c>
      <c r="D26" s="6">
        <f>1019 * 0.4</f>
        <v>407.6</v>
      </c>
    </row>
    <row r="27" spans="1:5" x14ac:dyDescent="0.25">
      <c r="C27">
        <f>1019 * 0.06</f>
        <v>61.14</v>
      </c>
      <c r="D27" s="6">
        <f>1019 * 0.06</f>
        <v>61.14</v>
      </c>
    </row>
    <row r="29" spans="1:5" x14ac:dyDescent="0.25">
      <c r="B29" t="s">
        <v>18</v>
      </c>
      <c r="C29">
        <f>1019 * 0.37</f>
        <v>377.03</v>
      </c>
      <c r="D29" s="6">
        <f>1019 * 0.37</f>
        <v>377.03</v>
      </c>
    </row>
    <row r="30" spans="1:5" x14ac:dyDescent="0.25">
      <c r="C30">
        <f>1019 * 0.12</f>
        <v>122.28</v>
      </c>
      <c r="D30" s="6">
        <f>1019 * 0.12</f>
        <v>122.28</v>
      </c>
    </row>
    <row r="31" spans="1:5" x14ac:dyDescent="0.25">
      <c r="C31">
        <f>1019 * 0.45</f>
        <v>458.55</v>
      </c>
      <c r="D31" s="6">
        <f>1019 * 0.45</f>
        <v>458.55</v>
      </c>
    </row>
    <row r="32" spans="1:5" x14ac:dyDescent="0.25">
      <c r="C32">
        <f>1019 * 0.06</f>
        <v>61.14</v>
      </c>
      <c r="D32" s="6">
        <f>1019 * 0.06</f>
        <v>61.14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9"/>
  <sheetViews>
    <sheetView workbookViewId="0">
      <selection activeCell="F19" sqref="F19"/>
    </sheetView>
  </sheetViews>
  <sheetFormatPr defaultRowHeight="15" x14ac:dyDescent="0.25"/>
  <cols>
    <col min="4" max="4" width="44.5703125" bestFit="1" customWidth="1"/>
    <col min="5" max="5" width="19.140625" bestFit="1" customWidth="1"/>
    <col min="6" max="6" width="24.5703125" customWidth="1"/>
    <col min="7" max="7" width="13.85546875" customWidth="1"/>
    <col min="8" max="8" width="15.85546875" bestFit="1" customWidth="1"/>
    <col min="9" max="9" width="19.85546875" customWidth="1"/>
  </cols>
  <sheetData>
    <row r="2" spans="4:10" ht="30" x14ac:dyDescent="0.25">
      <c r="D2" s="7"/>
      <c r="E2" s="8" t="s">
        <v>24</v>
      </c>
      <c r="F2" s="8" t="s">
        <v>25</v>
      </c>
      <c r="G2" s="8" t="s">
        <v>26</v>
      </c>
    </row>
    <row r="3" spans="4:10" x14ac:dyDescent="0.25">
      <c r="D3" s="7" t="s">
        <v>19</v>
      </c>
      <c r="E3" s="7">
        <v>387</v>
      </c>
      <c r="F3" s="7">
        <v>377</v>
      </c>
      <c r="G3" s="9">
        <f>((E3-F3)^2)/F3</f>
        <v>0.26525198938992045</v>
      </c>
      <c r="H3" s="9">
        <f>((E3-F3)^2)/E3</f>
        <v>0.25839793281653745</v>
      </c>
      <c r="I3">
        <f>(E3-F3)/SQRT(F3)</f>
        <v>0.51502620262460475</v>
      </c>
      <c r="J3">
        <f>I3*I3</f>
        <v>0.26525198938992045</v>
      </c>
    </row>
    <row r="4" spans="4:10" x14ac:dyDescent="0.25">
      <c r="D4" s="7" t="s">
        <v>20</v>
      </c>
      <c r="E4" s="7">
        <v>163</v>
      </c>
      <c r="F4" s="7">
        <v>122</v>
      </c>
      <c r="G4" s="9">
        <f>((E4-F4)^2)/F4</f>
        <v>13.778688524590164</v>
      </c>
      <c r="H4" s="9">
        <f t="shared" ref="H4:H6" si="0">((E4-F4)^2)/E4</f>
        <v>10.312883435582823</v>
      </c>
      <c r="I4">
        <f t="shared" ref="I4:I6" si="1">(E4-F4)/SQRT(F4)</f>
        <v>3.7119655877432596</v>
      </c>
      <c r="J4">
        <f t="shared" ref="J4:J6" si="2">I4*I4</f>
        <v>13.778688524590162</v>
      </c>
    </row>
    <row r="5" spans="4:10" x14ac:dyDescent="0.25">
      <c r="D5" s="7" t="s">
        <v>21</v>
      </c>
      <c r="E5" s="7">
        <v>408</v>
      </c>
      <c r="F5" s="7">
        <v>459</v>
      </c>
      <c r="G5" s="9">
        <f>((E5-F5)^2)/F5</f>
        <v>5.666666666666667</v>
      </c>
      <c r="H5" s="9">
        <f t="shared" si="0"/>
        <v>6.375</v>
      </c>
      <c r="I5">
        <f t="shared" si="1"/>
        <v>-2.3804761428476167</v>
      </c>
      <c r="J5">
        <f t="shared" si="2"/>
        <v>5.666666666666667</v>
      </c>
    </row>
    <row r="6" spans="4:10" x14ac:dyDescent="0.25">
      <c r="D6" s="7" t="s">
        <v>22</v>
      </c>
      <c r="E6" s="7">
        <v>61</v>
      </c>
      <c r="F6" s="7">
        <v>61</v>
      </c>
      <c r="G6" s="9">
        <f>((E6-F6)^2)/F6</f>
        <v>0</v>
      </c>
      <c r="H6" s="9">
        <f t="shared" si="0"/>
        <v>0</v>
      </c>
      <c r="I6">
        <f t="shared" si="1"/>
        <v>0</v>
      </c>
      <c r="J6">
        <f t="shared" si="2"/>
        <v>0</v>
      </c>
    </row>
    <row r="7" spans="4:10" x14ac:dyDescent="0.25">
      <c r="D7" s="8" t="s">
        <v>23</v>
      </c>
      <c r="E7" s="8">
        <f>SUM(E3:E6)</f>
        <v>1019</v>
      </c>
      <c r="F7" s="8">
        <f>SUM(F3:F6)</f>
        <v>1019</v>
      </c>
      <c r="G7" s="10">
        <f>SUM(G3:G6)</f>
        <v>19.71060718064675</v>
      </c>
      <c r="H7" s="10">
        <f>SUM(H3:H6)</f>
        <v>16.946281368399362</v>
      </c>
    </row>
    <row r="10" spans="4:10" x14ac:dyDescent="0.25">
      <c r="G10" s="9"/>
    </row>
    <row r="11" spans="4:10" x14ac:dyDescent="0.25">
      <c r="G11" s="9"/>
    </row>
    <row r="12" spans="4:10" x14ac:dyDescent="0.25">
      <c r="F12">
        <f>100/377</f>
        <v>0.26525198938992045</v>
      </c>
      <c r="H12">
        <f>F12*G12</f>
        <v>0</v>
      </c>
    </row>
    <row r="13" spans="4:10" x14ac:dyDescent="0.25">
      <c r="G13" s="9"/>
    </row>
    <row r="14" spans="4:10" x14ac:dyDescent="0.25">
      <c r="G14" s="10"/>
    </row>
    <row r="19" spans="6:6" x14ac:dyDescent="0.25">
      <c r="F19">
        <f>2.4199 + 0.2488</f>
        <v>2.6687000000000003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15"/>
  <sheetViews>
    <sheetView workbookViewId="0">
      <selection activeCell="H4" sqref="H4"/>
    </sheetView>
  </sheetViews>
  <sheetFormatPr defaultRowHeight="15" x14ac:dyDescent="0.25"/>
  <cols>
    <col min="6" max="6" width="22.140625" bestFit="1" customWidth="1"/>
    <col min="7" max="7" width="14.28515625" bestFit="1" customWidth="1"/>
    <col min="8" max="8" width="12.28515625" customWidth="1"/>
    <col min="9" max="9" width="10" bestFit="1" customWidth="1"/>
    <col min="10" max="10" width="22" customWidth="1"/>
    <col min="11" max="11" width="12.5703125" bestFit="1" customWidth="1"/>
    <col min="12" max="12" width="12.140625" customWidth="1"/>
  </cols>
  <sheetData>
    <row r="2" spans="6:13" x14ac:dyDescent="0.25">
      <c r="F2" s="7"/>
      <c r="G2" s="24" t="s">
        <v>28</v>
      </c>
      <c r="H2" s="25"/>
      <c r="I2" s="25"/>
      <c r="J2" s="25"/>
      <c r="K2" s="25"/>
      <c r="L2" s="25"/>
      <c r="M2" s="7"/>
    </row>
    <row r="3" spans="6:13" ht="30" x14ac:dyDescent="0.25">
      <c r="F3" s="7"/>
      <c r="G3" s="8" t="s">
        <v>7</v>
      </c>
      <c r="H3" s="8" t="s">
        <v>27</v>
      </c>
      <c r="I3" s="8" t="s">
        <v>8</v>
      </c>
      <c r="J3" s="8" t="s">
        <v>29</v>
      </c>
      <c r="K3" s="8" t="s">
        <v>9</v>
      </c>
      <c r="L3" s="8" t="s">
        <v>30</v>
      </c>
      <c r="M3" s="8" t="s">
        <v>23</v>
      </c>
    </row>
    <row r="4" spans="6:13" x14ac:dyDescent="0.25">
      <c r="F4" s="7" t="s">
        <v>10</v>
      </c>
      <c r="G4" s="7">
        <v>264</v>
      </c>
      <c r="H4" s="11">
        <f>(M4*G$7)/M$7</f>
        <v>255.63060686015831</v>
      </c>
      <c r="I4" s="7">
        <v>299</v>
      </c>
      <c r="J4" s="11">
        <f>(M4*I$7)/$M$7</f>
        <v>296.62796833773086</v>
      </c>
      <c r="K4" s="7">
        <v>351</v>
      </c>
      <c r="L4" s="11">
        <f>(M4*K$7)/M$7</f>
        <v>361.74142480211083</v>
      </c>
      <c r="M4" s="8">
        <f>SUM(G4,I4,K4)</f>
        <v>914</v>
      </c>
    </row>
    <row r="5" spans="6:13" x14ac:dyDescent="0.25">
      <c r="F5" s="7" t="s">
        <v>11</v>
      </c>
      <c r="G5" s="7">
        <v>38</v>
      </c>
      <c r="H5" s="11">
        <f t="shared" ref="H5:H6" si="0">(M5*G$7)/M$7</f>
        <v>47.546174142480211</v>
      </c>
      <c r="I5" s="7">
        <v>55</v>
      </c>
      <c r="J5" s="11">
        <f t="shared" ref="J5:J6" si="1">(M5*I$7)/$M$7</f>
        <v>55.171503957783642</v>
      </c>
      <c r="K5" s="7">
        <v>77</v>
      </c>
      <c r="L5" s="11">
        <f t="shared" ref="L5:L6" si="2">(M5*K$7)/M$7</f>
        <v>67.282321899736147</v>
      </c>
      <c r="M5" s="8">
        <f t="shared" ref="M5:M6" si="3">SUM(G5,I5,K5)</f>
        <v>170</v>
      </c>
    </row>
    <row r="6" spans="6:13" x14ac:dyDescent="0.25">
      <c r="F6" s="7" t="s">
        <v>12</v>
      </c>
      <c r="G6" s="7">
        <v>16</v>
      </c>
      <c r="H6" s="11">
        <f t="shared" si="0"/>
        <v>14.823218997361478</v>
      </c>
      <c r="I6" s="7">
        <v>15</v>
      </c>
      <c r="J6" s="11">
        <f t="shared" si="1"/>
        <v>17.200527704485488</v>
      </c>
      <c r="K6" s="7">
        <v>22</v>
      </c>
      <c r="L6" s="11">
        <f t="shared" si="2"/>
        <v>20.976253298153033</v>
      </c>
      <c r="M6" s="8">
        <f t="shared" si="3"/>
        <v>53</v>
      </c>
    </row>
    <row r="7" spans="6:13" x14ac:dyDescent="0.25">
      <c r="F7" s="8" t="s">
        <v>13</v>
      </c>
      <c r="G7" s="8">
        <f t="shared" ref="G7:M7" si="4">SUM(G4:G6)</f>
        <v>318</v>
      </c>
      <c r="H7" s="12">
        <f t="shared" si="4"/>
        <v>318</v>
      </c>
      <c r="I7" s="8">
        <f t="shared" si="4"/>
        <v>369</v>
      </c>
      <c r="J7" s="12">
        <f t="shared" si="4"/>
        <v>369</v>
      </c>
      <c r="K7" s="8">
        <f t="shared" si="4"/>
        <v>450</v>
      </c>
      <c r="L7" s="12">
        <f t="shared" si="4"/>
        <v>450</v>
      </c>
      <c r="M7" s="8">
        <f t="shared" si="4"/>
        <v>1137</v>
      </c>
    </row>
    <row r="8" spans="6:13" x14ac:dyDescent="0.25">
      <c r="F8" s="1"/>
      <c r="G8" s="1"/>
      <c r="H8" s="1"/>
      <c r="I8" s="1"/>
      <c r="J8" s="1"/>
      <c r="K8" s="1"/>
      <c r="L8" s="1"/>
      <c r="M8" s="1"/>
    </row>
    <row r="10" spans="6:13" x14ac:dyDescent="0.25">
      <c r="H10">
        <f>(H4-G4)^2/H4</f>
        <v>0.27401547251948566</v>
      </c>
      <c r="J10">
        <f>(J4-I4)^2/I$7</f>
        <v>1.5248060181049555E-2</v>
      </c>
      <c r="L10">
        <f>(L4-K4)^2/K$7</f>
        <v>0.25639601506533699</v>
      </c>
    </row>
    <row r="11" spans="6:13" x14ac:dyDescent="0.25">
      <c r="H11">
        <f t="shared" ref="H11:H12" si="5">(H5-G5)^2/G$7</f>
        <v>0.28657056842313772</v>
      </c>
      <c r="J11">
        <f t="shared" ref="J11:J12" si="6">(J5-I5)^2/I$7</f>
        <v>7.971167353781383E-5</v>
      </c>
      <c r="L11">
        <f t="shared" ref="L11:L12" si="7">(L5-K5)^2/K$7</f>
        <v>0.20985170591188376</v>
      </c>
    </row>
    <row r="12" spans="6:13" x14ac:dyDescent="0.25">
      <c r="H12">
        <f t="shared" si="5"/>
        <v>4.3547595225500819E-3</v>
      </c>
      <c r="J12">
        <f t="shared" si="6"/>
        <v>1.3122824331187452E-2</v>
      </c>
      <c r="L12">
        <f t="shared" si="7"/>
        <v>2.3290162434278735E-3</v>
      </c>
    </row>
    <row r="15" spans="6:13" x14ac:dyDescent="0.25">
      <c r="I15">
        <f>8/256</f>
        <v>3.125E-2</v>
      </c>
    </row>
  </sheetData>
  <mergeCells count="1">
    <mergeCell ref="G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0"/>
  <sheetViews>
    <sheetView tabSelected="1" workbookViewId="0">
      <selection activeCell="F4" sqref="F4"/>
    </sheetView>
  </sheetViews>
  <sheetFormatPr defaultRowHeight="15" x14ac:dyDescent="0.25"/>
  <cols>
    <col min="9" max="9" width="19.28515625" bestFit="1" customWidth="1"/>
  </cols>
  <sheetData>
    <row r="2" spans="4:15" x14ac:dyDescent="0.25">
      <c r="D2" s="13"/>
      <c r="E2" s="24" t="s">
        <v>28</v>
      </c>
      <c r="F2" s="25"/>
      <c r="G2" s="25"/>
      <c r="H2" s="25"/>
      <c r="I2" s="25"/>
      <c r="J2" s="25"/>
      <c r="K2" s="25"/>
      <c r="L2" s="25"/>
      <c r="M2" s="13"/>
      <c r="N2" s="13"/>
    </row>
    <row r="3" spans="4:15" ht="45" x14ac:dyDescent="0.25">
      <c r="D3" s="13"/>
      <c r="E3" s="8" t="s">
        <v>7</v>
      </c>
      <c r="F3" s="8" t="s">
        <v>27</v>
      </c>
      <c r="G3" s="18" t="s">
        <v>31</v>
      </c>
      <c r="H3" s="8" t="s">
        <v>8</v>
      </c>
      <c r="I3" s="8" t="s">
        <v>29</v>
      </c>
      <c r="J3" s="18" t="s">
        <v>31</v>
      </c>
      <c r="K3" s="8" t="s">
        <v>9</v>
      </c>
      <c r="L3" s="8" t="s">
        <v>30</v>
      </c>
      <c r="M3" s="18" t="s">
        <v>31</v>
      </c>
      <c r="N3" s="8" t="s">
        <v>23</v>
      </c>
    </row>
    <row r="4" spans="4:15" x14ac:dyDescent="0.25">
      <c r="D4" s="13" t="s">
        <v>10</v>
      </c>
      <c r="E4" s="13">
        <v>264</v>
      </c>
      <c r="F4" s="11">
        <f>(N4*E$7)/N$7</f>
        <v>255.63060686015831</v>
      </c>
      <c r="G4" s="19">
        <f>64/256</f>
        <v>0.25</v>
      </c>
      <c r="H4" s="13">
        <v>299</v>
      </c>
      <c r="I4" s="11">
        <f>N4*H7/N7</f>
        <v>296.62796833773086</v>
      </c>
      <c r="J4" s="19">
        <f>4/I4</f>
        <v>1.3484905089751116E-2</v>
      </c>
      <c r="K4" s="13">
        <v>351</v>
      </c>
      <c r="L4" s="11">
        <f>(N4*K$7)/N$7</f>
        <v>361.74142480211083</v>
      </c>
      <c r="M4" s="19">
        <f>121/L4</f>
        <v>0.33449307075127643</v>
      </c>
      <c r="N4" s="8">
        <f>SUM(E4,H4,K4)</f>
        <v>914</v>
      </c>
    </row>
    <row r="5" spans="4:15" ht="30" x14ac:dyDescent="0.25">
      <c r="D5" s="13" t="s">
        <v>11</v>
      </c>
      <c r="E5" s="13">
        <v>38</v>
      </c>
      <c r="F5" s="11">
        <f t="shared" ref="F5:F6" si="0">(N5*E$7)/N$7</f>
        <v>47.546174142480211</v>
      </c>
      <c r="G5" s="19">
        <f>100/F5</f>
        <v>2.1032186459489455</v>
      </c>
      <c r="H5" s="13">
        <v>55</v>
      </c>
      <c r="I5" s="11">
        <f>N5*H7/N7</f>
        <v>55.171503957783642</v>
      </c>
      <c r="J5" s="19">
        <f>0</f>
        <v>0</v>
      </c>
      <c r="K5" s="13">
        <v>77</v>
      </c>
      <c r="L5" s="11">
        <f t="shared" ref="L5:L6" si="1">(N5*K$7)/N$7</f>
        <v>67.282321899736147</v>
      </c>
      <c r="M5" s="19">
        <f>100/L5</f>
        <v>1.4862745098039216</v>
      </c>
      <c r="N5" s="8">
        <f t="shared" ref="N5:N6" si="2">SUM(E5,H5,K5)</f>
        <v>170</v>
      </c>
    </row>
    <row r="6" spans="4:15" ht="45" x14ac:dyDescent="0.25">
      <c r="D6" s="13" t="s">
        <v>12</v>
      </c>
      <c r="E6" s="13">
        <v>16</v>
      </c>
      <c r="F6" s="11">
        <f t="shared" si="0"/>
        <v>14.823218997361478</v>
      </c>
      <c r="G6" s="19">
        <f>1/15</f>
        <v>6.6666666666666666E-2</v>
      </c>
      <c r="H6" s="13">
        <v>15</v>
      </c>
      <c r="I6" s="11">
        <f>N6*H7/N7</f>
        <v>17.200527704485488</v>
      </c>
      <c r="J6" s="19">
        <f>4/17</f>
        <v>0.23529411764705882</v>
      </c>
      <c r="K6" s="13">
        <v>22</v>
      </c>
      <c r="L6" s="11">
        <f t="shared" si="1"/>
        <v>20.976253298153033</v>
      </c>
      <c r="M6" s="19">
        <f>1/L6</f>
        <v>4.7672955974842772E-2</v>
      </c>
      <c r="N6" s="8">
        <f t="shared" si="2"/>
        <v>53</v>
      </c>
    </row>
    <row r="7" spans="4:15" x14ac:dyDescent="0.25">
      <c r="D7" s="8" t="s">
        <v>13</v>
      </c>
      <c r="E7" s="8">
        <f t="shared" ref="E7:N7" si="3">SUM(E4:E6)</f>
        <v>318</v>
      </c>
      <c r="F7" s="12">
        <f t="shared" si="3"/>
        <v>318</v>
      </c>
      <c r="G7" s="19">
        <f>SUM(G4:G6)</f>
        <v>2.4198853126156123</v>
      </c>
      <c r="H7" s="8">
        <f t="shared" si="3"/>
        <v>369</v>
      </c>
      <c r="I7" s="12">
        <f t="shared" si="3"/>
        <v>369</v>
      </c>
      <c r="J7" s="19">
        <f>SUM(J4:J6)</f>
        <v>0.24877902273680993</v>
      </c>
      <c r="K7" s="8">
        <f t="shared" si="3"/>
        <v>450</v>
      </c>
      <c r="L7" s="12">
        <f t="shared" si="3"/>
        <v>450</v>
      </c>
      <c r="M7" s="19">
        <f>SUM(M4:M6)</f>
        <v>1.8684405365300409</v>
      </c>
      <c r="N7" s="8">
        <f t="shared" si="3"/>
        <v>1137</v>
      </c>
    </row>
    <row r="8" spans="4:15" x14ac:dyDescent="0.25">
      <c r="G8" s="17"/>
    </row>
    <row r="10" spans="4:15" x14ac:dyDescent="0.25">
      <c r="F10" s="6">
        <f>E4-F4</f>
        <v>8.3693931398416908</v>
      </c>
      <c r="G10" s="6">
        <f>E4-F4</f>
        <v>8.3693931398416908</v>
      </c>
      <c r="H10">
        <f>F10*G10</f>
        <v>70.046741529229152</v>
      </c>
    </row>
    <row r="11" spans="4:15" x14ac:dyDescent="0.25">
      <c r="F11">
        <v>8</v>
      </c>
      <c r="G11">
        <v>8</v>
      </c>
      <c r="H11">
        <f>F11*G11</f>
        <v>64</v>
      </c>
    </row>
    <row r="14" spans="4:15" x14ac:dyDescent="0.25">
      <c r="G14" s="3">
        <f>E4-F4</f>
        <v>8.3693931398416908</v>
      </c>
      <c r="H14" s="6">
        <f>E4-F4</f>
        <v>8.3693931398416908</v>
      </c>
      <c r="I14">
        <f>(G14*H14)</f>
        <v>70.046741529229152</v>
      </c>
    </row>
    <row r="16" spans="4:15" x14ac:dyDescent="0.25">
      <c r="I16">
        <f>64/256</f>
        <v>0.25</v>
      </c>
      <c r="L16" s="17">
        <v>2.4198853126156123</v>
      </c>
      <c r="M16" s="17">
        <v>0.24877902273680993</v>
      </c>
      <c r="N16" s="17">
        <v>1.8684405365300409</v>
      </c>
      <c r="O16" s="15">
        <f>SUM(L16:N16)</f>
        <v>4.5371048718824634</v>
      </c>
    </row>
    <row r="19" spans="9:11" x14ac:dyDescent="0.25">
      <c r="I19">
        <f>1002*(1-0.05)</f>
        <v>951.9</v>
      </c>
    </row>
    <row r="20" spans="9:11" x14ac:dyDescent="0.25">
      <c r="K20">
        <f>2.4199 + 0.2488</f>
        <v>2.6687000000000003</v>
      </c>
    </row>
  </sheetData>
  <mergeCells count="1">
    <mergeCell ref="E2:L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4" sqref="L14"/>
    </sheetView>
  </sheetViews>
  <sheetFormatPr defaultRowHeight="15" x14ac:dyDescent="0.25"/>
  <cols>
    <col min="5" max="5" width="12" bestFit="1" customWidth="1"/>
    <col min="7" max="9" width="12" bestFit="1" customWidth="1"/>
    <col min="12" max="12" width="10" bestFit="1" customWidth="1"/>
  </cols>
  <sheetData>
    <row r="1" spans="1:12" x14ac:dyDescent="0.25">
      <c r="A1" t="s">
        <v>32</v>
      </c>
    </row>
    <row r="2" spans="1:12" x14ac:dyDescent="0.25">
      <c r="A2" t="s">
        <v>33</v>
      </c>
    </row>
    <row r="5" spans="1:12" x14ac:dyDescent="0.25">
      <c r="D5" s="16">
        <v>3.8E-3</v>
      </c>
      <c r="E5" s="16">
        <v>1.61E-2</v>
      </c>
    </row>
    <row r="6" spans="1:12" x14ac:dyDescent="0.25">
      <c r="D6" s="16">
        <v>3.6400000000000002E-2</v>
      </c>
      <c r="E6" s="16">
        <v>6.3399999999999998E-2</v>
      </c>
    </row>
    <row r="10" spans="1:12" x14ac:dyDescent="0.25">
      <c r="E10">
        <f>39*0.05</f>
        <v>1.9500000000000002</v>
      </c>
    </row>
    <row r="13" spans="1:12" x14ac:dyDescent="0.25">
      <c r="E13">
        <f>(0.01/1.96)</f>
        <v>5.1020408163265311E-3</v>
      </c>
      <c r="F13">
        <f>(0.01/1.96)</f>
        <v>5.1020408163265311E-3</v>
      </c>
      <c r="G13">
        <f>E13*F13</f>
        <v>2.6030820491461895E-5</v>
      </c>
      <c r="K13">
        <f>0.5*0.5</f>
        <v>0.25</v>
      </c>
      <c r="L13">
        <f>K13/G13</f>
        <v>9603.9999999999982</v>
      </c>
    </row>
    <row r="16" spans="1:12" x14ac:dyDescent="0.25">
      <c r="I16">
        <f xml:space="preserve"> (0.5*0.5)/(0.01/1.96)^2</f>
        <v>9603.9999999999982</v>
      </c>
    </row>
    <row r="17" spans="5:6" x14ac:dyDescent="0.25">
      <c r="E17">
        <f>(0.01/1.96)^2</f>
        <v>2.6030820491461895E-5</v>
      </c>
      <c r="F17">
        <f>0.5*0.5/E17</f>
        <v>9603.9999999999982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7"/>
  <sheetViews>
    <sheetView workbookViewId="0">
      <selection activeCell="K28" sqref="K28"/>
    </sheetView>
  </sheetViews>
  <sheetFormatPr defaultRowHeight="15" x14ac:dyDescent="0.25"/>
  <cols>
    <col min="6" max="6" width="21.5703125" customWidth="1"/>
    <col min="7" max="7" width="15.7109375" bestFit="1" customWidth="1"/>
    <col min="8" max="8" width="11" bestFit="1" customWidth="1"/>
    <col min="10" max="10" width="12.5703125" bestFit="1" customWidth="1"/>
    <col min="11" max="12" width="12" bestFit="1" customWidth="1"/>
  </cols>
  <sheetData>
    <row r="3" spans="4:9" x14ac:dyDescent="0.25">
      <c r="D3">
        <f>(0.015/1.64)</f>
        <v>9.1463414634146336E-3</v>
      </c>
      <c r="E3">
        <f>D3</f>
        <v>9.1463414634146336E-3</v>
      </c>
      <c r="F3" s="20">
        <f>D3*E3</f>
        <v>8.3655562165377737E-5</v>
      </c>
      <c r="G3" s="23"/>
      <c r="I3">
        <v>0.25</v>
      </c>
    </row>
    <row r="4" spans="4:9" x14ac:dyDescent="0.25">
      <c r="I4">
        <f>I3/F3</f>
        <v>2988.4444444444448</v>
      </c>
    </row>
    <row r="6" spans="4:9" x14ac:dyDescent="0.25">
      <c r="I6">
        <f>I3/0.0000831477906</f>
        <v>3006.6944436645081</v>
      </c>
    </row>
    <row r="12" spans="4:9" x14ac:dyDescent="0.25">
      <c r="F12">
        <f>(0.015/1.645) * (0.015/1.655)</f>
        <v>8.2645387009981712E-5</v>
      </c>
      <c r="H12">
        <f>I3/F12</f>
        <v>3024.9722222222226</v>
      </c>
    </row>
    <row r="17" spans="6:12" x14ac:dyDescent="0.25">
      <c r="F17" s="21">
        <f>(0.015/1.65) * (0.015/1.65)</f>
        <v>8.2644628099173546E-5</v>
      </c>
      <c r="H17">
        <f>I3/F17</f>
        <v>3025.0000000000005</v>
      </c>
      <c r="I17">
        <f>I3/0.00008264</f>
        <v>3025.1694094869313</v>
      </c>
    </row>
    <row r="20" spans="6:12" x14ac:dyDescent="0.25">
      <c r="F20">
        <f>0.015/1.64</f>
        <v>9.1463414634146336E-3</v>
      </c>
    </row>
    <row r="21" spans="6:12" x14ac:dyDescent="0.25">
      <c r="F21">
        <v>9.1500000000000001E-3</v>
      </c>
      <c r="G21">
        <f>F21</f>
        <v>9.1500000000000001E-3</v>
      </c>
      <c r="H21">
        <f>F21*G21</f>
        <v>8.3722500000000004E-5</v>
      </c>
      <c r="I21">
        <f>I3/H21</f>
        <v>2986.0551225775625</v>
      </c>
      <c r="K21">
        <f>0.48*0.52</f>
        <v>0.24959999999999999</v>
      </c>
      <c r="L21">
        <f>K21/H21</f>
        <v>2981.2774343814385</v>
      </c>
    </row>
    <row r="23" spans="6:12" x14ac:dyDescent="0.25">
      <c r="K23">
        <f>0.015/1.645</f>
        <v>9.11854103343465E-3</v>
      </c>
    </row>
    <row r="27" spans="6:12" x14ac:dyDescent="0.25">
      <c r="J27" s="22">
        <f>0.009118541^2</f>
        <v>8.3147789968681014E-5</v>
      </c>
      <c r="K27">
        <f>K21/J27</f>
        <v>3001.8837553471467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6.42c</vt:lpstr>
      <vt:lpstr>6.46</vt:lpstr>
      <vt:lpstr>Sheet5</vt:lpstr>
      <vt:lpstr>Sheet6</vt:lpstr>
      <vt:lpstr>6.18</vt:lpstr>
      <vt:lpstr>6.48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Shravani</cp:lastModifiedBy>
  <dcterms:created xsi:type="dcterms:W3CDTF">2019-10-05T18:32:33Z</dcterms:created>
  <dcterms:modified xsi:type="dcterms:W3CDTF">2019-10-13T17:26:02Z</dcterms:modified>
</cp:coreProperties>
</file>