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ini.jeyapal\OneDrive - Fractal Analytics Limited\Harini_Jeyapal\Supply Chain\GenAI\ADK\contractleakageadk\datasets\"/>
    </mc:Choice>
  </mc:AlternateContent>
  <xr:revisionPtr revIDLastSave="0" documentId="13_ncr:1_{46DE7D39-6A7F-4697-8FA1-27DE8D3FEEE5}" xr6:coauthVersionLast="47" xr6:coauthVersionMax="47" xr10:uidLastSave="{00000000-0000-0000-0000-000000000000}"/>
  <bookViews>
    <workbookView xWindow="-110" yWindow="-110" windowWidth="19420" windowHeight="10300" xr2:uid="{4AB969E0-ECD5-4FF9-B89B-7F4F6948BA14}"/>
  </bookViews>
  <sheets>
    <sheet name="Sheet1" sheetId="2" r:id="rId1"/>
    <sheet name="Sheet4" sheetId="4" state="hidden" r:id="rId2"/>
    <sheet name="Sheet6" sheetId="6" state="hidden" r:id="rId3"/>
  </sheets>
  <definedNames>
    <definedName name="_xlnm._FilterDatabase" localSheetId="0" hidden="1">Sheet1!$A$1:$BL$24</definedName>
  </definedNames>
  <calcPr calcId="191028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" i="2" l="1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" i="2"/>
  <c r="BO2" i="2" s="1"/>
  <c r="BN2" i="2"/>
  <c r="K2" i="2"/>
  <c r="BJ19" i="2"/>
  <c r="BL19" i="2" s="1"/>
  <c r="BK19" i="2" l="1"/>
  <c r="BA12" i="2" l="1"/>
  <c r="BA24" i="2"/>
  <c r="BA23" i="2"/>
  <c r="BA22" i="2"/>
  <c r="BA21" i="2"/>
  <c r="BA20" i="2"/>
  <c r="BA19" i="2"/>
  <c r="BA18" i="2"/>
  <c r="BA17" i="2"/>
  <c r="BA16" i="2"/>
  <c r="BA15" i="2"/>
  <c r="BA14" i="2"/>
  <c r="BA13" i="2"/>
  <c r="BA11" i="2"/>
  <c r="BA10" i="2"/>
  <c r="BA9" i="2"/>
  <c r="BA8" i="2"/>
  <c r="BA7" i="2"/>
  <c r="BA5" i="2"/>
  <c r="BA4" i="2"/>
  <c r="BA3" i="2"/>
  <c r="BA2" i="2"/>
  <c r="BJ20" i="2" l="1"/>
  <c r="BK20" i="2" s="1"/>
  <c r="BJ14" i="2"/>
  <c r="BK14" i="2" s="1"/>
  <c r="BJ15" i="2"/>
  <c r="BK15" i="2" s="1"/>
  <c r="BJ16" i="2"/>
  <c r="BK16" i="2" s="1"/>
  <c r="BJ17" i="2"/>
  <c r="BJ18" i="2"/>
  <c r="BK18" i="2" s="1"/>
  <c r="BJ10" i="2"/>
  <c r="BJ8" i="2"/>
  <c r="BJ3" i="2"/>
  <c r="BJ2" i="2"/>
  <c r="BA6" i="2"/>
  <c r="BJ24" i="2"/>
  <c r="BK24" i="2" s="1"/>
  <c r="BJ23" i="2"/>
  <c r="BK23" i="2" s="1"/>
  <c r="BJ22" i="2"/>
  <c r="BK22" i="2" s="1"/>
  <c r="BJ21" i="2"/>
  <c r="BK21" i="2" s="1"/>
  <c r="BJ13" i="2"/>
  <c r="BK13" i="2" s="1"/>
  <c r="BJ12" i="2"/>
  <c r="BJ11" i="2"/>
  <c r="BJ9" i="2"/>
  <c r="BJ7" i="2"/>
  <c r="BK7" i="2" s="1"/>
  <c r="BJ6" i="2"/>
  <c r="BK6" i="2" s="1"/>
  <c r="BJ4" i="2"/>
  <c r="K5" i="2"/>
  <c r="BI5" i="2" s="1"/>
  <c r="K22" i="2"/>
  <c r="BI22" i="2" s="1"/>
  <c r="K21" i="2"/>
  <c r="BI21" i="2" s="1"/>
  <c r="K6" i="2"/>
  <c r="BI6" i="2" s="1"/>
  <c r="K11" i="2"/>
  <c r="BI11" i="2" s="1"/>
  <c r="K17" i="2"/>
  <c r="BI17" i="2" s="1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K19" i="2"/>
  <c r="BI19" i="2" s="1"/>
  <c r="K9" i="2"/>
  <c r="BI9" i="2" s="1"/>
  <c r="K10" i="2"/>
  <c r="BI10" i="2" s="1"/>
  <c r="K20" i="2"/>
  <c r="BI20" i="2" s="1"/>
  <c r="K16" i="2"/>
  <c r="BI16" i="2" s="1"/>
  <c r="K24" i="2"/>
  <c r="BI24" i="2" s="1"/>
  <c r="K23" i="2"/>
  <c r="BI23" i="2" s="1"/>
  <c r="K8" i="2"/>
  <c r="BI8" i="2" s="1"/>
  <c r="K7" i="2"/>
  <c r="BI7" i="2" s="1"/>
  <c r="K18" i="2"/>
  <c r="BI18" i="2" s="1"/>
  <c r="K13" i="2"/>
  <c r="BI13" i="2" s="1"/>
  <c r="K4" i="2"/>
  <c r="BI4" i="2" s="1"/>
  <c r="K12" i="2"/>
  <c r="BI12" i="2" s="1"/>
  <c r="K3" i="2"/>
  <c r="BI3" i="2" s="1"/>
  <c r="K15" i="2"/>
  <c r="BI15" i="2" s="1"/>
  <c r="K14" i="2"/>
  <c r="BI14" i="2" s="1"/>
  <c r="BI2" i="2"/>
  <c r="BH5" i="6"/>
  <c r="BH4" i="6"/>
  <c r="BH3" i="6"/>
  <c r="BH2" i="6"/>
  <c r="BK10" i="2" l="1"/>
  <c r="BL10" i="2"/>
  <c r="BK4" i="2"/>
  <c r="BL4" i="2"/>
  <c r="BK17" i="2"/>
  <c r="BL17" i="2"/>
  <c r="BK9" i="2"/>
  <c r="BL9" i="2"/>
  <c r="BK8" i="2"/>
  <c r="BL8" i="2"/>
  <c r="BK11" i="2"/>
  <c r="BL11" i="2"/>
  <c r="BK2" i="2"/>
  <c r="BL2" i="2"/>
  <c r="BK12" i="2"/>
  <c r="BL12" i="2"/>
  <c r="BK3" i="2"/>
  <c r="BL3" i="2"/>
</calcChain>
</file>

<file path=xl/sharedStrings.xml><?xml version="1.0" encoding="utf-8"?>
<sst xmlns="http://schemas.openxmlformats.org/spreadsheetml/2006/main" count="409" uniqueCount="141">
  <si>
    <t>Customer Code</t>
  </si>
  <si>
    <t>Contract ID</t>
  </si>
  <si>
    <t>Service Center</t>
  </si>
  <si>
    <t>STB Code</t>
  </si>
  <si>
    <t>Invoice Number</t>
  </si>
  <si>
    <t>Invoice Date</t>
  </si>
  <si>
    <t>Product Code</t>
  </si>
  <si>
    <t>Product Type</t>
  </si>
  <si>
    <t>AWB Number</t>
  </si>
  <si>
    <t>CRCRDREF</t>
  </si>
  <si>
    <t>Batch Date</t>
  </si>
  <si>
    <t>Origin Area</t>
  </si>
  <si>
    <t>Destination Area</t>
  </si>
  <si>
    <t>ZONE</t>
  </si>
  <si>
    <t>Actual Weight</t>
  </si>
  <si>
    <t>Charge Weight</t>
  </si>
  <si>
    <t>PCS</t>
  </si>
  <si>
    <t>Freight</t>
  </si>
  <si>
    <t>NFORMCHGS</t>
  </si>
  <si>
    <t>PSS Charge</t>
  </si>
  <si>
    <t>FS Amount</t>
  </si>
  <si>
    <t>CAF Amount</t>
  </si>
  <si>
    <t>ADDISRCHG</t>
  </si>
  <si>
    <t>AWB Fees</t>
  </si>
  <si>
    <t>COMVAL</t>
  </si>
  <si>
    <t>DC Charge</t>
  </si>
  <si>
    <t>DGR Charge</t>
  </si>
  <si>
    <t>DI Charge</t>
  </si>
  <si>
    <t>DL Charge</t>
  </si>
  <si>
    <t>DLRETCHRG</t>
  </si>
  <si>
    <t>DOC Charge</t>
  </si>
  <si>
    <t>DOD Amount</t>
  </si>
  <si>
    <t>DV Charge</t>
  </si>
  <si>
    <t>ECC Charge</t>
  </si>
  <si>
    <t>ELRSKCHGS</t>
  </si>
  <si>
    <t>FOD Charge</t>
  </si>
  <si>
    <t>Go Green Charge</t>
  </si>
  <si>
    <t>HVPCCHGS</t>
  </si>
  <si>
    <t>IDC Charge</t>
  </si>
  <si>
    <t>MISCCHG1</t>
  </si>
  <si>
    <t>NEWRAS</t>
  </si>
  <si>
    <t>ODACHRG</t>
  </si>
  <si>
    <t>OHSCHGS</t>
  </si>
  <si>
    <t>OWSPCHGS</t>
  </si>
  <si>
    <t>PCKCANCHG</t>
  </si>
  <si>
    <t>PKGCHARGE</t>
  </si>
  <si>
    <t>RESTDSTCHGS</t>
  </si>
  <si>
    <t>RISKHCHGS</t>
  </si>
  <si>
    <t>TDD Charge</t>
  </si>
  <si>
    <t>VAL Charge</t>
  </si>
  <si>
    <t>ToPay Amount</t>
  </si>
  <si>
    <t>Total Amount</t>
  </si>
  <si>
    <t>Destination Pin Code</t>
  </si>
  <si>
    <t>DECLVAL</t>
  </si>
  <si>
    <t>DBA charge</t>
  </si>
  <si>
    <t>IntlVas</t>
  </si>
  <si>
    <t>Commodity</t>
  </si>
  <si>
    <t>OTP Charge</t>
  </si>
  <si>
    <t>Demand_Charge</t>
  </si>
  <si>
    <t>SLV015142</t>
  </si>
  <si>
    <t>BOMC158290</t>
  </si>
  <si>
    <t>SLV</t>
  </si>
  <si>
    <t>2025226R00000001</t>
  </si>
  <si>
    <t>AS</t>
  </si>
  <si>
    <t>Non Docs</t>
  </si>
  <si>
    <t>SLV-SILVASSA</t>
  </si>
  <si>
    <t>PAT-PATNA</t>
  </si>
  <si>
    <t>EAST</t>
  </si>
  <si>
    <t>JOD-JODHPUR</t>
  </si>
  <si>
    <t>NORTH</t>
  </si>
  <si>
    <t>2025226R00000017</t>
  </si>
  <si>
    <t>TIN-TINSUKIA</t>
  </si>
  <si>
    <t>NORTH EAST</t>
  </si>
  <si>
    <t>VAP014884</t>
  </si>
  <si>
    <t>VAP</t>
  </si>
  <si>
    <t>2025224R00000021</t>
  </si>
  <si>
    <t>VAP-VAPI</t>
  </si>
  <si>
    <t>2025224R00000239</t>
  </si>
  <si>
    <t>BOM265731</t>
  </si>
  <si>
    <t>CHB</t>
  </si>
  <si>
    <t>2025227R00000414</t>
  </si>
  <si>
    <t>BOM-MUMBAI</t>
  </si>
  <si>
    <t>SG</t>
  </si>
  <si>
    <t>BOM354664</t>
  </si>
  <si>
    <t>2025227R00000416</t>
  </si>
  <si>
    <t>EG</t>
  </si>
  <si>
    <t>SLV014335</t>
  </si>
  <si>
    <t>2025226R00000003</t>
  </si>
  <si>
    <t>2025226R00000019</t>
  </si>
  <si>
    <t>Row Labels</t>
  </si>
  <si>
    <t>Grand Total</t>
  </si>
  <si>
    <t>Count of AWB Number</t>
  </si>
  <si>
    <t>Duplicates</t>
  </si>
  <si>
    <t>With discrepancy</t>
  </si>
  <si>
    <t>Duplicate record</t>
  </si>
  <si>
    <t>2025224R00000022</t>
  </si>
  <si>
    <t>2025224R00000024</t>
  </si>
  <si>
    <t>2025224R00000160</t>
  </si>
  <si>
    <t>overbilling</t>
  </si>
  <si>
    <t>calculated</t>
  </si>
  <si>
    <t>Customer_Code</t>
  </si>
  <si>
    <t>Contract_ID</t>
  </si>
  <si>
    <t>Service_Center</t>
  </si>
  <si>
    <t>STB_Code</t>
  </si>
  <si>
    <t>Invoice_Number</t>
  </si>
  <si>
    <t>Invoice_Date</t>
  </si>
  <si>
    <t>Product_Code</t>
  </si>
  <si>
    <t>Product_Type</t>
  </si>
  <si>
    <t>AWB_Number</t>
  </si>
  <si>
    <t>Batch_Date</t>
  </si>
  <si>
    <t>Origin_Area</t>
  </si>
  <si>
    <t>Destination_Area</t>
  </si>
  <si>
    <t>Actual_Weight</t>
  </si>
  <si>
    <t>Charge_Weight</t>
  </si>
  <si>
    <t>PSS_Charge</t>
  </si>
  <si>
    <t>FS_Amount</t>
  </si>
  <si>
    <t>CAF_Amount</t>
  </si>
  <si>
    <t>AWB_Fees</t>
  </si>
  <si>
    <t>DC_Charge</t>
  </si>
  <si>
    <t>DGR_Charge</t>
  </si>
  <si>
    <t>DI_Charge</t>
  </si>
  <si>
    <t>DL_Charge</t>
  </si>
  <si>
    <t>DOC_Charge</t>
  </si>
  <si>
    <t>DOD_Amount</t>
  </si>
  <si>
    <t>DV_Charge</t>
  </si>
  <si>
    <t>ECC_Charge</t>
  </si>
  <si>
    <t>FOD_Charge</t>
  </si>
  <si>
    <t>Go_Green_Charge</t>
  </si>
  <si>
    <t>IDC_Charge</t>
  </si>
  <si>
    <t>TDD_Charge</t>
  </si>
  <si>
    <t>VAL_Charge</t>
  </si>
  <si>
    <t>ToPay_Amount</t>
  </si>
  <si>
    <t>Total_Amount</t>
  </si>
  <si>
    <t>Destination_Pin_Code</t>
  </si>
  <si>
    <t>DBA_charge</t>
  </si>
  <si>
    <t>OTP_Charge</t>
  </si>
  <si>
    <t>totalamt</t>
  </si>
  <si>
    <t>calculatedamtchk</t>
  </si>
  <si>
    <t>chk</t>
  </si>
  <si>
    <t>ORIGIN_ZONE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</si>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</sst>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4" borderId="0" xfId="0" applyNumberForma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ul Khandeparkar" refreshedDate="45789.735871064811" createdVersion="8" refreshedVersion="8" minRefreshableVersion="3" recordCount="19" xr:uid="{B47BB276-428F-462C-AAA3-8B7AAD1CAC89}">
  <cacheSource type="worksheet">
    <worksheetSource ref="A1:BI20" sheet="Sheet1"/>
  </cacheSource>
  <cacheFields count="60">
    <cacheField name="Customer Code" numFmtId="0">
      <sharedItems/>
    </cacheField>
    <cacheField name="Contract ID" numFmtId="0">
      <sharedItems/>
    </cacheField>
    <cacheField name="Service Center" numFmtId="0">
      <sharedItems/>
    </cacheField>
    <cacheField name="STB Code" numFmtId="0">
      <sharedItems containsNonDate="0" containsString="0" containsBlank="1"/>
    </cacheField>
    <cacheField name="Invoice Number" numFmtId="0">
      <sharedItems/>
    </cacheField>
    <cacheField name="Invoice Date" numFmtId="15">
      <sharedItems containsSemiMixedTypes="0" containsNonDate="0" containsDate="1" containsString="0" minDate="2025-02-15T00:00:00" maxDate="2025-03-01T00:00:00"/>
    </cacheField>
    <cacheField name="Product Code" numFmtId="0">
      <sharedItems/>
    </cacheField>
    <cacheField name="Product Type" numFmtId="0">
      <sharedItems/>
    </cacheField>
    <cacheField name="AWB Number" numFmtId="0">
      <sharedItems containsSemiMixedTypes="0" containsString="0" containsNumber="1" containsInteger="1" minValue="58812710261" maxValue="58920766074"/>
    </cacheField>
    <cacheField name="CRCRDREF" numFmtId="0">
      <sharedItems containsNonDate="0" containsString="0" containsBlank="1"/>
    </cacheField>
    <cacheField name="Batch Date" numFmtId="15">
      <sharedItems containsSemiMixedTypes="0" containsNonDate="0" containsDate="1" containsString="0" minDate="2025-02-01T00:00:00" maxDate="2025-02-23T00:00:00"/>
    </cacheField>
    <cacheField name="Origin Area" numFmtId="0">
      <sharedItems/>
    </cacheField>
    <cacheField name="Destination Area" numFmtId="0">
      <sharedItems/>
    </cacheField>
    <cacheField name="ZONE" numFmtId="0">
      <sharedItems count="3">
        <s v="EAST"/>
        <s v="NORTH"/>
        <s v="NORTH EAST"/>
      </sharedItems>
    </cacheField>
    <cacheField name="Actual Weight" numFmtId="0">
      <sharedItems containsSemiMixedTypes="0" containsString="0" containsNumber="1" containsInteger="1" minValue="1" maxValue="140"/>
    </cacheField>
    <cacheField name="Charge Weight" numFmtId="0">
      <sharedItems containsSemiMixedTypes="0" containsString="0" containsNumber="1" containsInteger="1" minValue="7" maxValue="140"/>
    </cacheField>
    <cacheField name="PCS" numFmtId="0">
      <sharedItems containsSemiMixedTypes="0" containsString="0" containsNumber="1" containsInteger="1" minValue="1" maxValue="10"/>
    </cacheField>
    <cacheField name="Freight" numFmtId="0">
      <sharedItems containsSemiMixedTypes="0" containsString="0" containsNumber="1" minValue="297.92" maxValue="5958.4"/>
    </cacheField>
    <cacheField name="NFORMCHGS" numFmtId="0">
      <sharedItems containsSemiMixedTypes="0" containsString="0" containsNumber="1" containsInteger="1" minValue="0" maxValue="0"/>
    </cacheField>
    <cacheField name="PSS Charge" numFmtId="0">
      <sharedItems containsNonDate="0" containsString="0" containsBlank="1"/>
    </cacheField>
    <cacheField name="FS Amount" numFmtId="0">
      <sharedItems containsSemiMixedTypes="0" containsString="0" containsNumber="1" minValue="170.41" maxValue="3408.2"/>
    </cacheField>
    <cacheField name="CAF Amount" numFmtId="0">
      <sharedItems containsSemiMixedTypes="0" containsString="0" containsNumber="1" containsInteger="1" minValue="0" maxValue="0"/>
    </cacheField>
    <cacheField name="ADDISRCHG" numFmtId="0">
      <sharedItems containsSemiMixedTypes="0" containsString="0" containsNumber="1" containsInteger="1" minValue="0" maxValue="168"/>
    </cacheField>
    <cacheField name="AWB Fees" numFmtId="0">
      <sharedItems containsSemiMixedTypes="0" containsString="0" containsNumber="1" containsInteger="1" minValue="0" maxValue="0"/>
    </cacheField>
    <cacheField name="COMVAL" numFmtId="0">
      <sharedItems containsSemiMixedTypes="0" containsString="0" containsNumber="1" containsInteger="1" minValue="0" maxValue="0"/>
    </cacheField>
    <cacheField name="DC Charge" numFmtId="0">
      <sharedItems containsSemiMixedTypes="0" containsString="0" containsNumber="1" containsInteger="1" minValue="0" maxValue="0"/>
    </cacheField>
    <cacheField name="DGR Charge" numFmtId="0">
      <sharedItems containsSemiMixedTypes="0" containsString="0" containsNumber="1" containsInteger="1" minValue="0" maxValue="0"/>
    </cacheField>
    <cacheField name="DI Charge" numFmtId="0">
      <sharedItems containsSemiMixedTypes="0" containsString="0" containsNumber="1" containsInteger="1" minValue="0" maxValue="0"/>
    </cacheField>
    <cacheField name="DL Charge" numFmtId="0">
      <sharedItems containsSemiMixedTypes="0" containsString="0" containsNumber="1" containsInteger="1" minValue="0" maxValue="0"/>
    </cacheField>
    <cacheField name="DLRETCHRG" numFmtId="0">
      <sharedItems containsSemiMixedTypes="0" containsString="0" containsNumber="1" containsInteger="1" minValue="0" maxValue="0"/>
    </cacheField>
    <cacheField name="DOC Charge" numFmtId="0">
      <sharedItems containsSemiMixedTypes="0" containsString="0" containsNumber="1" containsInteger="1" minValue="0" maxValue="0"/>
    </cacheField>
    <cacheField name="DOD Amount" numFmtId="0">
      <sharedItems containsSemiMixedTypes="0" containsString="0" containsNumber="1" containsInteger="1" minValue="0" maxValue="0"/>
    </cacheField>
    <cacheField name="DV Charge" numFmtId="0">
      <sharedItems containsSemiMixedTypes="0" containsString="0" containsNumber="1" containsInteger="1" minValue="0" maxValue="0"/>
    </cacheField>
    <cacheField name="ECC Charge" numFmtId="0">
      <sharedItems containsSemiMixedTypes="0" containsString="0" containsNumber="1" containsInteger="1" minValue="0" maxValue="0"/>
    </cacheField>
    <cacheField name="ELRSKCHGS" numFmtId="0">
      <sharedItems containsSemiMixedTypes="0" containsString="0" containsNumber="1" containsInteger="1" minValue="0" maxValue="0"/>
    </cacheField>
    <cacheField name="FOD Charge" numFmtId="0">
      <sharedItems containsSemiMixedTypes="0" containsString="0" containsNumber="1" containsInteger="1" minValue="0" maxValue="0"/>
    </cacheField>
    <cacheField name="Go Green Charge" numFmtId="0">
      <sharedItems containsSemiMixedTypes="0" containsString="0" containsNumber="1" containsInteger="1" minValue="0" maxValue="0"/>
    </cacheField>
    <cacheField name="HVPCCHGS" numFmtId="0">
      <sharedItems containsSemiMixedTypes="0" containsString="0" containsNumber="1" containsInteger="1" minValue="0" maxValue="0"/>
    </cacheField>
    <cacheField name="IDC Charge" numFmtId="0">
      <sharedItems containsSemiMixedTypes="0" containsString="0" containsNumber="1" containsInteger="1" minValue="0" maxValue="0"/>
    </cacheField>
    <cacheField name="MISCCHG1" numFmtId="0">
      <sharedItems containsSemiMixedTypes="0" containsString="0" containsNumber="1" containsInteger="1" minValue="0" maxValue="0"/>
    </cacheField>
    <cacheField name="NEWRAS" numFmtId="0">
      <sharedItems containsSemiMixedTypes="0" containsString="0" containsNumber="1" containsInteger="1" minValue="0" maxValue="0"/>
    </cacheField>
    <cacheField name="ODACHRG" numFmtId="0">
      <sharedItems containsSemiMixedTypes="0" containsString="0" containsNumber="1" containsInteger="1" minValue="0" maxValue="0"/>
    </cacheField>
    <cacheField name="OHSCHGS" numFmtId="0">
      <sharedItems containsSemiMixedTypes="0" containsString="0" containsNumber="1" containsInteger="1" minValue="0" maxValue="0"/>
    </cacheField>
    <cacheField name="OWSPCHGS" numFmtId="0">
      <sharedItems containsSemiMixedTypes="0" containsString="0" containsNumber="1" containsInteger="1" minValue="0" maxValue="0"/>
    </cacheField>
    <cacheField name="PCKCANCHG" numFmtId="0">
      <sharedItems containsSemiMixedTypes="0" containsString="0" containsNumber="1" containsInteger="1" minValue="0" maxValue="0"/>
    </cacheField>
    <cacheField name="PKGCHARGE" numFmtId="0">
      <sharedItems containsSemiMixedTypes="0" containsString="0" containsNumber="1" containsInteger="1" minValue="0" maxValue="0"/>
    </cacheField>
    <cacheField name="RESTDSTCHGS" numFmtId="0">
      <sharedItems containsSemiMixedTypes="0" containsString="0" containsNumber="1" containsInteger="1" minValue="0" maxValue="0"/>
    </cacheField>
    <cacheField name="RISKHCHGS" numFmtId="0">
      <sharedItems containsSemiMixedTypes="0" containsString="0" containsNumber="1" containsInteger="1" minValue="0" maxValue="0"/>
    </cacheField>
    <cacheField name="TDD Charge" numFmtId="0">
      <sharedItems containsSemiMixedTypes="0" containsString="0" containsNumber="1" containsInteger="1" minValue="0" maxValue="0"/>
    </cacheField>
    <cacheField name="VAL Charge" numFmtId="0">
      <sharedItems containsSemiMixedTypes="0" containsString="0" containsNumber="1" containsInteger="1" minValue="0" maxValue="0"/>
    </cacheField>
    <cacheField name="ToPay Amount" numFmtId="0">
      <sharedItems containsNonDate="0" containsString="0" containsBlank="1"/>
    </cacheField>
    <cacheField name="Total Amount" numFmtId="0">
      <sharedItems containsSemiMixedTypes="0" containsString="0" containsNumber="1" minValue="468.33" maxValue="9366.6"/>
    </cacheField>
    <cacheField name="Destination Pin Code" numFmtId="0">
      <sharedItems containsSemiMixedTypes="0" containsString="0" containsNumber="1" containsInteger="1" minValue="342003" maxValue="800023"/>
    </cacheField>
    <cacheField name="DECLVAL" numFmtId="0">
      <sharedItems containsSemiMixedTypes="0" containsString="0" containsNumber="1" containsInteger="1" minValue="22895" maxValue="4918347"/>
    </cacheField>
    <cacheField name="DBA charge" numFmtId="0">
      <sharedItems containsNonDate="0" containsString="0" containsBlank="1"/>
    </cacheField>
    <cacheField name="IntlVas" numFmtId="0">
      <sharedItems containsNonDate="0" containsString="0" containsBlank="1"/>
    </cacheField>
    <cacheField name="Commodity" numFmtId="0">
      <sharedItems containsMixedTypes="1" containsNumber="1" containsInteger="1" minValue="14" maxValue="20"/>
    </cacheField>
    <cacheField name="OTP Charge" numFmtId="0">
      <sharedItems containsNonDate="0" containsString="0" containsBlank="1"/>
    </cacheField>
    <cacheField name="Demand_Charge" numFmtId="0">
      <sharedItems containsNonDate="0" containsString="0" containsBlank="1"/>
    </cacheField>
    <cacheField name="Duplicat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SLV015142"/>
    <s v="BOMC158290"/>
    <s v="SLV"/>
    <m/>
    <s v="2025226R00000001"/>
    <d v="2025-02-15T00:00:00"/>
    <s v="AS"/>
    <s v="Non Docs"/>
    <n v="58914733496"/>
    <m/>
    <d v="2025-02-04T00:00:00"/>
    <s v="SLV-SILVASSA"/>
    <s v="PAT-PATNA"/>
    <x v="0"/>
    <n v="14"/>
    <n v="14"/>
    <n v="1"/>
    <n v="848.82"/>
    <n v="0"/>
    <m/>
    <n v="509.55"/>
    <n v="0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400.37"/>
    <n v="800023"/>
    <n v="463786"/>
    <m/>
    <m/>
    <n v="14"/>
    <m/>
    <m/>
    <s v="SLV015142 45703 SLV-SILVASSA PAT-PATNA 14"/>
  </r>
  <r>
    <s v="SLV015142"/>
    <s v="BOMC158290"/>
    <s v="SLV"/>
    <m/>
    <s v="2025226R00000001"/>
    <d v="2025-02-15T00:00:00"/>
    <s v="AS"/>
    <s v="Non Docs"/>
    <n v="58914733500"/>
    <m/>
    <d v="2025-02-07T00:00:00"/>
    <s v="SLV-SILVASSA"/>
    <s v="PAT-PATNA"/>
    <x v="0"/>
    <n v="5"/>
    <n v="7"/>
    <n v="1"/>
    <n v="424.41"/>
    <n v="0"/>
    <m/>
    <n v="254.77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700.18"/>
    <n v="800023"/>
    <n v="43124"/>
    <m/>
    <m/>
    <n v="20"/>
    <m/>
    <m/>
    <s v="SLV015142 45703 SLV-SILVASSA PAT-PATNA 5"/>
  </r>
  <r>
    <s v="SLV015142"/>
    <s v="BOMC158290"/>
    <s v="SLV"/>
    <m/>
    <s v="2025226R00000001"/>
    <d v="2025-02-15T00:00:00"/>
    <s v="AS"/>
    <s v="Non Docs"/>
    <n v="58911335652"/>
    <m/>
    <d v="2025-02-11T00:00:00"/>
    <s v="SLV-SILVASSA"/>
    <s v="JOD-JODHPUR"/>
    <x v="1"/>
    <n v="21"/>
    <n v="21"/>
    <n v="2"/>
    <n v="893.76"/>
    <n v="0"/>
    <m/>
    <n v="51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404.99"/>
    <n v="342013"/>
    <n v="148293"/>
    <m/>
    <m/>
    <n v="14"/>
    <m/>
    <m/>
    <s v="SLV015142 45703 SLV-SILVASSA JOD-JODHPUR 21"/>
  </r>
  <r>
    <s v="SLV015142"/>
    <s v="BOMC158290"/>
    <s v="SLV"/>
    <m/>
    <s v="2025226R00000017"/>
    <d v="2025-02-28T00:00:00"/>
    <s v="AS"/>
    <s v="Non Docs"/>
    <n v="58914734130"/>
    <m/>
    <d v="2025-02-22T00:00:00"/>
    <s v="SLV-SILVASSA"/>
    <s v="TIN-TINSUKIA"/>
    <x v="2"/>
    <n v="14"/>
    <n v="14"/>
    <n v="1"/>
    <n v="973.98"/>
    <n v="0"/>
    <m/>
    <n v="557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31.1"/>
    <n v="786125"/>
    <n v="153958"/>
    <m/>
    <m/>
    <n v="14"/>
    <m/>
    <m/>
    <s v="SLV015142 45716 SLV-SILVASSA TIN-TINSUKIA 14"/>
  </r>
  <r>
    <s v="VAP014884"/>
    <s v="BOMC158290"/>
    <s v="VAP"/>
    <m/>
    <s v="2025224R00000021"/>
    <d v="2025-02-15T00:00:00"/>
    <s v="AS"/>
    <s v="Non Docs"/>
    <n v="58890775112"/>
    <m/>
    <d v="2025-02-01T00:00:00"/>
    <s v="VAP-VAPI"/>
    <s v="JOD-JODHPUR"/>
    <x v="1"/>
    <n v="70"/>
    <n v="70"/>
    <n v="5"/>
    <n v="2979.2"/>
    <n v="0"/>
    <m/>
    <n v="170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4683.3"/>
    <n v="342003"/>
    <n v="2236815"/>
    <m/>
    <m/>
    <n v="14"/>
    <m/>
    <m/>
    <s v="VAP014884 45703 VAP-VAPI JOD-JODHPUR 70"/>
  </r>
  <r>
    <s v="VAP014884"/>
    <s v="BOMC158290"/>
    <s v="VAP"/>
    <m/>
    <s v="2025224R00000021"/>
    <d v="2025-02-15T00:00:00"/>
    <s v="AS"/>
    <s v="Non Docs"/>
    <n v="58812712851"/>
    <m/>
    <d v="2025-02-12T00:00:00"/>
    <s v="VAP-VAPI"/>
    <s v="JOD-JODHPUR"/>
    <x v="1"/>
    <n v="28"/>
    <n v="28"/>
    <n v="2"/>
    <n v="1191.68"/>
    <n v="0"/>
    <m/>
    <n v="681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73.32"/>
    <n v="342003"/>
    <n v="667669"/>
    <m/>
    <m/>
    <n v="20"/>
    <m/>
    <m/>
    <s v="VAP014884 45703 VAP-VAPI JOD-JODHPUR 28"/>
  </r>
  <r>
    <s v="VAP014884"/>
    <s v="BOMC158290"/>
    <s v="VAP"/>
    <m/>
    <s v="2025224R00000021"/>
    <d v="2025-02-15T00:00:00"/>
    <s v="AS"/>
    <s v="Non Docs"/>
    <n v="58812712630"/>
    <m/>
    <d v="2025-02-12T00:00:00"/>
    <s v="VAP-VAPI"/>
    <s v="PAT-PATNA"/>
    <x v="0"/>
    <n v="19"/>
    <n v="19"/>
    <n v="2"/>
    <n v="1151.97"/>
    <n v="0"/>
    <m/>
    <n v="691.53"/>
    <n v="0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00.5"/>
    <n v="800004"/>
    <n v="584045"/>
    <m/>
    <m/>
    <n v="20"/>
    <m/>
    <m/>
    <s v="VAP014884 45703 VAP-VAPI PAT-PATNA 19"/>
  </r>
  <r>
    <s v="VAP014884"/>
    <s v="BOMC158290"/>
    <s v="VAP"/>
    <m/>
    <s v="2025224R00000239"/>
    <d v="2025-02-28T00:00:00"/>
    <s v="AS"/>
    <s v="Non Docs"/>
    <n v="58812711296"/>
    <m/>
    <d v="2025-02-22T00:00:00"/>
    <s v="VAP-VAPI"/>
    <s v="JOD-JODHPUR"/>
    <x v="1"/>
    <n v="140"/>
    <n v="140"/>
    <n v="10"/>
    <n v="5958.4"/>
    <n v="0"/>
    <m/>
    <n v="3408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366.6"/>
    <n v="342003"/>
    <n v="4918347"/>
    <m/>
    <m/>
    <n v="20"/>
    <m/>
    <m/>
    <s v="VAP014884 45716 VAP-VAPI JOD-JODHPUR 140"/>
  </r>
  <r>
    <s v="VAP014884"/>
    <s v="BOMC158290"/>
    <s v="VAP"/>
    <m/>
    <s v="2025224R00000239"/>
    <d v="2025-02-28T00:00:00"/>
    <s v="AS"/>
    <s v="Non Docs"/>
    <n v="58812710261"/>
    <m/>
    <d v="2025-02-20T00:00:00"/>
    <s v="VAP-VAPI"/>
    <s v="PAT-PATNA"/>
    <x v="0"/>
    <n v="21"/>
    <n v="21"/>
    <n v="2"/>
    <n v="1273.23"/>
    <n v="0"/>
    <m/>
    <n v="764.32"/>
    <n v="0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00.5500000000002"/>
    <n v="800004"/>
    <n v="681261"/>
    <m/>
    <m/>
    <n v="14"/>
    <m/>
    <m/>
    <s v="VAP014884 45716 VAP-VAPI PAT-PATNA 21"/>
  </r>
  <r>
    <s v="VAP014884"/>
    <s v="BOMC158290"/>
    <s v="VAP"/>
    <m/>
    <s v="2025224R00000239"/>
    <d v="2025-02-28T00:00:00"/>
    <s v="AS"/>
    <s v="Non Docs"/>
    <n v="58812712081"/>
    <m/>
    <d v="2025-02-19T00:00:00"/>
    <s v="VAP-VAPI"/>
    <s v="JOD-JODHPUR"/>
    <x v="1"/>
    <n v="14"/>
    <n v="14"/>
    <n v="1"/>
    <n v="595.84"/>
    <n v="0"/>
    <m/>
    <n v="340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36.66"/>
    <n v="342003"/>
    <n v="38998"/>
    <m/>
    <m/>
    <n v="14"/>
    <m/>
    <m/>
    <s v="VAP014884 45716 VAP-VAPI JOD-JODHPUR 14"/>
  </r>
  <r>
    <s v="BOM265731"/>
    <s v="BOMC158290"/>
    <s v="CHB"/>
    <m/>
    <s v="2025227R00000414"/>
    <d v="2025-02-15T00:00:00"/>
    <s v="AS"/>
    <s v="Non Docs"/>
    <n v="58916428281"/>
    <m/>
    <d v="2025-02-10T00:00:00"/>
    <s v="BOM-MUMBAI"/>
    <s v="JOD-JODHPUR"/>
    <x v="1"/>
    <n v="18"/>
    <n v="36"/>
    <n v="3"/>
    <n v="1532.16"/>
    <n v="0"/>
    <m/>
    <n v="87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08.56"/>
    <n v="342013"/>
    <n v="483531"/>
    <m/>
    <m/>
    <s v="SG"/>
    <m/>
    <m/>
    <s v="BOM265731 45703 BOM-MUMBAI JOD-JODHPUR 18"/>
  </r>
  <r>
    <s v="BOM265731"/>
    <s v="BOMC158290"/>
    <s v="CHB"/>
    <m/>
    <s v="2025227R00000414"/>
    <d v="2025-02-15T00:00:00"/>
    <s v="AS"/>
    <s v="Non Docs"/>
    <n v="58916428303"/>
    <m/>
    <d v="2025-02-11T00:00:00"/>
    <s v="BOM-MUMBAI"/>
    <s v="JOD-JODHPUR"/>
    <x v="1"/>
    <n v="1"/>
    <n v="7"/>
    <n v="1"/>
    <n v="297.92"/>
    <n v="0"/>
    <m/>
    <n v="170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468.33"/>
    <n v="342013"/>
    <n v="22895"/>
    <m/>
    <m/>
    <s v="SG"/>
    <m/>
    <m/>
    <s v="BOM265731 45703 BOM-MUMBAI JOD-JODHPUR 1"/>
  </r>
  <r>
    <s v="BOM354664"/>
    <s v="BOMC158290"/>
    <s v="CHB"/>
    <m/>
    <s v="2025227R00000416"/>
    <d v="2025-02-15T00:00:00"/>
    <s v="AS"/>
    <s v="Non Docs"/>
    <n v="58920766074"/>
    <m/>
    <d v="2025-02-06T00:00:00"/>
    <s v="BOM-MUMBAI"/>
    <s v="PAT-PATNA"/>
    <x v="0"/>
    <n v="5"/>
    <n v="7"/>
    <n v="1"/>
    <n v="424.41"/>
    <n v="0"/>
    <m/>
    <n v="254.77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700.18"/>
    <n v="800013"/>
    <n v="91386"/>
    <m/>
    <m/>
    <s v="EG"/>
    <m/>
    <m/>
    <s v="BOM354664 45703 BOM-MUMBAI PAT-PATNA 5"/>
  </r>
  <r>
    <s v="SLV014335"/>
    <s v="BOMC158290"/>
    <s v="SLV"/>
    <m/>
    <s v="2025226R00000003"/>
    <d v="2025-02-15T00:00:00"/>
    <s v="AS"/>
    <s v="Non Docs"/>
    <n v="58914733544"/>
    <m/>
    <d v="2025-02-06T00:00:00"/>
    <s v="SLV-SILVASSA"/>
    <s v="PAT-PATNA"/>
    <x v="0"/>
    <n v="7"/>
    <n v="7"/>
    <n v="1"/>
    <n v="424.41"/>
    <n v="0"/>
    <m/>
    <n v="254.77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700.18"/>
    <n v="800016"/>
    <n v="96734"/>
    <m/>
    <m/>
    <n v="14"/>
    <m/>
    <m/>
    <s v="SLV014335 45703 SLV-SILVASSA PAT-PATNA 7"/>
  </r>
  <r>
    <s v="SLV014335"/>
    <s v="BOMC158290"/>
    <s v="SLV"/>
    <m/>
    <s v="2025226R00000003"/>
    <d v="2025-02-15T00:00:00"/>
    <s v="AS"/>
    <s v="Non Docs"/>
    <n v="58911335744"/>
    <m/>
    <d v="2025-02-15T00:00:00"/>
    <s v="SLV-SILVASSA"/>
    <s v="PAT-PATNA"/>
    <x v="0"/>
    <n v="33"/>
    <n v="33"/>
    <n v="3"/>
    <n v="2000.79"/>
    <n v="0"/>
    <m/>
    <n v="1201.08"/>
    <n v="0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3300.87"/>
    <n v="800023"/>
    <n v="1368726"/>
    <m/>
    <m/>
    <n v="14"/>
    <m/>
    <m/>
    <s v="SLV014335 45703 SLV-SILVASSA PAT-PATNA 33"/>
  </r>
  <r>
    <s v="SLV014335"/>
    <s v="BOMC158290"/>
    <s v="SLV"/>
    <m/>
    <s v="2025226R00000003"/>
    <d v="2025-02-15T00:00:00"/>
    <s v="AS"/>
    <s v="Non Docs"/>
    <n v="58911335674"/>
    <m/>
    <d v="2025-02-15T00:00:00"/>
    <s v="SLV-SILVASSA"/>
    <s v="PAT-PATNA"/>
    <x v="0"/>
    <n v="56"/>
    <n v="56"/>
    <n v="4"/>
    <n v="3395.28"/>
    <n v="0"/>
    <m/>
    <n v="2038.2"/>
    <n v="0"/>
    <n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601.48"/>
    <n v="800023"/>
    <n v="1998403"/>
    <m/>
    <m/>
    <n v="20"/>
    <m/>
    <m/>
    <s v="SLV014335 45703 SLV-SILVASSA PAT-PATNA 56"/>
  </r>
  <r>
    <s v="SLV014335"/>
    <s v="BOMC158290"/>
    <s v="SLV"/>
    <m/>
    <s v="2025226R00000003"/>
    <d v="2025-02-15T00:00:00"/>
    <s v="AS"/>
    <s v="Non Docs"/>
    <n v="58911335722"/>
    <m/>
    <d v="2025-02-15T00:00:00"/>
    <s v="SLV-SILVASSA"/>
    <s v="PAT-PATNA"/>
    <x v="0"/>
    <n v="14"/>
    <n v="14"/>
    <n v="1"/>
    <n v="848.82"/>
    <n v="0"/>
    <m/>
    <n v="509.55"/>
    <n v="0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400.37"/>
    <n v="800016"/>
    <n v="240268"/>
    <m/>
    <m/>
    <n v="20"/>
    <m/>
    <m/>
    <s v="SLV014335 45703 SLV-SILVASSA PAT-PATNA 14"/>
  </r>
  <r>
    <s v="SLV014335"/>
    <s v="BOMC158290"/>
    <s v="SLV"/>
    <m/>
    <s v="2025226R00000019"/>
    <d v="2025-02-28T00:00:00"/>
    <s v="AS"/>
    <s v="Non Docs"/>
    <n v="58914734012"/>
    <m/>
    <d v="2025-02-22T00:00:00"/>
    <s v="SLV-SILVASSA"/>
    <s v="TIN-TINSUKIA"/>
    <x v="2"/>
    <n v="70"/>
    <n v="76"/>
    <n v="2"/>
    <n v="5287.32"/>
    <n v="0"/>
    <m/>
    <n v="3024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8311.67"/>
    <n v="786125"/>
    <n v="177703"/>
    <m/>
    <m/>
    <n v="14"/>
    <m/>
    <m/>
    <s v="SLV014335 45716 SLV-SILVASSA TIN-TINSUKIA 70"/>
  </r>
  <r>
    <s v="SLV014335"/>
    <s v="BOMC158290"/>
    <s v="SLV"/>
    <m/>
    <s v="2025226R00000019"/>
    <d v="2025-02-28T00:00:00"/>
    <s v="AS"/>
    <s v="Non Docs"/>
    <n v="58914733986"/>
    <m/>
    <d v="2025-02-17T00:00:00"/>
    <s v="SLV-SILVASSA"/>
    <s v="PAT-PATNA"/>
    <x v="0"/>
    <n v="7"/>
    <n v="7"/>
    <n v="1"/>
    <n v="424.41"/>
    <n v="0"/>
    <m/>
    <n v="254.77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700.18"/>
    <n v="800016"/>
    <n v="185332"/>
    <m/>
    <m/>
    <n v="20"/>
    <m/>
    <m/>
    <s v="SLV014335 45716 SLV-SILVASSA PAT-PATNA 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8A214-853D-4857-AA70-AEB847BB9F2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60">
    <pivotField showAll="0"/>
    <pivotField showAll="0"/>
    <pivotField showAll="0"/>
    <pivotField showAll="0"/>
    <pivotField showAll="0"/>
    <pivotField numFmtId="15" showAll="0"/>
    <pivotField showAll="0"/>
    <pivotField showAll="0"/>
    <pivotField dataField="1" showAll="0"/>
    <pivotField showAll="0"/>
    <pivotField numFmtId="15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WB Number" fld="8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EBD2-BA6B-44C7-ACFC-B339FBD1344C}">
  <dimension ref="A1:BO24"/>
  <sheetViews>
    <sheetView showGridLines="0" tabSelected="1" topLeftCell="B1" zoomScale="78" workbookViewId="0">
      <selection activeCell="N12" sqref="N12"/>
    </sheetView>
  </sheetViews>
  <sheetFormatPr defaultRowHeight="14.5" x14ac:dyDescent="0.35"/>
  <cols>
    <col min="1" max="1" width="14.453125" bestFit="1" customWidth="1"/>
    <col min="2" max="2" width="12.26953125" bestFit="1" customWidth="1"/>
    <col min="5" max="5" width="17.453125" bestFit="1" customWidth="1"/>
    <col min="6" max="6" width="11.7265625" style="8" bestFit="1" customWidth="1"/>
    <col min="7" max="7" width="12.7265625" bestFit="1" customWidth="1"/>
    <col min="8" max="8" width="12.26953125" bestFit="1" customWidth="1"/>
    <col min="9" max="9" width="12.54296875" bestFit="1" customWidth="1"/>
    <col min="10" max="10" width="10" bestFit="1" customWidth="1"/>
    <col min="11" max="11" width="10.453125" style="7" bestFit="1" customWidth="1"/>
    <col min="12" max="12" width="10.453125" style="7" customWidth="1"/>
    <col min="13" max="13" width="20.54296875" style="1" customWidth="1"/>
    <col min="14" max="14" width="15.7265625" style="1" bestFit="1" customWidth="1"/>
    <col min="15" max="15" width="11.81640625" style="1" bestFit="1" customWidth="1"/>
    <col min="16" max="16" width="13.1796875" style="1" bestFit="1" customWidth="1"/>
    <col min="17" max="17" width="13.7265625" bestFit="1" customWidth="1"/>
    <col min="22" max="23" width="19.81640625" customWidth="1"/>
    <col min="24" max="24" width="23.6328125" style="1" customWidth="1"/>
    <col min="53" max="53" width="10.26953125" style="1" bestFit="1" customWidth="1"/>
    <col min="54" max="54" width="18.6328125" customWidth="1"/>
    <col min="55" max="55" width="16.54296875" customWidth="1"/>
    <col min="56" max="56" width="23.453125" customWidth="1"/>
    <col min="59" max="59" width="16.7265625" customWidth="1"/>
    <col min="60" max="60" width="12.26953125" customWidth="1"/>
    <col min="61" max="61" width="45.54296875" bestFit="1" customWidth="1"/>
    <col min="62" max="62" width="21.81640625" style="1" customWidth="1"/>
    <col min="66" max="66" width="12.54296875" bestFit="1" customWidth="1"/>
  </cols>
  <sheetData>
    <row r="1" spans="1:67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s="8" t="s">
        <v>105</v>
      </c>
      <c r="G1" s="1" t="s">
        <v>106</v>
      </c>
      <c r="H1" t="s">
        <v>107</v>
      </c>
      <c r="I1" s="1" t="s">
        <v>108</v>
      </c>
      <c r="J1" t="s">
        <v>9</v>
      </c>
      <c r="K1" s="7" t="s">
        <v>109</v>
      </c>
      <c r="L1" s="7" t="s">
        <v>139</v>
      </c>
      <c r="M1" s="1" t="s">
        <v>110</v>
      </c>
      <c r="N1" s="1" t="s">
        <v>111</v>
      </c>
      <c r="O1" s="1" t="s">
        <v>13</v>
      </c>
      <c r="P1" s="1" t="s">
        <v>112</v>
      </c>
      <c r="Q1" s="1" t="s">
        <v>113</v>
      </c>
      <c r="R1" t="s">
        <v>16</v>
      </c>
      <c r="S1" s="1" t="s">
        <v>17</v>
      </c>
      <c r="T1" t="s">
        <v>18</v>
      </c>
      <c r="U1" t="s">
        <v>114</v>
      </c>
      <c r="V1" s="1" t="s">
        <v>115</v>
      </c>
      <c r="W1" t="s">
        <v>116</v>
      </c>
      <c r="X1" s="1" t="s">
        <v>22</v>
      </c>
      <c r="Y1" t="s">
        <v>117</v>
      </c>
      <c r="Z1" t="s">
        <v>24</v>
      </c>
      <c r="AA1" t="s">
        <v>118</v>
      </c>
      <c r="AB1" t="s">
        <v>119</v>
      </c>
      <c r="AC1" t="s">
        <v>120</v>
      </c>
      <c r="AD1" t="s">
        <v>121</v>
      </c>
      <c r="AE1" t="s">
        <v>29</v>
      </c>
      <c r="AF1" t="s">
        <v>122</v>
      </c>
      <c r="AG1" t="s">
        <v>123</v>
      </c>
      <c r="AH1" t="s">
        <v>124</v>
      </c>
      <c r="AI1" t="s">
        <v>125</v>
      </c>
      <c r="AJ1" t="s">
        <v>34</v>
      </c>
      <c r="AK1" t="s">
        <v>126</v>
      </c>
      <c r="AL1" t="s">
        <v>127</v>
      </c>
      <c r="AM1" t="s">
        <v>37</v>
      </c>
      <c r="AN1" t="s">
        <v>128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129</v>
      </c>
      <c r="AY1" t="s">
        <v>130</v>
      </c>
      <c r="AZ1" t="s">
        <v>131</v>
      </c>
      <c r="BA1" s="1" t="s">
        <v>132</v>
      </c>
      <c r="BB1" t="s">
        <v>133</v>
      </c>
      <c r="BC1" t="s">
        <v>53</v>
      </c>
      <c r="BD1" t="s">
        <v>134</v>
      </c>
      <c r="BE1" t="s">
        <v>55</v>
      </c>
      <c r="BF1" t="s">
        <v>56</v>
      </c>
      <c r="BG1" t="s">
        <v>135</v>
      </c>
      <c r="BH1" t="s">
        <v>58</v>
      </c>
      <c r="BI1" t="s">
        <v>92</v>
      </c>
      <c r="BJ1" s="1" t="s">
        <v>99</v>
      </c>
      <c r="BK1" t="s">
        <v>98</v>
      </c>
      <c r="BM1" t="s">
        <v>136</v>
      </c>
      <c r="BN1" t="s">
        <v>137</v>
      </c>
      <c r="BO1" t="s">
        <v>138</v>
      </c>
    </row>
    <row r="2" spans="1:67" x14ac:dyDescent="0.35">
      <c r="A2" t="s">
        <v>59</v>
      </c>
      <c r="B2" t="s">
        <v>60</v>
      </c>
      <c r="C2" t="s">
        <v>61</v>
      </c>
      <c r="E2" t="s">
        <v>62</v>
      </c>
      <c r="F2" s="8">
        <f ca="1">TODAY()</f>
        <v>45820</v>
      </c>
      <c r="G2" t="s">
        <v>63</v>
      </c>
      <c r="H2" t="s">
        <v>64</v>
      </c>
      <c r="I2">
        <v>58914733496</v>
      </c>
      <c r="K2" s="7">
        <f ca="1">TODAY()-10</f>
        <v>45810</v>
      </c>
      <c r="L2" s="7" t="s">
        <v>140</v>
      </c>
      <c r="M2" s="1" t="s">
        <v>65</v>
      </c>
      <c r="N2" s="1" t="s">
        <v>66</v>
      </c>
      <c r="O2" s="1" t="s">
        <v>67</v>
      </c>
      <c r="P2" s="1">
        <v>14</v>
      </c>
      <c r="Q2">
        <v>14</v>
      </c>
      <c r="R2">
        <v>1</v>
      </c>
      <c r="S2" s="5">
        <v>1000.45</v>
      </c>
      <c r="T2">
        <v>0</v>
      </c>
      <c r="V2">
        <v>509.55</v>
      </c>
      <c r="W2">
        <v>0</v>
      </c>
      <c r="X2" s="1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 s="1">
        <f t="shared" ref="BA2:BA24" si="0">SUM(S2:AY2)</f>
        <v>1510</v>
      </c>
      <c r="BB2">
        <v>800023</v>
      </c>
      <c r="BC2">
        <v>463786</v>
      </c>
      <c r="BD2">
        <v>1648.3700000000001</v>
      </c>
      <c r="BF2">
        <v>14</v>
      </c>
      <c r="BI2" t="str">
        <f ca="1">A2&amp;" "&amp;K2&amp;" "&amp;M2&amp;" "&amp;N2</f>
        <v>SLV015142 45810 SLV-SILVASSA PAT-PATNA</v>
      </c>
      <c r="BJ2" s="1">
        <f>P2*60.63</f>
        <v>848.82</v>
      </c>
      <c r="BK2" t="b">
        <f>S2&gt;BJ2</f>
        <v>1</v>
      </c>
      <c r="BL2">
        <f>BJ2-S2</f>
        <v>-151.63</v>
      </c>
      <c r="BM2">
        <f>S2+V2+X2</f>
        <v>1510</v>
      </c>
      <c r="BN2">
        <f>(P2*60.63) +V2+X2</f>
        <v>1358.3700000000001</v>
      </c>
      <c r="BO2">
        <f>BM2-BN2</f>
        <v>151.62999999999988</v>
      </c>
    </row>
    <row r="3" spans="1:67" x14ac:dyDescent="0.35">
      <c r="A3" t="s">
        <v>59</v>
      </c>
      <c r="B3" t="s">
        <v>60</v>
      </c>
      <c r="C3" t="s">
        <v>61</v>
      </c>
      <c r="E3" t="s">
        <v>62</v>
      </c>
      <c r="F3" s="8">
        <f t="shared" ref="F3:F24" ca="1" si="1">TODAY()</f>
        <v>45820</v>
      </c>
      <c r="G3" t="s">
        <v>63</v>
      </c>
      <c r="H3" t="s">
        <v>64</v>
      </c>
      <c r="I3">
        <v>58914733500</v>
      </c>
      <c r="K3" s="7">
        <f ca="1">TODAY() - 5</f>
        <v>45815</v>
      </c>
      <c r="L3" s="7" t="s">
        <v>140</v>
      </c>
      <c r="M3" s="1" t="s">
        <v>65</v>
      </c>
      <c r="N3" s="1" t="s">
        <v>66</v>
      </c>
      <c r="O3" s="1" t="s">
        <v>67</v>
      </c>
      <c r="P3" s="1">
        <v>5</v>
      </c>
      <c r="Q3">
        <v>5</v>
      </c>
      <c r="R3">
        <v>1</v>
      </c>
      <c r="S3" s="5">
        <v>425.23000000000013</v>
      </c>
      <c r="T3">
        <v>0</v>
      </c>
      <c r="V3">
        <v>254.77</v>
      </c>
      <c r="W3">
        <v>0</v>
      </c>
      <c r="X3" s="1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 s="1">
        <f t="shared" si="0"/>
        <v>680.00000000000011</v>
      </c>
      <c r="BB3">
        <v>800023</v>
      </c>
      <c r="BC3">
        <v>43124</v>
      </c>
      <c r="BD3">
        <v>677.92</v>
      </c>
      <c r="BF3">
        <v>20</v>
      </c>
      <c r="BI3" t="str">
        <f t="shared" ref="BI3:BI24" ca="1" si="2">A3&amp;" "&amp;K3&amp;" "&amp;M3&amp;" "&amp;N3</f>
        <v>SLV015142 45815 SLV-SILVASSA PAT-PATNA</v>
      </c>
      <c r="BJ3" s="1">
        <f>P3*60.63</f>
        <v>303.15000000000003</v>
      </c>
      <c r="BK3" t="b">
        <f>S3&gt;BJ3</f>
        <v>1</v>
      </c>
      <c r="BL3">
        <f>BJ3-S3</f>
        <v>-122.0800000000001</v>
      </c>
      <c r="BM3">
        <f t="shared" ref="BM3:BM24" si="3">S3+V3+X3</f>
        <v>680.00000000000011</v>
      </c>
    </row>
    <row r="4" spans="1:67" x14ac:dyDescent="0.35">
      <c r="A4" t="s">
        <v>59</v>
      </c>
      <c r="B4" t="s">
        <v>60</v>
      </c>
      <c r="C4" t="s">
        <v>61</v>
      </c>
      <c r="E4" t="s">
        <v>62</v>
      </c>
      <c r="F4" s="8">
        <f t="shared" ca="1" si="1"/>
        <v>45820</v>
      </c>
      <c r="G4" t="s">
        <v>63</v>
      </c>
      <c r="H4" t="s">
        <v>64</v>
      </c>
      <c r="I4">
        <v>58911335652</v>
      </c>
      <c r="K4" s="7">
        <f ca="1">TODAY() - 2</f>
        <v>45818</v>
      </c>
      <c r="L4" s="7" t="s">
        <v>140</v>
      </c>
      <c r="M4" s="1" t="s">
        <v>65</v>
      </c>
      <c r="N4" s="1" t="s">
        <v>68</v>
      </c>
      <c r="O4" s="1" t="s">
        <v>69</v>
      </c>
      <c r="P4" s="1">
        <v>21</v>
      </c>
      <c r="Q4">
        <v>21</v>
      </c>
      <c r="R4">
        <v>2</v>
      </c>
      <c r="S4" s="5">
        <v>1288.77</v>
      </c>
      <c r="T4">
        <v>0</v>
      </c>
      <c r="V4">
        <v>511.23</v>
      </c>
      <c r="W4">
        <v>0</v>
      </c>
      <c r="X4" s="1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 s="1">
        <f t="shared" si="0"/>
        <v>1800</v>
      </c>
      <c r="BB4">
        <v>342013</v>
      </c>
      <c r="BC4">
        <v>148293</v>
      </c>
      <c r="BF4">
        <v>14</v>
      </c>
      <c r="BI4" t="str">
        <f t="shared" ca="1" si="2"/>
        <v>SLV015142 45818 SLV-SILVASSA JOD-JODHPUR</v>
      </c>
      <c r="BJ4" s="1">
        <f>P4*42.56</f>
        <v>893.76</v>
      </c>
      <c r="BK4" t="b">
        <f>S4&gt;BJ4</f>
        <v>1</v>
      </c>
      <c r="BL4">
        <f>BJ4-S4</f>
        <v>-395.01</v>
      </c>
      <c r="BM4">
        <f t="shared" si="3"/>
        <v>1800</v>
      </c>
    </row>
    <row r="5" spans="1:67" x14ac:dyDescent="0.35">
      <c r="A5" t="s">
        <v>59</v>
      </c>
      <c r="B5" t="s">
        <v>60</v>
      </c>
      <c r="C5" t="s">
        <v>61</v>
      </c>
      <c r="E5" t="s">
        <v>70</v>
      </c>
      <c r="F5" s="8">
        <f t="shared" ca="1" si="1"/>
        <v>45820</v>
      </c>
      <c r="G5" t="s">
        <v>63</v>
      </c>
      <c r="H5" t="s">
        <v>64</v>
      </c>
      <c r="I5">
        <v>58914734130</v>
      </c>
      <c r="K5" s="7">
        <f ca="1">TODAY()- 2</f>
        <v>45818</v>
      </c>
      <c r="L5" s="7" t="s">
        <v>140</v>
      </c>
      <c r="M5" s="1" t="s">
        <v>65</v>
      </c>
      <c r="N5" s="1" t="s">
        <v>71</v>
      </c>
      <c r="O5" s="1" t="s">
        <v>72</v>
      </c>
      <c r="P5" s="1">
        <v>14</v>
      </c>
      <c r="Q5">
        <v>14</v>
      </c>
      <c r="R5">
        <v>1</v>
      </c>
      <c r="S5">
        <v>973.98</v>
      </c>
      <c r="T5">
        <v>0</v>
      </c>
      <c r="V5">
        <v>557.12</v>
      </c>
      <c r="W5">
        <v>0</v>
      </c>
      <c r="X5" s="1">
        <v>150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 s="1">
        <f t="shared" si="0"/>
        <v>1681.1</v>
      </c>
      <c r="BB5">
        <v>786125</v>
      </c>
      <c r="BC5">
        <v>153958</v>
      </c>
      <c r="BF5">
        <v>14</v>
      </c>
      <c r="BI5" t="str">
        <f t="shared" ca="1" si="2"/>
        <v>SLV015142 45818 SLV-SILVASSA TIN-TINSUKIA</v>
      </c>
      <c r="BM5">
        <f t="shared" si="3"/>
        <v>1681.1</v>
      </c>
    </row>
    <row r="6" spans="1:67" x14ac:dyDescent="0.35">
      <c r="A6" t="s">
        <v>73</v>
      </c>
      <c r="B6" t="s">
        <v>60</v>
      </c>
      <c r="C6" t="s">
        <v>74</v>
      </c>
      <c r="E6" t="s">
        <v>75</v>
      </c>
      <c r="F6" s="8">
        <f t="shared" ca="1" si="1"/>
        <v>45820</v>
      </c>
      <c r="G6" t="s">
        <v>63</v>
      </c>
      <c r="H6" t="s">
        <v>64</v>
      </c>
      <c r="I6">
        <v>58890775112</v>
      </c>
      <c r="K6" s="7">
        <f ca="1">TODAY() - 2</f>
        <v>45818</v>
      </c>
      <c r="L6" s="7" t="s">
        <v>140</v>
      </c>
      <c r="M6" s="1" t="s">
        <v>76</v>
      </c>
      <c r="N6" s="1" t="s">
        <v>68</v>
      </c>
      <c r="O6" s="1" t="s">
        <v>69</v>
      </c>
      <c r="P6" s="1">
        <v>70</v>
      </c>
      <c r="Q6">
        <v>70</v>
      </c>
      <c r="R6">
        <v>5</v>
      </c>
      <c r="S6">
        <v>2979.2</v>
      </c>
      <c r="T6">
        <v>0</v>
      </c>
      <c r="V6">
        <v>1704.1</v>
      </c>
      <c r="W6">
        <v>0</v>
      </c>
      <c r="X6" s="1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 s="1">
        <f t="shared" si="0"/>
        <v>4683.2999999999993</v>
      </c>
      <c r="BB6">
        <v>342003</v>
      </c>
      <c r="BC6">
        <v>2236815</v>
      </c>
      <c r="BF6">
        <v>14</v>
      </c>
      <c r="BI6" t="str">
        <f t="shared" ca="1" si="2"/>
        <v>VAP014884 45818 VAP-VAPI JOD-JODHPUR</v>
      </c>
      <c r="BJ6" s="1">
        <f t="shared" ref="BJ6:BJ7" si="4">P6*42.56</f>
        <v>2979.2000000000003</v>
      </c>
      <c r="BK6" t="b">
        <f t="shared" ref="BK6:BK7" si="5">S6&gt;BJ6</f>
        <v>0</v>
      </c>
      <c r="BM6">
        <f t="shared" si="3"/>
        <v>4683.2999999999993</v>
      </c>
    </row>
    <row r="7" spans="1:67" x14ac:dyDescent="0.35">
      <c r="A7" t="s">
        <v>73</v>
      </c>
      <c r="B7" t="s">
        <v>60</v>
      </c>
      <c r="C7" t="s">
        <v>74</v>
      </c>
      <c r="E7" t="s">
        <v>75</v>
      </c>
      <c r="F7" s="8">
        <f t="shared" ca="1" si="1"/>
        <v>45820</v>
      </c>
      <c r="G7" t="s">
        <v>63</v>
      </c>
      <c r="H7" t="s">
        <v>64</v>
      </c>
      <c r="I7">
        <v>58812712851</v>
      </c>
      <c r="K7" s="7">
        <f ca="1">TODAY() - 1</f>
        <v>45819</v>
      </c>
      <c r="L7" s="7" t="s">
        <v>140</v>
      </c>
      <c r="M7" s="1" t="s">
        <v>76</v>
      </c>
      <c r="N7" s="1" t="s">
        <v>68</v>
      </c>
      <c r="O7" s="1" t="s">
        <v>69</v>
      </c>
      <c r="P7" s="1">
        <v>28</v>
      </c>
      <c r="Q7">
        <v>28</v>
      </c>
      <c r="R7">
        <v>2</v>
      </c>
      <c r="S7">
        <v>1191.68</v>
      </c>
      <c r="T7">
        <v>0</v>
      </c>
      <c r="V7">
        <v>681.64</v>
      </c>
      <c r="W7">
        <v>0</v>
      </c>
      <c r="X7" s="1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 s="1">
        <f t="shared" si="0"/>
        <v>1873.3200000000002</v>
      </c>
      <c r="BB7">
        <v>342003</v>
      </c>
      <c r="BC7">
        <v>667669</v>
      </c>
      <c r="BD7">
        <v>1873.3200000000002</v>
      </c>
      <c r="BF7">
        <v>20</v>
      </c>
      <c r="BI7" t="str">
        <f t="shared" ca="1" si="2"/>
        <v>VAP014884 45819 VAP-VAPI JOD-JODHPUR</v>
      </c>
      <c r="BJ7" s="1">
        <f t="shared" si="4"/>
        <v>1191.68</v>
      </c>
      <c r="BK7" t="b">
        <f t="shared" si="5"/>
        <v>0</v>
      </c>
      <c r="BM7">
        <f t="shared" si="3"/>
        <v>1873.3200000000002</v>
      </c>
    </row>
    <row r="8" spans="1:67" x14ac:dyDescent="0.35">
      <c r="A8" t="s">
        <v>73</v>
      </c>
      <c r="B8" t="s">
        <v>60</v>
      </c>
      <c r="C8" t="s">
        <v>74</v>
      </c>
      <c r="E8" t="s">
        <v>75</v>
      </c>
      <c r="F8" s="8">
        <f t="shared" ca="1" si="1"/>
        <v>45820</v>
      </c>
      <c r="G8" t="s">
        <v>63</v>
      </c>
      <c r="H8" t="s">
        <v>64</v>
      </c>
      <c r="I8">
        <v>58812712630</v>
      </c>
      <c r="K8" s="7">
        <f t="shared" ref="K8" ca="1" si="6">TODAY() - 1</f>
        <v>45819</v>
      </c>
      <c r="L8" s="7" t="s">
        <v>140</v>
      </c>
      <c r="M8" s="1" t="s">
        <v>76</v>
      </c>
      <c r="N8" s="1" t="s">
        <v>66</v>
      </c>
      <c r="O8" s="1" t="s">
        <v>67</v>
      </c>
      <c r="P8" s="1">
        <v>19</v>
      </c>
      <c r="Q8">
        <v>19</v>
      </c>
      <c r="R8">
        <v>2</v>
      </c>
      <c r="S8" s="5">
        <v>1708.4700000000003</v>
      </c>
      <c r="T8">
        <v>0</v>
      </c>
      <c r="V8">
        <v>691.53</v>
      </c>
      <c r="W8">
        <v>0</v>
      </c>
      <c r="X8" s="1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 s="1">
        <f t="shared" si="0"/>
        <v>2400</v>
      </c>
      <c r="BB8">
        <v>800004</v>
      </c>
      <c r="BC8">
        <v>584045</v>
      </c>
      <c r="BD8">
        <v>2443.5</v>
      </c>
      <c r="BF8">
        <v>20</v>
      </c>
      <c r="BI8" t="str">
        <f t="shared" ca="1" si="2"/>
        <v>VAP014884 45819 VAP-VAPI PAT-PATNA</v>
      </c>
      <c r="BJ8" s="1">
        <f>P8*60.63</f>
        <v>1151.97</v>
      </c>
      <c r="BK8" t="b">
        <f>S8&gt;BJ8</f>
        <v>1</v>
      </c>
      <c r="BL8">
        <f>BJ8-S8</f>
        <v>-556.50000000000023</v>
      </c>
      <c r="BM8">
        <f t="shared" si="3"/>
        <v>2400</v>
      </c>
    </row>
    <row r="9" spans="1:67" x14ac:dyDescent="0.35">
      <c r="A9" t="s">
        <v>73</v>
      </c>
      <c r="B9" t="s">
        <v>60</v>
      </c>
      <c r="C9" t="s">
        <v>74</v>
      </c>
      <c r="E9" t="s">
        <v>77</v>
      </c>
      <c r="F9" s="8">
        <f t="shared" ca="1" si="1"/>
        <v>45820</v>
      </c>
      <c r="G9" t="s">
        <v>63</v>
      </c>
      <c r="H9" t="s">
        <v>64</v>
      </c>
      <c r="I9">
        <v>58812711296</v>
      </c>
      <c r="K9" s="7">
        <f ca="1">TODAY()- 10</f>
        <v>45810</v>
      </c>
      <c r="L9" s="7" t="s">
        <v>140</v>
      </c>
      <c r="M9" s="1" t="s">
        <v>76</v>
      </c>
      <c r="N9" s="1" t="s">
        <v>68</v>
      </c>
      <c r="O9" s="1" t="s">
        <v>69</v>
      </c>
      <c r="P9" s="1">
        <v>140</v>
      </c>
      <c r="Q9">
        <v>140</v>
      </c>
      <c r="R9">
        <v>10</v>
      </c>
      <c r="S9" s="5">
        <v>6591.8000000000011</v>
      </c>
      <c r="T9">
        <v>0</v>
      </c>
      <c r="V9">
        <v>3408.2</v>
      </c>
      <c r="W9">
        <v>0</v>
      </c>
      <c r="X9" s="1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 s="1">
        <f t="shared" si="0"/>
        <v>10000</v>
      </c>
      <c r="BB9">
        <v>342003</v>
      </c>
      <c r="BC9">
        <v>4918347</v>
      </c>
      <c r="BD9">
        <v>9366.5999999999985</v>
      </c>
      <c r="BF9">
        <v>20</v>
      </c>
      <c r="BI9" t="str">
        <f t="shared" ca="1" si="2"/>
        <v>VAP014884 45810 VAP-VAPI JOD-JODHPUR</v>
      </c>
      <c r="BJ9" s="1">
        <f>P9*42.56</f>
        <v>5958.4000000000005</v>
      </c>
      <c r="BK9" t="b">
        <f>S9&gt;BJ9</f>
        <v>1</v>
      </c>
      <c r="BL9">
        <f>BJ9-S9</f>
        <v>-633.40000000000055</v>
      </c>
      <c r="BM9">
        <f t="shared" si="3"/>
        <v>10000</v>
      </c>
    </row>
    <row r="10" spans="1:67" x14ac:dyDescent="0.35">
      <c r="A10" t="s">
        <v>73</v>
      </c>
      <c r="B10" t="s">
        <v>60</v>
      </c>
      <c r="C10" t="s">
        <v>74</v>
      </c>
      <c r="E10" t="s">
        <v>77</v>
      </c>
      <c r="F10" s="8">
        <f t="shared" ca="1" si="1"/>
        <v>45820</v>
      </c>
      <c r="G10" t="s">
        <v>63</v>
      </c>
      <c r="H10" t="s">
        <v>64</v>
      </c>
      <c r="I10">
        <v>58812710261</v>
      </c>
      <c r="K10" s="7">
        <f ca="1">TODAY() - 10</f>
        <v>45810</v>
      </c>
      <c r="L10" s="7" t="s">
        <v>140</v>
      </c>
      <c r="M10" s="1" t="s">
        <v>76</v>
      </c>
      <c r="N10" s="1" t="s">
        <v>66</v>
      </c>
      <c r="O10" s="1" t="s">
        <v>67</v>
      </c>
      <c r="P10" s="1">
        <v>21</v>
      </c>
      <c r="Q10">
        <v>21</v>
      </c>
      <c r="R10">
        <v>2</v>
      </c>
      <c r="S10" s="5">
        <v>2135.6799999999998</v>
      </c>
      <c r="T10">
        <v>0</v>
      </c>
      <c r="V10">
        <v>764.32</v>
      </c>
      <c r="W10">
        <v>0</v>
      </c>
      <c r="X10" s="1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 s="1">
        <f t="shared" si="0"/>
        <v>2900</v>
      </c>
      <c r="BB10">
        <v>800004</v>
      </c>
      <c r="BC10">
        <v>681261</v>
      </c>
      <c r="BF10">
        <v>14</v>
      </c>
      <c r="BI10" t="str">
        <f t="shared" ca="1" si="2"/>
        <v>VAP014884 45810 VAP-VAPI PAT-PATNA</v>
      </c>
      <c r="BJ10" s="1">
        <f>P10*60.63</f>
        <v>1273.23</v>
      </c>
      <c r="BK10" t="b">
        <f>S10&gt;BJ10</f>
        <v>1</v>
      </c>
      <c r="BL10">
        <f>BJ10-S10</f>
        <v>-862.44999999999982</v>
      </c>
      <c r="BM10">
        <f t="shared" si="3"/>
        <v>2900</v>
      </c>
    </row>
    <row r="11" spans="1:67" x14ac:dyDescent="0.35">
      <c r="A11" t="s">
        <v>73</v>
      </c>
      <c r="B11" t="s">
        <v>60</v>
      </c>
      <c r="C11" t="s">
        <v>74</v>
      </c>
      <c r="E11" t="s">
        <v>77</v>
      </c>
      <c r="F11" s="8">
        <f t="shared" ca="1" si="1"/>
        <v>45820</v>
      </c>
      <c r="G11" t="s">
        <v>63</v>
      </c>
      <c r="H11" t="s">
        <v>64</v>
      </c>
      <c r="I11">
        <v>58812712081</v>
      </c>
      <c r="K11" s="7">
        <f ca="1">TODAY()-8</f>
        <v>45812</v>
      </c>
      <c r="L11" s="7" t="s">
        <v>140</v>
      </c>
      <c r="M11" s="1" t="s">
        <v>76</v>
      </c>
      <c r="N11" s="1" t="s">
        <v>68</v>
      </c>
      <c r="O11" s="1" t="s">
        <v>69</v>
      </c>
      <c r="P11" s="1">
        <v>14</v>
      </c>
      <c r="Q11">
        <v>14</v>
      </c>
      <c r="R11">
        <v>1</v>
      </c>
      <c r="S11" s="5">
        <v>639.17999999999995</v>
      </c>
      <c r="T11">
        <v>0</v>
      </c>
      <c r="V11">
        <v>340.82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 s="1">
        <f t="shared" si="0"/>
        <v>980</v>
      </c>
      <c r="BB11">
        <v>342003</v>
      </c>
      <c r="BC11">
        <v>38998</v>
      </c>
      <c r="BF11">
        <v>14</v>
      </c>
      <c r="BI11" t="str">
        <f t="shared" ca="1" si="2"/>
        <v>VAP014884 45812 VAP-VAPI JOD-JODHPUR</v>
      </c>
      <c r="BJ11" s="1">
        <f t="shared" ref="BJ11:BJ13" si="7">P11*42.56</f>
        <v>595.84</v>
      </c>
      <c r="BK11" t="b">
        <f t="shared" ref="BK11:BK13" si="8">S11&gt;BJ11</f>
        <v>1</v>
      </c>
      <c r="BL11">
        <f>BJ11-S11</f>
        <v>-43.339999999999918</v>
      </c>
      <c r="BM11">
        <f t="shared" si="3"/>
        <v>980</v>
      </c>
    </row>
    <row r="12" spans="1:67" x14ac:dyDescent="0.35">
      <c r="A12" t="s">
        <v>78</v>
      </c>
      <c r="B12" t="s">
        <v>60</v>
      </c>
      <c r="C12" t="s">
        <v>79</v>
      </c>
      <c r="E12" t="s">
        <v>80</v>
      </c>
      <c r="F12" s="8">
        <f t="shared" ca="1" si="1"/>
        <v>45820</v>
      </c>
      <c r="G12" t="s">
        <v>63</v>
      </c>
      <c r="H12" t="s">
        <v>64</v>
      </c>
      <c r="I12">
        <v>58916428281</v>
      </c>
      <c r="K12" s="7">
        <f ca="1">TODAY()-3</f>
        <v>45817</v>
      </c>
      <c r="L12" s="7" t="s">
        <v>140</v>
      </c>
      <c r="M12" s="1" t="s">
        <v>81</v>
      </c>
      <c r="N12" s="1" t="s">
        <v>68</v>
      </c>
      <c r="O12" s="1" t="s">
        <v>69</v>
      </c>
      <c r="P12" s="1">
        <v>18</v>
      </c>
      <c r="Q12">
        <v>18</v>
      </c>
      <c r="R12">
        <v>3</v>
      </c>
      <c r="S12" s="5">
        <v>1531.68</v>
      </c>
      <c r="T12">
        <v>0</v>
      </c>
      <c r="V12">
        <v>876.4</v>
      </c>
      <c r="W12">
        <v>0</v>
      </c>
      <c r="X12" s="1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 s="1">
        <f t="shared" si="0"/>
        <v>2408.08</v>
      </c>
      <c r="BB12">
        <v>342013</v>
      </c>
      <c r="BC12">
        <v>483531</v>
      </c>
      <c r="BF12" t="s">
        <v>82</v>
      </c>
      <c r="BI12" t="str">
        <f t="shared" ca="1" si="2"/>
        <v>BOM265731 45817 BOM-MUMBAI JOD-JODHPUR</v>
      </c>
      <c r="BJ12" s="1">
        <f t="shared" si="7"/>
        <v>766.08</v>
      </c>
      <c r="BK12" t="b">
        <f t="shared" si="8"/>
        <v>1</v>
      </c>
      <c r="BL12">
        <f>BJ12-S12</f>
        <v>-765.6</v>
      </c>
      <c r="BM12">
        <f t="shared" si="3"/>
        <v>2408.08</v>
      </c>
    </row>
    <row r="13" spans="1:67" x14ac:dyDescent="0.35">
      <c r="A13" t="s">
        <v>78</v>
      </c>
      <c r="B13" t="s">
        <v>60</v>
      </c>
      <c r="C13" t="s">
        <v>79</v>
      </c>
      <c r="E13" t="s">
        <v>80</v>
      </c>
      <c r="F13" s="8">
        <f t="shared" ca="1" si="1"/>
        <v>45820</v>
      </c>
      <c r="G13" t="s">
        <v>63</v>
      </c>
      <c r="H13" t="s">
        <v>64</v>
      </c>
      <c r="I13">
        <v>58916428303</v>
      </c>
      <c r="K13" s="7">
        <f ca="1">TODAY() - 2</f>
        <v>45818</v>
      </c>
      <c r="L13" s="7" t="s">
        <v>140</v>
      </c>
      <c r="M13" s="1" t="s">
        <v>81</v>
      </c>
      <c r="N13" s="1" t="s">
        <v>68</v>
      </c>
      <c r="O13" s="1" t="s">
        <v>69</v>
      </c>
      <c r="P13" s="1">
        <v>1</v>
      </c>
      <c r="Q13">
        <v>1</v>
      </c>
      <c r="R13">
        <v>1</v>
      </c>
      <c r="S13">
        <v>42.56</v>
      </c>
      <c r="T13">
        <v>0</v>
      </c>
      <c r="V13">
        <v>170.41</v>
      </c>
      <c r="W13">
        <v>0</v>
      </c>
      <c r="X13" s="1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 s="1">
        <f t="shared" si="0"/>
        <v>212.97</v>
      </c>
      <c r="BB13">
        <v>342013</v>
      </c>
      <c r="BC13">
        <v>22895</v>
      </c>
      <c r="BF13" t="s">
        <v>82</v>
      </c>
      <c r="BI13" t="str">
        <f t="shared" ca="1" si="2"/>
        <v>BOM265731 45818 BOM-MUMBAI JOD-JODHPUR</v>
      </c>
      <c r="BJ13" s="1">
        <f t="shared" si="7"/>
        <v>42.56</v>
      </c>
      <c r="BK13" t="b">
        <f t="shared" si="8"/>
        <v>0</v>
      </c>
      <c r="BM13">
        <f t="shared" si="3"/>
        <v>212.97</v>
      </c>
    </row>
    <row r="14" spans="1:67" x14ac:dyDescent="0.35">
      <c r="A14" t="s">
        <v>83</v>
      </c>
      <c r="B14" t="s">
        <v>60</v>
      </c>
      <c r="C14" t="s">
        <v>79</v>
      </c>
      <c r="E14" t="s">
        <v>84</v>
      </c>
      <c r="F14" s="8">
        <f t="shared" ca="1" si="1"/>
        <v>45820</v>
      </c>
      <c r="G14" t="s">
        <v>63</v>
      </c>
      <c r="H14" t="s">
        <v>64</v>
      </c>
      <c r="I14">
        <v>58920766074</v>
      </c>
      <c r="K14" s="7">
        <f ca="1">TODAY() - 7</f>
        <v>45813</v>
      </c>
      <c r="L14" s="7" t="s">
        <v>140</v>
      </c>
      <c r="M14" s="1" t="s">
        <v>81</v>
      </c>
      <c r="N14" s="1" t="s">
        <v>66</v>
      </c>
      <c r="O14" s="1" t="s">
        <v>67</v>
      </c>
      <c r="P14" s="1">
        <v>5</v>
      </c>
      <c r="Q14">
        <v>5</v>
      </c>
      <c r="R14">
        <v>1</v>
      </c>
      <c r="S14">
        <v>303.14999999999998</v>
      </c>
      <c r="T14">
        <v>0</v>
      </c>
      <c r="V14">
        <v>254.77</v>
      </c>
      <c r="W14">
        <v>0</v>
      </c>
      <c r="X14" s="1">
        <v>500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 s="1">
        <f t="shared" si="0"/>
        <v>1057.92</v>
      </c>
      <c r="BB14">
        <v>800013</v>
      </c>
      <c r="BC14">
        <v>91386</v>
      </c>
      <c r="BF14" t="s">
        <v>85</v>
      </c>
      <c r="BI14" t="str">
        <f t="shared" ca="1" si="2"/>
        <v>BOM354664 45813 BOM-MUMBAI PAT-PATNA</v>
      </c>
      <c r="BJ14" s="1">
        <f t="shared" ref="BJ14:BJ20" si="9">P14*60.63</f>
        <v>303.15000000000003</v>
      </c>
      <c r="BK14" t="b">
        <f t="shared" ref="BK14:BK20" si="10">S14&gt;BJ14</f>
        <v>0</v>
      </c>
      <c r="BM14">
        <f t="shared" si="3"/>
        <v>1057.92</v>
      </c>
    </row>
    <row r="15" spans="1:67" x14ac:dyDescent="0.35">
      <c r="A15" t="s">
        <v>86</v>
      </c>
      <c r="B15" t="s">
        <v>60</v>
      </c>
      <c r="C15" t="s">
        <v>61</v>
      </c>
      <c r="E15" t="s">
        <v>87</v>
      </c>
      <c r="F15" s="8">
        <f t="shared" ca="1" si="1"/>
        <v>45820</v>
      </c>
      <c r="G15" t="s">
        <v>63</v>
      </c>
      <c r="H15" t="s">
        <v>64</v>
      </c>
      <c r="I15">
        <v>58914733544</v>
      </c>
      <c r="K15" s="7">
        <f ca="1">TODAY() - 7</f>
        <v>45813</v>
      </c>
      <c r="L15" s="7" t="s">
        <v>140</v>
      </c>
      <c r="M15" s="1" t="s">
        <v>65</v>
      </c>
      <c r="N15" s="1" t="s">
        <v>66</v>
      </c>
      <c r="O15" s="1" t="s">
        <v>67</v>
      </c>
      <c r="P15" s="1">
        <v>7</v>
      </c>
      <c r="Q15">
        <v>7</v>
      </c>
      <c r="R15">
        <v>1</v>
      </c>
      <c r="S15">
        <v>424.41</v>
      </c>
      <c r="T15">
        <v>0</v>
      </c>
      <c r="V15">
        <v>254.77</v>
      </c>
      <c r="W15">
        <v>0</v>
      </c>
      <c r="X15" s="1">
        <v>400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 s="1">
        <f t="shared" si="0"/>
        <v>1079.18</v>
      </c>
      <c r="BB15">
        <v>800016</v>
      </c>
      <c r="BC15">
        <v>96734</v>
      </c>
      <c r="BF15">
        <v>14</v>
      </c>
      <c r="BI15" t="str">
        <f t="shared" ca="1" si="2"/>
        <v>SLV014335 45813 SLV-SILVASSA PAT-PATNA</v>
      </c>
      <c r="BJ15" s="1">
        <f t="shared" si="9"/>
        <v>424.41</v>
      </c>
      <c r="BK15" t="b">
        <f t="shared" si="10"/>
        <v>0</v>
      </c>
      <c r="BM15">
        <f t="shared" si="3"/>
        <v>1079.18</v>
      </c>
    </row>
    <row r="16" spans="1:67" x14ac:dyDescent="0.35">
      <c r="A16" t="s">
        <v>86</v>
      </c>
      <c r="B16" t="s">
        <v>60</v>
      </c>
      <c r="C16" t="s">
        <v>61</v>
      </c>
      <c r="E16" t="s">
        <v>87</v>
      </c>
      <c r="F16" s="8">
        <f t="shared" ca="1" si="1"/>
        <v>45820</v>
      </c>
      <c r="G16" t="s">
        <v>63</v>
      </c>
      <c r="H16" t="s">
        <v>64</v>
      </c>
      <c r="I16">
        <v>58911335744</v>
      </c>
      <c r="K16" s="7">
        <f ca="1">TODAY()-12</f>
        <v>45808</v>
      </c>
      <c r="L16" s="7" t="s">
        <v>140</v>
      </c>
      <c r="M16" s="1" t="s">
        <v>65</v>
      </c>
      <c r="N16" s="1" t="s">
        <v>66</v>
      </c>
      <c r="O16" s="1" t="s">
        <v>67</v>
      </c>
      <c r="P16" s="1">
        <v>33</v>
      </c>
      <c r="Q16">
        <v>33</v>
      </c>
      <c r="R16">
        <v>3</v>
      </c>
      <c r="S16">
        <v>2000.79</v>
      </c>
      <c r="T16">
        <v>0</v>
      </c>
      <c r="V16">
        <v>1201.08</v>
      </c>
      <c r="W16">
        <v>0</v>
      </c>
      <c r="X16" s="1">
        <v>680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 s="1">
        <f t="shared" si="0"/>
        <v>3881.87</v>
      </c>
      <c r="BB16">
        <v>800023</v>
      </c>
      <c r="BC16">
        <v>1368726</v>
      </c>
      <c r="BF16">
        <v>14</v>
      </c>
      <c r="BI16" t="str">
        <f t="shared" ca="1" si="2"/>
        <v>SLV014335 45808 SLV-SILVASSA PAT-PATNA</v>
      </c>
      <c r="BJ16" s="1">
        <f t="shared" si="9"/>
        <v>2000.7900000000002</v>
      </c>
      <c r="BK16" t="b">
        <f t="shared" si="10"/>
        <v>0</v>
      </c>
      <c r="BM16">
        <f t="shared" si="3"/>
        <v>3881.87</v>
      </c>
    </row>
    <row r="17" spans="1:65" x14ac:dyDescent="0.35">
      <c r="A17" t="s">
        <v>86</v>
      </c>
      <c r="B17" t="s">
        <v>60</v>
      </c>
      <c r="C17" t="s">
        <v>61</v>
      </c>
      <c r="E17" t="s">
        <v>87</v>
      </c>
      <c r="F17" s="8">
        <f t="shared" ca="1" si="1"/>
        <v>45820</v>
      </c>
      <c r="G17" t="s">
        <v>63</v>
      </c>
      <c r="H17" t="s">
        <v>64</v>
      </c>
      <c r="I17">
        <v>58911335674</v>
      </c>
      <c r="K17" s="7">
        <f ca="1">TODAY() - 10</f>
        <v>45810</v>
      </c>
      <c r="L17" s="7" t="s">
        <v>140</v>
      </c>
      <c r="M17" s="1" t="s">
        <v>65</v>
      </c>
      <c r="N17" s="1" t="s">
        <v>66</v>
      </c>
      <c r="O17" s="1" t="s">
        <v>67</v>
      </c>
      <c r="P17" s="1">
        <v>56</v>
      </c>
      <c r="Q17">
        <v>56</v>
      </c>
      <c r="R17">
        <v>4</v>
      </c>
      <c r="S17" s="5">
        <v>3761.8</v>
      </c>
      <c r="T17">
        <v>0</v>
      </c>
      <c r="V17">
        <v>2038.2</v>
      </c>
      <c r="W17">
        <v>0</v>
      </c>
      <c r="X17" s="1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 s="1">
        <f t="shared" si="0"/>
        <v>5800</v>
      </c>
      <c r="BB17">
        <v>800023</v>
      </c>
      <c r="BC17">
        <v>1998403</v>
      </c>
      <c r="BF17">
        <v>20</v>
      </c>
      <c r="BI17" t="str">
        <f t="shared" ca="1" si="2"/>
        <v>SLV014335 45810 SLV-SILVASSA PAT-PATNA</v>
      </c>
      <c r="BJ17" s="1">
        <f t="shared" si="9"/>
        <v>3395.28</v>
      </c>
      <c r="BK17" t="b">
        <f t="shared" si="10"/>
        <v>1</v>
      </c>
      <c r="BL17">
        <f>BJ17-S17</f>
        <v>-366.52</v>
      </c>
      <c r="BM17">
        <f t="shared" si="3"/>
        <v>5800</v>
      </c>
    </row>
    <row r="18" spans="1:65" x14ac:dyDescent="0.35">
      <c r="A18" t="s">
        <v>86</v>
      </c>
      <c r="B18" t="s">
        <v>60</v>
      </c>
      <c r="C18" t="s">
        <v>61</v>
      </c>
      <c r="E18" t="s">
        <v>87</v>
      </c>
      <c r="F18" s="8">
        <f t="shared" ca="1" si="1"/>
        <v>45820</v>
      </c>
      <c r="G18" t="s">
        <v>63</v>
      </c>
      <c r="H18" t="s">
        <v>64</v>
      </c>
      <c r="I18">
        <v>58911335722</v>
      </c>
      <c r="K18" s="7">
        <f ca="1">TODAY() - 2</f>
        <v>45818</v>
      </c>
      <c r="L18" s="7" t="s">
        <v>140</v>
      </c>
      <c r="M18" s="1" t="s">
        <v>65</v>
      </c>
      <c r="N18" s="1" t="s">
        <v>66</v>
      </c>
      <c r="O18" s="1" t="s">
        <v>67</v>
      </c>
      <c r="P18" s="1">
        <v>14</v>
      </c>
      <c r="Q18">
        <v>14</v>
      </c>
      <c r="R18">
        <v>1</v>
      </c>
      <c r="S18">
        <v>848.82</v>
      </c>
      <c r="T18">
        <v>0</v>
      </c>
      <c r="V18">
        <v>509.55</v>
      </c>
      <c r="W18">
        <v>0</v>
      </c>
      <c r="X18" s="1">
        <v>398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 s="1">
        <f t="shared" si="0"/>
        <v>1756.3700000000001</v>
      </c>
      <c r="BB18">
        <v>800016</v>
      </c>
      <c r="BC18">
        <v>240268</v>
      </c>
      <c r="BF18">
        <v>20</v>
      </c>
      <c r="BI18" t="str">
        <f t="shared" ca="1" si="2"/>
        <v>SLV014335 45818 SLV-SILVASSA PAT-PATNA</v>
      </c>
      <c r="BJ18" s="1">
        <f t="shared" si="9"/>
        <v>848.82</v>
      </c>
      <c r="BK18" t="b">
        <f t="shared" si="10"/>
        <v>0</v>
      </c>
      <c r="BM18">
        <f t="shared" si="3"/>
        <v>1756.3700000000001</v>
      </c>
    </row>
    <row r="19" spans="1:65" x14ac:dyDescent="0.35">
      <c r="A19" t="s">
        <v>86</v>
      </c>
      <c r="B19" t="s">
        <v>60</v>
      </c>
      <c r="C19" t="s">
        <v>61</v>
      </c>
      <c r="E19" t="s">
        <v>88</v>
      </c>
      <c r="F19" s="8">
        <f t="shared" ca="1" si="1"/>
        <v>45820</v>
      </c>
      <c r="G19" t="s">
        <v>63</v>
      </c>
      <c r="H19" t="s">
        <v>64</v>
      </c>
      <c r="I19">
        <v>58914734012</v>
      </c>
      <c r="K19" s="7">
        <f ca="1">TODAY()- 10</f>
        <v>45810</v>
      </c>
      <c r="L19" s="7" t="s">
        <v>140</v>
      </c>
      <c r="M19" s="1" t="s">
        <v>65</v>
      </c>
      <c r="N19" s="1" t="s">
        <v>71</v>
      </c>
      <c r="O19" s="1" t="s">
        <v>72</v>
      </c>
      <c r="P19" s="1">
        <v>70</v>
      </c>
      <c r="Q19">
        <v>70</v>
      </c>
      <c r="R19">
        <v>2</v>
      </c>
      <c r="S19" s="5">
        <v>5975.65</v>
      </c>
      <c r="T19">
        <v>0</v>
      </c>
      <c r="V19">
        <v>3024.35</v>
      </c>
      <c r="W19">
        <v>0</v>
      </c>
      <c r="X19" s="1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 s="1">
        <f t="shared" si="0"/>
        <v>9000</v>
      </c>
      <c r="BB19">
        <v>786125</v>
      </c>
      <c r="BC19">
        <v>177703</v>
      </c>
      <c r="BD19">
        <v>7894.25</v>
      </c>
      <c r="BF19">
        <v>14</v>
      </c>
      <c r="BI19" t="str">
        <f t="shared" ca="1" si="2"/>
        <v>SLV014335 45810 SLV-SILVASSA TIN-TINSUKIA</v>
      </c>
      <c r="BJ19" s="1">
        <f t="shared" si="9"/>
        <v>4244.1000000000004</v>
      </c>
      <c r="BK19" t="b">
        <f t="shared" si="10"/>
        <v>1</v>
      </c>
      <c r="BL19">
        <f>BJ19-S19</f>
        <v>-1731.5499999999993</v>
      </c>
      <c r="BM19">
        <f t="shared" si="3"/>
        <v>9000</v>
      </c>
    </row>
    <row r="20" spans="1:65" x14ac:dyDescent="0.35">
      <c r="A20" t="s">
        <v>86</v>
      </c>
      <c r="B20" t="s">
        <v>60</v>
      </c>
      <c r="C20" t="s">
        <v>61</v>
      </c>
      <c r="E20" t="s">
        <v>88</v>
      </c>
      <c r="F20" s="8">
        <f t="shared" ca="1" si="1"/>
        <v>45820</v>
      </c>
      <c r="G20" t="s">
        <v>63</v>
      </c>
      <c r="H20" t="s">
        <v>64</v>
      </c>
      <c r="I20">
        <v>58914733986</v>
      </c>
      <c r="K20" s="7">
        <f ca="1">TODAY() - 11</f>
        <v>45809</v>
      </c>
      <c r="L20" s="7" t="s">
        <v>140</v>
      </c>
      <c r="M20" s="1" t="s">
        <v>65</v>
      </c>
      <c r="N20" s="1" t="s">
        <v>66</v>
      </c>
      <c r="O20" s="1" t="s">
        <v>67</v>
      </c>
      <c r="P20" s="1">
        <v>7</v>
      </c>
      <c r="Q20">
        <v>7</v>
      </c>
      <c r="R20">
        <v>1</v>
      </c>
      <c r="S20">
        <v>424.41</v>
      </c>
      <c r="T20">
        <v>0</v>
      </c>
      <c r="V20">
        <v>254.77</v>
      </c>
      <c r="W20">
        <v>0</v>
      </c>
      <c r="X20" s="1">
        <v>381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 s="1">
        <f t="shared" si="0"/>
        <v>1060.18</v>
      </c>
      <c r="BB20">
        <v>800016</v>
      </c>
      <c r="BC20">
        <v>185332</v>
      </c>
      <c r="BF20">
        <v>20</v>
      </c>
      <c r="BI20" t="str">
        <f t="shared" ca="1" si="2"/>
        <v>SLV014335 45809 SLV-SILVASSA PAT-PATNA</v>
      </c>
      <c r="BJ20" s="1">
        <f t="shared" si="9"/>
        <v>424.41</v>
      </c>
      <c r="BK20" t="b">
        <f t="shared" si="10"/>
        <v>0</v>
      </c>
      <c r="BM20">
        <f t="shared" si="3"/>
        <v>1060.18</v>
      </c>
    </row>
    <row r="21" spans="1:65" x14ac:dyDescent="0.35">
      <c r="A21" s="6" t="s">
        <v>73</v>
      </c>
      <c r="B21" s="6" t="s">
        <v>60</v>
      </c>
      <c r="C21" s="6" t="s">
        <v>74</v>
      </c>
      <c r="D21" s="6"/>
      <c r="E21" s="6" t="s">
        <v>95</v>
      </c>
      <c r="F21" s="9">
        <f t="shared" ca="1" si="1"/>
        <v>45820</v>
      </c>
      <c r="G21" s="6" t="s">
        <v>63</v>
      </c>
      <c r="H21" s="6" t="s">
        <v>64</v>
      </c>
      <c r="I21" s="6">
        <v>59890775112</v>
      </c>
      <c r="J21" s="6"/>
      <c r="K21" s="7">
        <f t="shared" ref="K21:K22" ca="1" si="11">TODAY() - 2</f>
        <v>45818</v>
      </c>
      <c r="L21" s="7" t="s">
        <v>140</v>
      </c>
      <c r="M21" s="1" t="s">
        <v>76</v>
      </c>
      <c r="N21" s="1" t="s">
        <v>68</v>
      </c>
      <c r="O21" s="1" t="s">
        <v>69</v>
      </c>
      <c r="P21" s="1">
        <v>70</v>
      </c>
      <c r="Q21" s="6">
        <v>70</v>
      </c>
      <c r="R21" s="6">
        <v>5</v>
      </c>
      <c r="S21" s="6">
        <v>2979.2</v>
      </c>
      <c r="T21" s="6">
        <v>0</v>
      </c>
      <c r="U21" s="6"/>
      <c r="V21" s="6">
        <v>1704.1</v>
      </c>
      <c r="W21" s="6">
        <v>0</v>
      </c>
      <c r="X21" s="1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/>
      <c r="BA21" s="1">
        <f t="shared" si="0"/>
        <v>4683.2999999999993</v>
      </c>
      <c r="BB21" s="6">
        <v>342003</v>
      </c>
      <c r="BC21" s="6">
        <v>2236815</v>
      </c>
      <c r="BD21" s="6"/>
      <c r="BE21" s="6"/>
      <c r="BF21" s="6">
        <v>14</v>
      </c>
      <c r="BG21" s="6"/>
      <c r="BH21" s="6"/>
      <c r="BI21" t="str">
        <f t="shared" ca="1" si="2"/>
        <v>VAP014884 45818 VAP-VAPI JOD-JODHPUR</v>
      </c>
      <c r="BJ21" s="1">
        <f t="shared" ref="BJ21:BJ24" si="12">P21*42.56</f>
        <v>2979.2000000000003</v>
      </c>
      <c r="BK21" t="b">
        <f t="shared" ref="BK21:BK24" si="13">S21&gt;BJ21</f>
        <v>0</v>
      </c>
      <c r="BM21">
        <f t="shared" si="3"/>
        <v>4683.2999999999993</v>
      </c>
    </row>
    <row r="22" spans="1:65" x14ac:dyDescent="0.35">
      <c r="A22" s="6" t="s">
        <v>73</v>
      </c>
      <c r="B22" s="6" t="s">
        <v>60</v>
      </c>
      <c r="C22" s="6" t="s">
        <v>74</v>
      </c>
      <c r="D22" s="6"/>
      <c r="E22" s="6" t="s">
        <v>96</v>
      </c>
      <c r="F22" s="9">
        <f t="shared" ca="1" si="1"/>
        <v>45820</v>
      </c>
      <c r="G22" s="6" t="s">
        <v>63</v>
      </c>
      <c r="H22" s="6" t="s">
        <v>64</v>
      </c>
      <c r="I22" s="6">
        <v>59890775113</v>
      </c>
      <c r="J22" s="6"/>
      <c r="K22" s="7">
        <f t="shared" ca="1" si="11"/>
        <v>45818</v>
      </c>
      <c r="L22" s="7" t="s">
        <v>140</v>
      </c>
      <c r="M22" s="1" t="s">
        <v>76</v>
      </c>
      <c r="N22" s="1" t="s">
        <v>68</v>
      </c>
      <c r="O22" s="1" t="s">
        <v>69</v>
      </c>
      <c r="P22" s="1">
        <v>70</v>
      </c>
      <c r="Q22" s="6">
        <v>70</v>
      </c>
      <c r="R22" s="6">
        <v>5</v>
      </c>
      <c r="S22" s="6">
        <v>2979.2</v>
      </c>
      <c r="T22" s="6">
        <v>0</v>
      </c>
      <c r="U22" s="6"/>
      <c r="V22" s="6">
        <v>1704.1</v>
      </c>
      <c r="W22" s="6">
        <v>0</v>
      </c>
      <c r="X22" s="1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/>
      <c r="BA22" s="1">
        <f t="shared" si="0"/>
        <v>4683.2999999999993</v>
      </c>
      <c r="BB22" s="6">
        <v>342003</v>
      </c>
      <c r="BC22" s="6">
        <v>2236815</v>
      </c>
      <c r="BD22" s="6"/>
      <c r="BE22" s="6"/>
      <c r="BF22" s="6">
        <v>14</v>
      </c>
      <c r="BG22" s="6"/>
      <c r="BH22" s="6"/>
      <c r="BI22" t="str">
        <f t="shared" ca="1" si="2"/>
        <v>VAP014884 45818 VAP-VAPI JOD-JODHPUR</v>
      </c>
      <c r="BJ22" s="1">
        <f t="shared" si="12"/>
        <v>2979.2000000000003</v>
      </c>
      <c r="BK22" t="b">
        <f t="shared" si="13"/>
        <v>0</v>
      </c>
      <c r="BM22">
        <f t="shared" si="3"/>
        <v>4683.2999999999993</v>
      </c>
    </row>
    <row r="23" spans="1:65" x14ac:dyDescent="0.35">
      <c r="A23" s="6" t="s">
        <v>73</v>
      </c>
      <c r="B23" s="6" t="s">
        <v>60</v>
      </c>
      <c r="C23" s="6" t="s">
        <v>74</v>
      </c>
      <c r="D23" s="6"/>
      <c r="E23" s="6" t="s">
        <v>97</v>
      </c>
      <c r="F23" s="9">
        <f t="shared" ca="1" si="1"/>
        <v>45820</v>
      </c>
      <c r="G23" s="6" t="s">
        <v>63</v>
      </c>
      <c r="H23" s="6" t="s">
        <v>64</v>
      </c>
      <c r="I23" s="6">
        <v>59812712851</v>
      </c>
      <c r="J23" s="6"/>
      <c r="K23" s="7">
        <f t="shared" ref="K23:K24" ca="1" si="14">TODAY() - 1</f>
        <v>45819</v>
      </c>
      <c r="L23" s="7" t="s">
        <v>140</v>
      </c>
      <c r="M23" s="1" t="s">
        <v>76</v>
      </c>
      <c r="N23" s="1" t="s">
        <v>68</v>
      </c>
      <c r="O23" s="1" t="s">
        <v>69</v>
      </c>
      <c r="P23" s="1">
        <v>12</v>
      </c>
      <c r="Q23" s="6">
        <v>12</v>
      </c>
      <c r="R23" s="6">
        <v>2</v>
      </c>
      <c r="S23" s="6">
        <v>510.72</v>
      </c>
      <c r="T23" s="6">
        <v>0</v>
      </c>
      <c r="U23" s="6"/>
      <c r="V23" s="6">
        <v>681.64</v>
      </c>
      <c r="W23" s="6">
        <v>0</v>
      </c>
      <c r="X23" s="1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/>
      <c r="BA23" s="1">
        <f t="shared" si="0"/>
        <v>1192.3600000000001</v>
      </c>
      <c r="BB23" s="6">
        <v>342003</v>
      </c>
      <c r="BC23" s="6">
        <v>667669</v>
      </c>
      <c r="BD23" s="6"/>
      <c r="BE23" s="6"/>
      <c r="BF23" s="6">
        <v>20</v>
      </c>
      <c r="BG23" s="6"/>
      <c r="BH23" s="6"/>
      <c r="BI23" t="str">
        <f t="shared" ca="1" si="2"/>
        <v>VAP014884 45819 VAP-VAPI JOD-JODHPUR</v>
      </c>
      <c r="BJ23" s="1">
        <f t="shared" si="12"/>
        <v>510.72</v>
      </c>
      <c r="BK23" t="b">
        <f t="shared" si="13"/>
        <v>0</v>
      </c>
      <c r="BM23">
        <f t="shared" si="3"/>
        <v>1192.3600000000001</v>
      </c>
    </row>
    <row r="24" spans="1:65" x14ac:dyDescent="0.35">
      <c r="A24" s="6" t="s">
        <v>73</v>
      </c>
      <c r="B24" s="6" t="s">
        <v>60</v>
      </c>
      <c r="C24" s="6" t="s">
        <v>74</v>
      </c>
      <c r="D24" s="6"/>
      <c r="E24" s="6" t="s">
        <v>97</v>
      </c>
      <c r="F24" s="9">
        <f t="shared" ca="1" si="1"/>
        <v>45820</v>
      </c>
      <c r="G24" s="6" t="s">
        <v>63</v>
      </c>
      <c r="H24" s="6" t="s">
        <v>64</v>
      </c>
      <c r="I24" s="6">
        <v>59812712852</v>
      </c>
      <c r="J24" s="6"/>
      <c r="K24" s="7">
        <f t="shared" ca="1" si="14"/>
        <v>45819</v>
      </c>
      <c r="L24" s="7" t="s">
        <v>140</v>
      </c>
      <c r="M24" s="1" t="s">
        <v>76</v>
      </c>
      <c r="N24" s="1" t="s">
        <v>68</v>
      </c>
      <c r="O24" s="1" t="s">
        <v>69</v>
      </c>
      <c r="P24" s="1">
        <v>13</v>
      </c>
      <c r="Q24" s="6">
        <v>13</v>
      </c>
      <c r="R24" s="6">
        <v>2</v>
      </c>
      <c r="S24" s="6">
        <v>553.28</v>
      </c>
      <c r="T24" s="6">
        <v>0</v>
      </c>
      <c r="U24" s="6"/>
      <c r="V24" s="6">
        <v>681.64</v>
      </c>
      <c r="W24" s="6">
        <v>0</v>
      </c>
      <c r="X24" s="1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/>
      <c r="BA24" s="1">
        <f t="shared" si="0"/>
        <v>1234.92</v>
      </c>
      <c r="BB24" s="6">
        <v>342003</v>
      </c>
      <c r="BC24" s="6">
        <v>667669</v>
      </c>
      <c r="BD24" s="6"/>
      <c r="BE24" s="6"/>
      <c r="BF24" s="6">
        <v>20</v>
      </c>
      <c r="BG24" s="6"/>
      <c r="BH24" s="6"/>
      <c r="BI24" t="str">
        <f t="shared" ca="1" si="2"/>
        <v>VAP014884 45819 VAP-VAPI JOD-JODHPUR</v>
      </c>
      <c r="BJ24" s="1">
        <f t="shared" si="12"/>
        <v>553.28</v>
      </c>
      <c r="BK24" t="b">
        <f t="shared" si="13"/>
        <v>0</v>
      </c>
      <c r="BM24">
        <f t="shared" si="3"/>
        <v>1234.92</v>
      </c>
    </row>
  </sheetData>
  <conditionalFormatting sqref="BI2:BI24">
    <cfRule type="duplicateValues" dxfId="6" priority="1"/>
  </conditionalFormatting>
  <conditionalFormatting sqref="BI1:BK1">
    <cfRule type="duplicateValues" dxfId="5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1AB3-9DDF-466C-80CA-8A72BA2F87A0}">
  <dimension ref="A3:E14"/>
  <sheetViews>
    <sheetView showGridLines="0" workbookViewId="0">
      <selection activeCell="E12" sqref="E12"/>
    </sheetView>
  </sheetViews>
  <sheetFormatPr defaultRowHeight="14.5" x14ac:dyDescent="0.35"/>
  <cols>
    <col min="1" max="1" width="13.453125" bestFit="1" customWidth="1"/>
    <col min="2" max="2" width="21.54296875" bestFit="1" customWidth="1"/>
    <col min="4" max="4" width="16.26953125" bestFit="1" customWidth="1"/>
  </cols>
  <sheetData>
    <row r="3" spans="1:5" x14ac:dyDescent="0.35">
      <c r="A3" s="3" t="s">
        <v>89</v>
      </c>
      <c r="B3" t="s">
        <v>91</v>
      </c>
    </row>
    <row r="4" spans="1:5" x14ac:dyDescent="0.35">
      <c r="A4" s="4" t="s">
        <v>67</v>
      </c>
      <c r="B4">
        <v>10</v>
      </c>
    </row>
    <row r="5" spans="1:5" x14ac:dyDescent="0.35">
      <c r="A5" s="4" t="s">
        <v>69</v>
      </c>
      <c r="B5">
        <v>7</v>
      </c>
    </row>
    <row r="6" spans="1:5" x14ac:dyDescent="0.35">
      <c r="A6" s="4" t="s">
        <v>72</v>
      </c>
      <c r="B6">
        <v>2</v>
      </c>
    </row>
    <row r="7" spans="1:5" x14ac:dyDescent="0.35">
      <c r="A7" s="4" t="s">
        <v>90</v>
      </c>
      <c r="B7">
        <v>19</v>
      </c>
    </row>
    <row r="9" spans="1:5" x14ac:dyDescent="0.35">
      <c r="D9" t="s">
        <v>93</v>
      </c>
      <c r="E9" t="s">
        <v>94</v>
      </c>
    </row>
    <row r="10" spans="1:5" x14ac:dyDescent="0.35">
      <c r="A10" t="s">
        <v>89</v>
      </c>
      <c r="B10" t="s">
        <v>91</v>
      </c>
    </row>
    <row r="11" spans="1:5" x14ac:dyDescent="0.35">
      <c r="A11" t="s">
        <v>67</v>
      </c>
      <c r="B11">
        <v>10</v>
      </c>
      <c r="D11">
        <v>2</v>
      </c>
      <c r="E11">
        <v>0</v>
      </c>
    </row>
    <row r="12" spans="1:5" x14ac:dyDescent="0.35">
      <c r="A12" t="s">
        <v>69</v>
      </c>
      <c r="B12">
        <v>7</v>
      </c>
      <c r="D12">
        <v>2</v>
      </c>
      <c r="E12">
        <v>2</v>
      </c>
    </row>
    <row r="13" spans="1:5" x14ac:dyDescent="0.35">
      <c r="A13" t="s">
        <v>72</v>
      </c>
      <c r="B13">
        <v>2</v>
      </c>
      <c r="D13">
        <v>0</v>
      </c>
    </row>
    <row r="14" spans="1:5" x14ac:dyDescent="0.35">
      <c r="A14" t="s">
        <v>90</v>
      </c>
      <c r="B1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D7B2-C58A-4CB6-B327-31B3D59513DB}">
  <dimension ref="A1:BH5"/>
  <sheetViews>
    <sheetView showGridLines="0" topLeftCell="V1" workbookViewId="0">
      <selection activeCell="AZ4" sqref="AZ4:AZ5"/>
    </sheetView>
  </sheetViews>
  <sheetFormatPr defaultRowHeight="14.5" x14ac:dyDescent="0.35"/>
  <cols>
    <col min="1" max="1" width="17.26953125" customWidth="1"/>
    <col min="2" max="2" width="15.1796875" customWidth="1"/>
    <col min="3" max="3" width="20.1796875" customWidth="1"/>
    <col min="4" max="4" width="11.1796875" customWidth="1"/>
    <col min="5" max="5" width="16.7265625" customWidth="1"/>
    <col min="9" max="9" width="12.54296875" bestFit="1" customWidth="1"/>
    <col min="11" max="11" width="10.453125" bestFit="1" customWidth="1"/>
    <col min="12" max="12" width="12.54296875" bestFit="1" customWidth="1"/>
    <col min="13" max="13" width="15.7265625" bestFit="1" customWidth="1"/>
    <col min="15" max="15" width="11.7265625" customWidth="1"/>
    <col min="16" max="16" width="13.7265625" bestFit="1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92</v>
      </c>
    </row>
    <row r="2" spans="1:60" x14ac:dyDescent="0.35">
      <c r="A2" t="s">
        <v>73</v>
      </c>
      <c r="B2" t="s">
        <v>60</v>
      </c>
      <c r="C2" t="s">
        <v>74</v>
      </c>
      <c r="E2" t="s">
        <v>77</v>
      </c>
      <c r="F2" s="2">
        <v>45716</v>
      </c>
      <c r="G2" t="s">
        <v>63</v>
      </c>
      <c r="H2" t="s">
        <v>64</v>
      </c>
      <c r="I2">
        <v>58812710261</v>
      </c>
      <c r="K2" s="2">
        <v>45708</v>
      </c>
      <c r="L2" t="s">
        <v>76</v>
      </c>
      <c r="M2" t="s">
        <v>66</v>
      </c>
      <c r="N2" t="s">
        <v>67</v>
      </c>
      <c r="O2">
        <v>21</v>
      </c>
      <c r="P2">
        <v>21</v>
      </c>
      <c r="Q2">
        <v>2</v>
      </c>
      <c r="R2" s="5">
        <v>1273.23</v>
      </c>
      <c r="S2">
        <v>0</v>
      </c>
      <c r="U2">
        <v>764.32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 s="5">
        <v>2037.55</v>
      </c>
      <c r="BA2">
        <v>800004</v>
      </c>
      <c r="BB2">
        <v>681261</v>
      </c>
      <c r="BE2">
        <v>14</v>
      </c>
      <c r="BH2" t="str">
        <f t="shared" ref="BH2:BH5" si="0">A2&amp;" "&amp;F2&amp;" "&amp;L2&amp;" "&amp;M2&amp;" "&amp;O2</f>
        <v>VAP014884 45716 VAP-VAPI PAT-PATNA 21</v>
      </c>
    </row>
    <row r="3" spans="1:60" x14ac:dyDescent="0.35">
      <c r="A3" t="s">
        <v>86</v>
      </c>
      <c r="B3" t="s">
        <v>60</v>
      </c>
      <c r="C3" t="s">
        <v>61</v>
      </c>
      <c r="E3" t="s">
        <v>87</v>
      </c>
      <c r="F3" s="2">
        <v>45703</v>
      </c>
      <c r="G3" t="s">
        <v>63</v>
      </c>
      <c r="H3" t="s">
        <v>64</v>
      </c>
      <c r="I3">
        <v>58911335674</v>
      </c>
      <c r="K3" s="2">
        <v>45703</v>
      </c>
      <c r="L3" t="s">
        <v>65</v>
      </c>
      <c r="M3" t="s">
        <v>66</v>
      </c>
      <c r="N3" t="s">
        <v>67</v>
      </c>
      <c r="O3">
        <v>56</v>
      </c>
      <c r="P3">
        <v>56</v>
      </c>
      <c r="Q3">
        <v>4</v>
      </c>
      <c r="R3" s="5">
        <v>3395.28</v>
      </c>
      <c r="S3">
        <v>0</v>
      </c>
      <c r="U3">
        <v>2038.2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 s="5">
        <v>5433.48</v>
      </c>
      <c r="BA3">
        <v>800023</v>
      </c>
      <c r="BB3">
        <v>1998403</v>
      </c>
      <c r="BE3">
        <v>20</v>
      </c>
      <c r="BH3" t="str">
        <f t="shared" si="0"/>
        <v>SLV014335 45703 SLV-SILVASSA PAT-PATNA 56</v>
      </c>
    </row>
    <row r="4" spans="1:60" x14ac:dyDescent="0.35">
      <c r="A4" t="s">
        <v>59</v>
      </c>
      <c r="B4" t="s">
        <v>60</v>
      </c>
      <c r="C4" t="s">
        <v>61</v>
      </c>
      <c r="E4" t="s">
        <v>62</v>
      </c>
      <c r="F4" s="2">
        <v>45703</v>
      </c>
      <c r="G4" t="s">
        <v>63</v>
      </c>
      <c r="H4" t="s">
        <v>64</v>
      </c>
      <c r="I4">
        <v>58911335652</v>
      </c>
      <c r="K4" s="2">
        <v>45699</v>
      </c>
      <c r="L4" t="s">
        <v>65</v>
      </c>
      <c r="M4" t="s">
        <v>68</v>
      </c>
      <c r="N4" t="s">
        <v>69</v>
      </c>
      <c r="O4">
        <v>21</v>
      </c>
      <c r="P4">
        <v>21</v>
      </c>
      <c r="Q4">
        <v>2</v>
      </c>
      <c r="R4" s="5">
        <v>893.76</v>
      </c>
      <c r="S4">
        <v>0</v>
      </c>
      <c r="U4">
        <v>511.23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 s="5">
        <v>1404.99</v>
      </c>
      <c r="BA4">
        <v>342013</v>
      </c>
      <c r="BB4">
        <v>148293</v>
      </c>
      <c r="BE4">
        <v>14</v>
      </c>
      <c r="BH4" t="str">
        <f t="shared" si="0"/>
        <v>SLV015142 45703 SLV-SILVASSA JOD-JODHPUR 21</v>
      </c>
    </row>
    <row r="5" spans="1:60" x14ac:dyDescent="0.35">
      <c r="A5" t="s">
        <v>73</v>
      </c>
      <c r="B5" t="s">
        <v>60</v>
      </c>
      <c r="C5" t="s">
        <v>74</v>
      </c>
      <c r="E5" t="s">
        <v>77</v>
      </c>
      <c r="F5" s="2">
        <v>45716</v>
      </c>
      <c r="G5" t="s">
        <v>63</v>
      </c>
      <c r="H5" t="s">
        <v>64</v>
      </c>
      <c r="I5">
        <v>58812712081</v>
      </c>
      <c r="K5" s="2">
        <v>45707</v>
      </c>
      <c r="L5" t="s">
        <v>76</v>
      </c>
      <c r="M5" t="s">
        <v>68</v>
      </c>
      <c r="N5" t="s">
        <v>69</v>
      </c>
      <c r="O5">
        <v>14</v>
      </c>
      <c r="P5">
        <v>14</v>
      </c>
      <c r="Q5">
        <v>1</v>
      </c>
      <c r="R5" s="5">
        <v>595.84</v>
      </c>
      <c r="S5">
        <v>0</v>
      </c>
      <c r="U5">
        <v>340.82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 s="5">
        <v>936.66</v>
      </c>
      <c r="BA5">
        <v>342003</v>
      </c>
      <c r="BB5">
        <v>38998</v>
      </c>
      <c r="BE5">
        <v>14</v>
      </c>
      <c r="BH5" t="str">
        <f t="shared" si="0"/>
        <v>VAP014884 45716 VAP-VAPI JOD-JODHPUR 14</v>
      </c>
    </row>
  </sheetData>
  <conditionalFormatting sqref="BH1">
    <cfRule type="duplicateValues" dxfId="4" priority="4"/>
  </conditionalFormatting>
  <conditionalFormatting sqref="BH2">
    <cfRule type="duplicateValues" dxfId="3" priority="5"/>
  </conditionalFormatting>
  <conditionalFormatting sqref="BH3">
    <cfRule type="duplicateValues" dxfId="2" priority="3"/>
  </conditionalFormatting>
  <conditionalFormatting sqref="BH4">
    <cfRule type="duplicateValues" dxfId="1" priority="2"/>
  </conditionalFormatting>
  <conditionalFormatting sqref="BH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Harshita Saxena</dc:creator>
  <cp:keywords/>
  <dc:description/>
  <cp:lastModifiedBy>Harini Jeyapal</cp:lastModifiedBy>
  <cp:revision/>
  <dcterms:created xsi:type="dcterms:W3CDTF">2025-04-16T07:01:46Z</dcterms:created>
  <dcterms:modified xsi:type="dcterms:W3CDTF">2025-06-12T14:48:07Z</dcterms:modified>
  <cp:category/>
  <cp:contentStatus/>
</cp:coreProperties>
</file>