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Sc. Applied Statistics &amp; Analytics\PROJECTS DONE\SEMESTER 6 FINANCIAL RISK\"/>
    </mc:Choice>
  </mc:AlternateContent>
  <xr:revisionPtr revIDLastSave="0" documentId="13_ncr:1_{CBA7A75B-1BF7-41AB-ABD0-17DE023199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COMPILED" sheetId="3" r:id="rId2"/>
    <sheet name="TERM LOANS 3 CALCULATIONS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1" i="1"/>
  <c r="I3" i="3" l="1"/>
  <c r="I8" i="3" l="1"/>
  <c r="I9" i="3" s="1"/>
  <c r="I24" i="3"/>
  <c r="F3" i="3"/>
  <c r="F4" i="3"/>
  <c r="F2" i="3"/>
  <c r="I2" i="3" l="1"/>
  <c r="I4" i="3" s="1"/>
  <c r="I13" i="3"/>
  <c r="I14" i="3" s="1"/>
  <c r="I16" i="3" l="1"/>
  <c r="I15" i="3" s="1"/>
  <c r="I17" i="3" s="1"/>
  <c r="I18" i="3" s="1"/>
  <c r="I21" i="3" l="1"/>
  <c r="I22" i="3" s="1"/>
  <c r="I23" i="3" s="1"/>
  <c r="I26" i="3" s="1"/>
  <c r="J26" i="3" s="1"/>
  <c r="C28" i="2" l="1"/>
  <c r="C18" i="2"/>
  <c r="C19" i="2"/>
  <c r="C20" i="2"/>
  <c r="C21" i="2"/>
  <c r="C22" i="2"/>
  <c r="C23" i="2"/>
  <c r="C24" i="2"/>
  <c r="C25" i="2"/>
  <c r="C17" i="2"/>
  <c r="C11" i="2"/>
  <c r="C3" i="2"/>
  <c r="C10" i="2" s="1"/>
  <c r="C13" i="2" s="1"/>
  <c r="C4" i="2"/>
  <c r="C5" i="2"/>
  <c r="C6" i="2"/>
  <c r="C7" i="2"/>
  <c r="C8" i="2"/>
  <c r="C2" i="2"/>
  <c r="C27" i="2" l="1"/>
  <c r="C30" i="2" s="1"/>
  <c r="C18" i="1"/>
  <c r="C14" i="1"/>
  <c r="C13" i="1"/>
  <c r="C12" i="1"/>
  <c r="C11" i="1"/>
  <c r="C7" i="1"/>
  <c r="K3" i="1"/>
  <c r="J3" i="1"/>
  <c r="I3" i="1"/>
  <c r="H3" i="1"/>
  <c r="G3" i="1"/>
  <c r="F3" i="1"/>
  <c r="E3" i="1"/>
  <c r="D14" i="1" s="1"/>
  <c r="D3" i="1"/>
  <c r="D13" i="1" s="1"/>
  <c r="C3" i="1"/>
  <c r="B3" i="1"/>
  <c r="D18" i="1" s="1"/>
  <c r="E13" i="1" l="1"/>
  <c r="E12" i="1"/>
  <c r="E18" i="1"/>
  <c r="E19" i="1" s="1"/>
  <c r="E11" i="1"/>
  <c r="D7" i="1"/>
  <c r="E7" i="1" s="1"/>
  <c r="E8" i="1" s="1"/>
  <c r="E14" i="1"/>
  <c r="E15" i="1" l="1"/>
</calcChain>
</file>

<file path=xl/sharedStrings.xml><?xml version="1.0" encoding="utf-8"?>
<sst xmlns="http://schemas.openxmlformats.org/spreadsheetml/2006/main" count="110" uniqueCount="60">
  <si>
    <t>CCIL Rates as at 18th January, 2019</t>
  </si>
  <si>
    <t>Maturity</t>
  </si>
  <si>
    <t>Rate</t>
  </si>
  <si>
    <t>NCD#</t>
  </si>
  <si>
    <t>Year</t>
  </si>
  <si>
    <t>Coupon</t>
  </si>
  <si>
    <t>PVF</t>
  </si>
  <si>
    <t>Present Value</t>
  </si>
  <si>
    <t>Time to Maturity</t>
  </si>
  <si>
    <t>Face Value</t>
  </si>
  <si>
    <t>Redeemable</t>
  </si>
  <si>
    <t>Coupon Rate</t>
  </si>
  <si>
    <t>Number of Debentures</t>
  </si>
  <si>
    <t>2018-19</t>
  </si>
  <si>
    <t>2019-20</t>
  </si>
  <si>
    <t>2020-21</t>
  </si>
  <si>
    <t>2021-22</t>
  </si>
  <si>
    <t>SECURED</t>
  </si>
  <si>
    <t>TERM LOANS</t>
  </si>
  <si>
    <t>TL#</t>
  </si>
  <si>
    <t>Rate of Interest</t>
  </si>
  <si>
    <t>9.45,10</t>
  </si>
  <si>
    <t>Note (ii) f</t>
  </si>
  <si>
    <t>WX</t>
  </si>
  <si>
    <t>W</t>
  </si>
  <si>
    <t>Average Tenure</t>
  </si>
  <si>
    <t>10.75,11.5</t>
  </si>
  <si>
    <t>Note (ii) c</t>
  </si>
  <si>
    <t>From NBFCs [SECURED]</t>
  </si>
  <si>
    <t>From other parties [SECURED]</t>
  </si>
  <si>
    <t>From other parties[UNSECURED]</t>
  </si>
  <si>
    <t>10.75,8.35,8.75,8.85,15</t>
  </si>
  <si>
    <t>TERM DEPOSITS</t>
  </si>
  <si>
    <t>TD</t>
  </si>
  <si>
    <t>TD#</t>
  </si>
  <si>
    <t>31-304 months</t>
  </si>
  <si>
    <t>6.5-9%</t>
  </si>
  <si>
    <t>NCD</t>
  </si>
  <si>
    <t>Interest Rate</t>
  </si>
  <si>
    <t>Time To Maturity (years)</t>
  </si>
  <si>
    <t>TL</t>
  </si>
  <si>
    <t>Time to Maturity (years)</t>
  </si>
  <si>
    <t>Market Cap</t>
  </si>
  <si>
    <t>Market Value of Debt</t>
  </si>
  <si>
    <t>Implied Volatility</t>
  </si>
  <si>
    <t>T - t</t>
  </si>
  <si>
    <t>r</t>
  </si>
  <si>
    <t>Value of equity</t>
  </si>
  <si>
    <t>rate/ yield on bond</t>
  </si>
  <si>
    <t>Govt bond risk free rate</t>
  </si>
  <si>
    <t>Credit Spread =</t>
  </si>
  <si>
    <t xml:space="preserve">Market Value of the Company 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</si>
  <si>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</si>
  <si>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</si>
  <si>
    <t>B(t) = F(t)-E(t)</t>
  </si>
  <si>
    <r>
      <t>ϕ(d</t>
    </r>
    <r>
      <rPr>
        <vertAlign val="subscript"/>
        <sz val="11"/>
        <color rgb="FF262626"/>
        <rFont val="Calibri"/>
        <family val="2"/>
        <scheme val="minor"/>
      </rPr>
      <t>1</t>
    </r>
    <r>
      <rPr>
        <sz val="11"/>
        <color rgb="FF262626"/>
        <rFont val="Calibri"/>
        <family val="2"/>
        <scheme val="minor"/>
      </rPr>
      <t>)</t>
    </r>
  </si>
  <si>
    <r>
      <t>ϕ(d</t>
    </r>
    <r>
      <rPr>
        <vertAlign val="subscript"/>
        <sz val="11"/>
        <color rgb="FF262626"/>
        <rFont val="Calibri"/>
        <family val="2"/>
        <scheme val="minor"/>
      </rPr>
      <t>2</t>
    </r>
    <r>
      <rPr>
        <sz val="11"/>
        <color rgb="FF262626"/>
        <rFont val="Calibri"/>
        <family val="2"/>
        <scheme val="minor"/>
      </rPr>
      <t>)</t>
    </r>
  </si>
  <si>
    <t>Calculations</t>
  </si>
  <si>
    <t>CARE Rating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</si>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</sst>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_ * #,##0.0000_ ;_ * \-#,##0.0000_ ;_ * &quot;-&quot;??_ ;_ @_ "/>
    <numFmt numFmtId="166" formatCode="_ * #,##0.00000_ ;_ * \-#,##0.00000_ ;_ * &quot;-&quot;??_ ;_ @_ "/>
    <numFmt numFmtId="167" formatCode="_ * #,##0.000000_ ;_ * \-#,##0.0000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vertAlign val="subscript"/>
      <sz val="11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1" xfId="1" applyNumberFormat="1" applyFont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3" fontId="3" fillId="0" borderId="1" xfId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3" fillId="0" borderId="0" xfId="0" applyFont="1"/>
    <xf numFmtId="166" fontId="3" fillId="0" borderId="1" xfId="1" applyNumberFormat="1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167" fontId="3" fillId="0" borderId="0" xfId="1" applyNumberFormat="1" applyFont="1" applyAlignment="1">
      <alignment horizontal="center"/>
    </xf>
    <xf numFmtId="0" fontId="1" fillId="0" borderId="1" xfId="1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4" fillId="4" borderId="1" xfId="1" applyFont="1" applyFill="1" applyBorder="1" applyAlignment="1">
      <alignment horizontal="center"/>
    </xf>
    <xf numFmtId="167" fontId="4" fillId="4" borderId="1" xfId="1" applyNumberFormat="1" applyFont="1" applyFill="1" applyBorder="1" applyAlignment="1">
      <alignment horizontal="center"/>
    </xf>
    <xf numFmtId="166" fontId="4" fillId="4" borderId="1" xfId="1" applyNumberFormat="1" applyFont="1" applyFill="1" applyBorder="1" applyAlignment="1">
      <alignment horizontal="center"/>
    </xf>
    <xf numFmtId="10" fontId="4" fillId="4" borderId="1" xfId="2" applyNumberFormat="1" applyFont="1" applyFill="1" applyBorder="1" applyAlignment="1">
      <alignment horizontal="center"/>
    </xf>
    <xf numFmtId="0" fontId="2" fillId="4" borderId="1" xfId="1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="90" zoomScaleNormal="90" workbookViewId="0">
      <selection activeCell="D13" sqref="D13"/>
    </sheetView>
  </sheetViews>
  <sheetFormatPr defaultRowHeight="15" x14ac:dyDescent="0.25"/>
  <cols>
    <col min="1" max="1" width="20.7109375" style="3" customWidth="1"/>
    <col min="2" max="2" width="15.42578125" style="3" bestFit="1" customWidth="1"/>
    <col min="3" max="3" width="14.42578125" style="3" bestFit="1" customWidth="1"/>
    <col min="4" max="4" width="13.42578125" style="3" bestFit="1" customWidth="1"/>
    <col min="5" max="5" width="20.7109375" style="3" bestFit="1" customWidth="1"/>
    <col min="6" max="7" width="9.28515625" style="3" bestFit="1" customWidth="1"/>
    <col min="8" max="8" width="16.85546875" style="3" bestFit="1" customWidth="1"/>
    <col min="9" max="9" width="20.85546875" style="3" bestFit="1" customWidth="1"/>
    <col min="10" max="11" width="13.42578125" style="3" bestFit="1" customWidth="1"/>
    <col min="12" max="12" width="22.7109375" style="3" bestFit="1" customWidth="1"/>
    <col min="13" max="16384" width="9.140625" style="3"/>
  </cols>
  <sheetData>
    <row r="1" spans="1:12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2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2" x14ac:dyDescent="0.25">
      <c r="A3" s="2" t="s">
        <v>2</v>
      </c>
      <c r="B3" s="2">
        <f>6.79/100</f>
        <v>6.7900000000000002E-2</v>
      </c>
      <c r="C3" s="2">
        <f>6.98/100</f>
        <v>6.9800000000000001E-2</v>
      </c>
      <c r="D3" s="8">
        <f>7.14/100</f>
        <v>7.1399999999999991E-2</v>
      </c>
      <c r="E3" s="2">
        <f>7.26/100</f>
        <v>7.2599999999999998E-2</v>
      </c>
      <c r="F3" s="2">
        <f>7.36/100</f>
        <v>7.3599999999999999E-2</v>
      </c>
      <c r="G3" s="2">
        <f>7.44/100</f>
        <v>7.4400000000000008E-2</v>
      </c>
      <c r="H3" s="2">
        <f>7.5/100</f>
        <v>7.4999999999999997E-2</v>
      </c>
      <c r="I3" s="2">
        <f>7.55/100</f>
        <v>7.5499999999999998E-2</v>
      </c>
      <c r="J3" s="2">
        <f>7.59/100</f>
        <v>7.5899999999999995E-2</v>
      </c>
      <c r="K3" s="2">
        <f>7.63/100</f>
        <v>7.6299999999999993E-2</v>
      </c>
    </row>
    <row r="4" spans="1:12" x14ac:dyDescent="0.25">
      <c r="A4" s="5"/>
      <c r="B4" s="5"/>
      <c r="C4" s="5"/>
      <c r="D4" s="9"/>
      <c r="E4" s="5"/>
      <c r="F4" s="5"/>
      <c r="G4" s="5"/>
      <c r="H4" s="5"/>
      <c r="I4" s="5"/>
      <c r="J4" s="5"/>
      <c r="K4" s="5"/>
    </row>
    <row r="5" spans="1:12" x14ac:dyDescent="0.25">
      <c r="A5" s="29" t="s">
        <v>17</v>
      </c>
      <c r="B5" s="29"/>
    </row>
    <row r="6" spans="1:12" x14ac:dyDescent="0.2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H6" s="10" t="s">
        <v>8</v>
      </c>
      <c r="I6" s="10" t="s">
        <v>9</v>
      </c>
      <c r="J6" s="10" t="s">
        <v>10</v>
      </c>
      <c r="K6" s="10" t="s">
        <v>11</v>
      </c>
      <c r="L6" s="10" t="s">
        <v>12</v>
      </c>
    </row>
    <row r="7" spans="1:12" x14ac:dyDescent="0.25">
      <c r="A7" s="3">
        <v>1</v>
      </c>
      <c r="B7" s="3" t="s">
        <v>13</v>
      </c>
      <c r="C7" s="3">
        <f>I7*K7</f>
        <v>126000</v>
      </c>
      <c r="D7" s="4">
        <f>1/(1+$B$3)^1+I7</f>
        <v>1000000.9364172675</v>
      </c>
      <c r="E7" s="4">
        <f t="shared" ref="E7" si="0">C7*D7</f>
        <v>126000117988.57571</v>
      </c>
      <c r="H7" s="3">
        <v>1</v>
      </c>
      <c r="I7" s="3">
        <v>1000000</v>
      </c>
      <c r="J7" s="3">
        <v>2019</v>
      </c>
      <c r="K7" s="3">
        <v>0.126</v>
      </c>
      <c r="L7" s="3">
        <v>600</v>
      </c>
    </row>
    <row r="8" spans="1:12" x14ac:dyDescent="0.25">
      <c r="D8" s="4"/>
      <c r="E8" s="4">
        <f>SUM(E7)</f>
        <v>126000117988.57571</v>
      </c>
    </row>
    <row r="10" spans="1:12" x14ac:dyDescent="0.25">
      <c r="A10" s="3" t="s">
        <v>3</v>
      </c>
      <c r="B10" s="3" t="s">
        <v>4</v>
      </c>
      <c r="C10" s="3" t="s">
        <v>5</v>
      </c>
      <c r="D10" s="3" t="s">
        <v>6</v>
      </c>
      <c r="E10" s="3" t="s">
        <v>7</v>
      </c>
      <c r="H10" s="10" t="s">
        <v>8</v>
      </c>
      <c r="I10" s="10" t="s">
        <v>9</v>
      </c>
      <c r="J10" s="10" t="s">
        <v>10</v>
      </c>
      <c r="K10" s="10" t="s">
        <v>11</v>
      </c>
      <c r="L10" s="10" t="s">
        <v>12</v>
      </c>
    </row>
    <row r="11" spans="1:12" x14ac:dyDescent="0.25">
      <c r="A11" s="3">
        <v>2</v>
      </c>
      <c r="B11" s="3" t="s">
        <v>13</v>
      </c>
      <c r="C11" s="3">
        <f>I11*K11</f>
        <v>123500</v>
      </c>
      <c r="D11" s="4">
        <f>1/(1+$B$3)^1</f>
        <v>0.93641726753441323</v>
      </c>
      <c r="E11" s="4">
        <f t="shared" ref="E11:E14" si="1">C11*D11</f>
        <v>115647.53254050003</v>
      </c>
      <c r="H11" s="3">
        <v>4</v>
      </c>
      <c r="I11" s="3">
        <v>1000000</v>
      </c>
      <c r="J11" s="3">
        <v>2022</v>
      </c>
      <c r="K11" s="3">
        <v>0.1235</v>
      </c>
      <c r="L11" s="3">
        <v>1000</v>
      </c>
    </row>
    <row r="12" spans="1:12" x14ac:dyDescent="0.25">
      <c r="B12" s="3" t="s">
        <v>14</v>
      </c>
      <c r="C12" s="3">
        <f>I11*K11</f>
        <v>123500</v>
      </c>
      <c r="D12" s="4">
        <f>1/(1+$C$3)^2</f>
        <v>0.87376533899421416</v>
      </c>
      <c r="E12" s="4">
        <f t="shared" si="1"/>
        <v>107910.01936578545</v>
      </c>
    </row>
    <row r="13" spans="1:12" x14ac:dyDescent="0.25">
      <c r="B13" s="3" t="s">
        <v>15</v>
      </c>
      <c r="C13" s="3">
        <f>I11*K11</f>
        <v>123500</v>
      </c>
      <c r="D13" s="4">
        <f>1/(1+$D$3)^3</f>
        <v>0.81310208346911228</v>
      </c>
      <c r="E13" s="4">
        <f t="shared" si="1"/>
        <v>100418.10730843537</v>
      </c>
    </row>
    <row r="14" spans="1:12" x14ac:dyDescent="0.25">
      <c r="B14" s="3" t="s">
        <v>16</v>
      </c>
      <c r="C14" s="3">
        <f>I11*K11+I11</f>
        <v>1123500</v>
      </c>
      <c r="D14" s="4">
        <f>1/(1+$E$3)^4</f>
        <v>0.75552498253350464</v>
      </c>
      <c r="E14" s="4">
        <f t="shared" si="1"/>
        <v>848832.31787639251</v>
      </c>
    </row>
    <row r="15" spans="1:12" x14ac:dyDescent="0.25">
      <c r="E15" s="4">
        <f>SUM(E11:E14)</f>
        <v>1172807.9770911133</v>
      </c>
    </row>
    <row r="17" spans="1:12" x14ac:dyDescent="0.25">
      <c r="A17" s="3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H17" s="10" t="s">
        <v>8</v>
      </c>
      <c r="I17" s="10" t="s">
        <v>9</v>
      </c>
      <c r="J17" s="10" t="s">
        <v>10</v>
      </c>
      <c r="K17" s="10" t="s">
        <v>11</v>
      </c>
      <c r="L17" s="10" t="s">
        <v>12</v>
      </c>
    </row>
    <row r="18" spans="1:12" x14ac:dyDescent="0.25">
      <c r="A18" s="3">
        <v>3</v>
      </c>
      <c r="B18" s="3" t="s">
        <v>13</v>
      </c>
      <c r="C18" s="3">
        <f>I18*K18+I18</f>
        <v>1107500</v>
      </c>
      <c r="D18" s="4">
        <f>1/(1+$B$3)^1</f>
        <v>0.93641726753441323</v>
      </c>
      <c r="E18" s="4">
        <f t="shared" ref="E18" si="2">C18*D18</f>
        <v>1037082.1237943626</v>
      </c>
      <c r="H18" s="3">
        <v>1</v>
      </c>
      <c r="I18" s="3">
        <v>1000000</v>
      </c>
      <c r="J18" s="3">
        <v>2022</v>
      </c>
      <c r="K18" s="3">
        <v>0.1075</v>
      </c>
      <c r="L18" s="3">
        <v>40</v>
      </c>
    </row>
    <row r="19" spans="1:12" x14ac:dyDescent="0.25">
      <c r="E19" s="4">
        <f>SUM(E18:E18)</f>
        <v>1037082.1237943626</v>
      </c>
    </row>
    <row r="20" spans="1:12" x14ac:dyDescent="0.25">
      <c r="A20" s="29" t="s">
        <v>18</v>
      </c>
      <c r="B20" s="29"/>
    </row>
    <row r="21" spans="1:12" x14ac:dyDescent="0.25">
      <c r="A21" s="3" t="s">
        <v>19</v>
      </c>
      <c r="B21" s="3" t="s">
        <v>7</v>
      </c>
      <c r="F21" s="10"/>
      <c r="G21" s="10"/>
      <c r="H21" s="10" t="s">
        <v>8</v>
      </c>
      <c r="I21" s="10" t="s">
        <v>20</v>
      </c>
      <c r="J21" s="10"/>
    </row>
    <row r="22" spans="1:12" x14ac:dyDescent="0.25">
      <c r="A22" s="3">
        <v>1</v>
      </c>
      <c r="B22" s="3">
        <v>465900000</v>
      </c>
      <c r="H22" s="3">
        <v>2</v>
      </c>
      <c r="I22" s="3" t="s">
        <v>21</v>
      </c>
    </row>
    <row r="23" spans="1:12" x14ac:dyDescent="0.25">
      <c r="A23" s="3" t="s">
        <v>28</v>
      </c>
    </row>
    <row r="25" spans="1:12" x14ac:dyDescent="0.25">
      <c r="A25" s="3" t="s">
        <v>19</v>
      </c>
      <c r="B25" s="3" t="s">
        <v>7</v>
      </c>
      <c r="H25" s="10" t="s">
        <v>8</v>
      </c>
      <c r="I25" s="10" t="s">
        <v>20</v>
      </c>
    </row>
    <row r="26" spans="1:12" x14ac:dyDescent="0.25">
      <c r="A26" s="3">
        <v>2</v>
      </c>
      <c r="B26" s="7">
        <v>1640000005</v>
      </c>
      <c r="C26" s="7"/>
      <c r="H26" s="3">
        <v>2.4470731791247768</v>
      </c>
      <c r="I26" s="3" t="s">
        <v>26</v>
      </c>
    </row>
    <row r="27" spans="1:12" x14ac:dyDescent="0.25">
      <c r="A27" s="30" t="s">
        <v>29</v>
      </c>
      <c r="B27" s="30"/>
    </row>
    <row r="29" spans="1:12" x14ac:dyDescent="0.25">
      <c r="A29" s="3" t="s">
        <v>19</v>
      </c>
      <c r="B29" s="3" t="s">
        <v>7</v>
      </c>
      <c r="H29" s="10" t="s">
        <v>8</v>
      </c>
      <c r="I29" s="10" t="s">
        <v>20</v>
      </c>
    </row>
    <row r="30" spans="1:12" x14ac:dyDescent="0.25">
      <c r="A30" s="3">
        <v>3</v>
      </c>
      <c r="B30" s="7">
        <v>11555000000</v>
      </c>
      <c r="H30" s="3">
        <v>2.0748593682388576</v>
      </c>
      <c r="I30" s="3" t="s">
        <v>31</v>
      </c>
    </row>
    <row r="31" spans="1:12" x14ac:dyDescent="0.25">
      <c r="A31" s="30" t="s">
        <v>30</v>
      </c>
      <c r="B31" s="30"/>
    </row>
    <row r="33" spans="1:9" x14ac:dyDescent="0.25">
      <c r="A33" s="30" t="s">
        <v>32</v>
      </c>
      <c r="B33" s="30"/>
    </row>
    <row r="34" spans="1:9" x14ac:dyDescent="0.25">
      <c r="A34" s="3" t="s">
        <v>34</v>
      </c>
      <c r="B34" s="3" t="s">
        <v>7</v>
      </c>
      <c r="H34" s="10" t="s">
        <v>8</v>
      </c>
      <c r="I34" s="10" t="s">
        <v>20</v>
      </c>
    </row>
    <row r="35" spans="1:9" x14ac:dyDescent="0.25">
      <c r="A35" s="3">
        <v>1</v>
      </c>
      <c r="B35" s="7">
        <v>2443425355</v>
      </c>
      <c r="H35" s="3" t="s">
        <v>35</v>
      </c>
      <c r="I35" s="3" t="s">
        <v>36</v>
      </c>
    </row>
  </sheetData>
  <mergeCells count="6">
    <mergeCell ref="A1:K1"/>
    <mergeCell ref="A20:B20"/>
    <mergeCell ref="A5:B5"/>
    <mergeCell ref="A33:B33"/>
    <mergeCell ref="A27:B27"/>
    <mergeCell ref="A31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"/>
  <sheetViews>
    <sheetView topLeftCell="B1" zoomScale="108" workbookViewId="0">
      <selection activeCell="B1" sqref="B1"/>
    </sheetView>
  </sheetViews>
  <sheetFormatPr defaultRowHeight="15" x14ac:dyDescent="0.25"/>
  <cols>
    <col min="1" max="1" width="9.140625" style="3"/>
    <col min="2" max="2" width="14.42578125" style="3" bestFit="1" customWidth="1"/>
    <col min="3" max="3" width="22.7109375" style="3" bestFit="1" customWidth="1"/>
    <col min="4" max="4" width="23.85546875" style="3" bestFit="1" customWidth="1"/>
    <col min="5" max="5" width="22.7109375" style="3" bestFit="1" customWidth="1"/>
    <col min="6" max="6" width="17.42578125" style="3" customWidth="1"/>
    <col min="8" max="8" width="28.28515625" bestFit="1" customWidth="1"/>
    <col min="9" max="10" width="20.28515625" bestFit="1" customWidth="1"/>
  </cols>
  <sheetData>
    <row r="1" spans="1:12" x14ac:dyDescent="0.25">
      <c r="A1" s="12" t="s">
        <v>37</v>
      </c>
      <c r="B1" s="12" t="s">
        <v>38</v>
      </c>
      <c r="C1" s="12" t="s">
        <v>7</v>
      </c>
      <c r="D1" s="12" t="s">
        <v>39</v>
      </c>
      <c r="E1" s="12" t="s">
        <v>12</v>
      </c>
      <c r="F1" s="13" t="s">
        <v>23</v>
      </c>
    </row>
    <row r="2" spans="1:12" x14ac:dyDescent="0.25">
      <c r="A2" s="6">
        <v>1</v>
      </c>
      <c r="B2" s="6">
        <v>0.126</v>
      </c>
      <c r="C2" s="6">
        <v>126000117988.57571</v>
      </c>
      <c r="D2" s="6">
        <v>1</v>
      </c>
      <c r="E2" s="6">
        <v>600</v>
      </c>
      <c r="F2" s="6">
        <f>E2*D2</f>
        <v>600</v>
      </c>
      <c r="H2" s="6" t="s">
        <v>23</v>
      </c>
      <c r="I2" s="6">
        <f>SUM(F2:F4)</f>
        <v>4640</v>
      </c>
    </row>
    <row r="3" spans="1:12" x14ac:dyDescent="0.25">
      <c r="A3" s="6">
        <v>2</v>
      </c>
      <c r="B3" s="6">
        <v>0.1235</v>
      </c>
      <c r="C3" s="6">
        <v>1172807.9770911133</v>
      </c>
      <c r="D3" s="6">
        <v>4</v>
      </c>
      <c r="E3" s="6">
        <v>1000</v>
      </c>
      <c r="F3" s="6">
        <f t="shared" ref="F3:F4" si="0">E3*D3</f>
        <v>4000</v>
      </c>
      <c r="H3" s="6" t="s">
        <v>24</v>
      </c>
      <c r="I3" s="6">
        <f>SUM(E2:E4)</f>
        <v>1640</v>
      </c>
    </row>
    <row r="4" spans="1:12" x14ac:dyDescent="0.25">
      <c r="A4" s="6">
        <v>3</v>
      </c>
      <c r="B4" s="6">
        <v>0.1075</v>
      </c>
      <c r="C4" s="6">
        <v>1037082.1237943626</v>
      </c>
      <c r="D4" s="6">
        <v>1</v>
      </c>
      <c r="E4" s="6">
        <v>40</v>
      </c>
      <c r="F4" s="6">
        <f t="shared" si="0"/>
        <v>40</v>
      </c>
      <c r="H4" s="14" t="s">
        <v>25</v>
      </c>
      <c r="I4" s="14">
        <f>I2/I3</f>
        <v>2.8292682926829267</v>
      </c>
    </row>
    <row r="6" spans="1:12" x14ac:dyDescent="0.25">
      <c r="A6" s="13" t="s">
        <v>40</v>
      </c>
      <c r="B6" s="13" t="s">
        <v>7</v>
      </c>
      <c r="C6" s="13" t="s">
        <v>41</v>
      </c>
    </row>
    <row r="7" spans="1:12" x14ac:dyDescent="0.25">
      <c r="A7" s="6">
        <v>1</v>
      </c>
      <c r="B7" s="6">
        <v>465900000</v>
      </c>
      <c r="C7" s="6">
        <v>2</v>
      </c>
      <c r="H7" s="21" t="s">
        <v>42</v>
      </c>
      <c r="I7" s="15">
        <v>34745924589</v>
      </c>
      <c r="J7" s="16"/>
      <c r="K7" s="16"/>
      <c r="L7" s="17"/>
    </row>
    <row r="8" spans="1:12" x14ac:dyDescent="0.25">
      <c r="A8" s="6">
        <v>2</v>
      </c>
      <c r="B8" s="11">
        <v>1640000005</v>
      </c>
      <c r="C8" s="6">
        <v>2.4470731791247768</v>
      </c>
      <c r="H8" s="21" t="s">
        <v>43</v>
      </c>
      <c r="I8" s="15">
        <f>SUM(C2:C4,B7:B9,B12)</f>
        <v>142106653238.67661</v>
      </c>
      <c r="L8" s="17"/>
    </row>
    <row r="9" spans="1:12" x14ac:dyDescent="0.25">
      <c r="A9" s="6">
        <v>3</v>
      </c>
      <c r="B9" s="11">
        <v>11555000000</v>
      </c>
      <c r="C9" s="6">
        <v>2.0748593682388576</v>
      </c>
      <c r="H9" s="27" t="s">
        <v>51</v>
      </c>
      <c r="I9" s="23">
        <f>SUM(I7,I8)</f>
        <v>176852577827.67661</v>
      </c>
      <c r="K9" s="16"/>
      <c r="L9" s="17"/>
    </row>
    <row r="10" spans="1:12" x14ac:dyDescent="0.25">
      <c r="H10" s="21" t="s">
        <v>44</v>
      </c>
      <c r="I10" s="18">
        <v>0.37619999999999998</v>
      </c>
      <c r="J10" s="16"/>
      <c r="K10" s="16"/>
      <c r="L10" s="17"/>
    </row>
    <row r="11" spans="1:12" x14ac:dyDescent="0.25">
      <c r="A11" s="13" t="s">
        <v>33</v>
      </c>
      <c r="B11" s="13" t="s">
        <v>7</v>
      </c>
      <c r="C11" s="13" t="s">
        <v>8</v>
      </c>
      <c r="H11" s="21" t="s">
        <v>45</v>
      </c>
      <c r="I11" s="18">
        <v>2.8292682926829267</v>
      </c>
      <c r="J11" s="16"/>
      <c r="K11" s="16"/>
      <c r="L11" s="17"/>
    </row>
    <row r="12" spans="1:12" x14ac:dyDescent="0.25">
      <c r="A12" s="6">
        <v>1</v>
      </c>
      <c r="B12" s="11">
        <v>2443425355</v>
      </c>
      <c r="C12" s="6" t="s">
        <v>35</v>
      </c>
      <c r="H12" s="21" t="s">
        <v>46</v>
      </c>
      <c r="I12" s="18">
        <v>7.0029999999999995E-2</v>
      </c>
      <c r="J12" s="16"/>
      <c r="K12" s="16"/>
      <c r="L12" s="17"/>
    </row>
    <row r="13" spans="1:12" ht="18" x14ac:dyDescent="0.35">
      <c r="H13" s="21" t="s">
        <v>52</v>
      </c>
      <c r="I13" s="18">
        <f>((I12*I11)+((I10^2*I11)/2)-(LN(I8/I9)))/(I10*SQRT(I11))</f>
        <v>0.97518253833047452</v>
      </c>
      <c r="J13" s="16"/>
      <c r="K13" s="16"/>
      <c r="L13" s="17"/>
    </row>
    <row r="14" spans="1:12" ht="18" x14ac:dyDescent="0.35">
      <c r="H14" s="22" t="s">
        <v>55</v>
      </c>
      <c r="I14" s="18">
        <f>_xlfn.NORM.DIST(I13,0,1,1)</f>
        <v>0.83526513891487264</v>
      </c>
      <c r="J14" s="16"/>
      <c r="K14" s="16"/>
      <c r="L14" s="17"/>
    </row>
    <row r="15" spans="1:12" ht="18" x14ac:dyDescent="0.35">
      <c r="H15" s="21" t="s">
        <v>53</v>
      </c>
      <c r="I15" s="19">
        <f>_xlfn.NORM.DIST(I16,0,1,1)</f>
        <v>0.63397430409159305</v>
      </c>
      <c r="K15" s="16"/>
      <c r="L15" s="17"/>
    </row>
    <row r="16" spans="1:12" ht="18" x14ac:dyDescent="0.35">
      <c r="H16" s="22" t="s">
        <v>56</v>
      </c>
      <c r="I16" s="18">
        <f>I13-(I10*SQRT(I11))</f>
        <v>0.34239800211906191</v>
      </c>
      <c r="K16" s="16"/>
      <c r="L16" s="17"/>
    </row>
    <row r="17" spans="8:12" x14ac:dyDescent="0.25">
      <c r="H17" s="27" t="s">
        <v>47</v>
      </c>
      <c r="I17" s="23">
        <f>(I9*I14)-((I8*EXP(-I12*I11))*I15)</f>
        <v>73819937456.25563</v>
      </c>
      <c r="J17" s="16"/>
      <c r="K17" s="16"/>
      <c r="L17" s="17"/>
    </row>
    <row r="18" spans="8:12" x14ac:dyDescent="0.25">
      <c r="H18" s="21" t="s">
        <v>54</v>
      </c>
      <c r="I18" s="15">
        <f>I9-I17</f>
        <v>103032640371.42097</v>
      </c>
      <c r="J18" s="16"/>
      <c r="K18" s="16"/>
      <c r="L18" s="17"/>
    </row>
    <row r="19" spans="8:12" x14ac:dyDescent="0.25">
      <c r="H19" s="16"/>
      <c r="J19" s="16"/>
      <c r="K19" s="16"/>
      <c r="L19" s="17"/>
    </row>
    <row r="20" spans="8:12" x14ac:dyDescent="0.25">
      <c r="H20" s="16"/>
      <c r="I20" s="16"/>
      <c r="J20" s="16"/>
      <c r="K20" s="16"/>
      <c r="L20" s="17"/>
    </row>
    <row r="21" spans="8:12" x14ac:dyDescent="0.25">
      <c r="H21" s="31" t="s">
        <v>57</v>
      </c>
      <c r="I21" s="19">
        <f>I18/I8</f>
        <v>0.72503741396521038</v>
      </c>
      <c r="J21" s="16"/>
      <c r="K21" s="16"/>
      <c r="L21" s="17"/>
    </row>
    <row r="22" spans="8:12" x14ac:dyDescent="0.25">
      <c r="H22" s="32"/>
      <c r="I22" s="19">
        <f>LN(I21)</f>
        <v>-0.32153201998972303</v>
      </c>
      <c r="J22" s="16"/>
      <c r="K22" s="16"/>
      <c r="L22" s="17"/>
    </row>
    <row r="23" spans="8:12" x14ac:dyDescent="0.25">
      <c r="H23" s="23" t="s">
        <v>48</v>
      </c>
      <c r="I23" s="24">
        <f>I22/(-I11)</f>
        <v>0.11364493809981591</v>
      </c>
      <c r="J23" s="20"/>
      <c r="K23" s="16"/>
      <c r="L23" s="17"/>
    </row>
    <row r="24" spans="8:12" x14ac:dyDescent="0.25">
      <c r="H24" s="15" t="s">
        <v>49</v>
      </c>
      <c r="I24" s="19">
        <f>0.07003</f>
        <v>7.0029999999999995E-2</v>
      </c>
      <c r="J24" s="16"/>
      <c r="K24" s="16"/>
      <c r="L24" s="17"/>
    </row>
    <row r="25" spans="8:12" x14ac:dyDescent="0.25">
      <c r="J25" s="16"/>
      <c r="K25" s="16"/>
      <c r="L25" s="17"/>
    </row>
    <row r="26" spans="8:12" ht="15" customHeight="1" x14ac:dyDescent="0.25">
      <c r="H26" s="23" t="s">
        <v>50</v>
      </c>
      <c r="I26" s="25">
        <f>I23-I24</f>
        <v>4.3614938099815911E-2</v>
      </c>
      <c r="J26" s="26">
        <f>I26</f>
        <v>4.3614938099815911E-2</v>
      </c>
      <c r="K26" s="16"/>
      <c r="L26" s="17"/>
    </row>
    <row r="27" spans="8:12" x14ac:dyDescent="0.25">
      <c r="H27" s="16"/>
      <c r="I27" s="16"/>
      <c r="J27" s="16"/>
      <c r="K27" s="17"/>
      <c r="L27" s="17"/>
    </row>
    <row r="28" spans="8:12" x14ac:dyDescent="0.25">
      <c r="H28" s="15" t="s">
        <v>58</v>
      </c>
      <c r="I28" s="15" t="s">
        <v>59</v>
      </c>
      <c r="J28" s="16"/>
    </row>
    <row r="29" spans="8:12" x14ac:dyDescent="0.25">
      <c r="H29" s="17"/>
      <c r="I29" s="17"/>
      <c r="J29" s="17"/>
    </row>
  </sheetData>
  <mergeCells count="1">
    <mergeCell ref="H21:H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0"/>
  <sheetViews>
    <sheetView topLeftCell="A15" workbookViewId="0">
      <selection activeCell="F27" sqref="F27"/>
    </sheetView>
  </sheetViews>
  <sheetFormatPr defaultRowHeight="15" x14ac:dyDescent="0.25"/>
  <cols>
    <col min="1" max="1" width="9.7109375" style="3" bestFit="1" customWidth="1"/>
    <col min="2" max="2" width="15.140625" style="3" bestFit="1" customWidth="1"/>
    <col min="3" max="3" width="14.42578125" style="3" bestFit="1" customWidth="1"/>
    <col min="4" max="16384" width="9.140625" style="3"/>
  </cols>
  <sheetData>
    <row r="1" spans="1:3" x14ac:dyDescent="0.25">
      <c r="A1" s="3" t="s">
        <v>27</v>
      </c>
      <c r="C1" s="3" t="s">
        <v>23</v>
      </c>
    </row>
    <row r="2" spans="1:3" x14ac:dyDescent="0.25">
      <c r="A2" s="3">
        <v>2</v>
      </c>
      <c r="B2" s="7">
        <v>916199998</v>
      </c>
      <c r="C2" s="3">
        <f>B2*A2</f>
        <v>1832399996</v>
      </c>
    </row>
    <row r="3" spans="1:3" x14ac:dyDescent="0.25">
      <c r="A3" s="3">
        <v>3</v>
      </c>
      <c r="B3" s="7">
        <v>154399998</v>
      </c>
      <c r="C3" s="3">
        <f>B3*A3</f>
        <v>463199994</v>
      </c>
    </row>
    <row r="4" spans="1:3" x14ac:dyDescent="0.25">
      <c r="A4" s="3">
        <v>4</v>
      </c>
      <c r="B4" s="7">
        <v>154400009</v>
      </c>
      <c r="C4" s="3">
        <f t="shared" ref="C4:C8" si="0">B4*A4</f>
        <v>617600036</v>
      </c>
    </row>
    <row r="5" spans="1:3" x14ac:dyDescent="0.25">
      <c r="A5" s="3">
        <v>5</v>
      </c>
      <c r="B5" s="7">
        <v>40000000</v>
      </c>
      <c r="C5" s="3">
        <f t="shared" si="0"/>
        <v>200000000</v>
      </c>
    </row>
    <row r="6" spans="1:3" x14ac:dyDescent="0.25">
      <c r="A6" s="3">
        <v>2</v>
      </c>
      <c r="B6" s="7">
        <v>262500000</v>
      </c>
      <c r="C6" s="3">
        <f t="shared" si="0"/>
        <v>525000000</v>
      </c>
    </row>
    <row r="7" spans="1:3" x14ac:dyDescent="0.25">
      <c r="A7" s="3">
        <v>3</v>
      </c>
      <c r="B7" s="7">
        <v>75000000</v>
      </c>
      <c r="C7" s="3">
        <f t="shared" si="0"/>
        <v>225000000</v>
      </c>
    </row>
    <row r="8" spans="1:3" x14ac:dyDescent="0.25">
      <c r="A8" s="3">
        <v>4</v>
      </c>
      <c r="B8" s="7">
        <v>37500000</v>
      </c>
      <c r="C8" s="3">
        <f t="shared" si="0"/>
        <v>150000000</v>
      </c>
    </row>
    <row r="10" spans="1:3" x14ac:dyDescent="0.25">
      <c r="B10" s="3" t="s">
        <v>23</v>
      </c>
      <c r="C10" s="3">
        <f>SUM(C2:C8)</f>
        <v>4013200026</v>
      </c>
    </row>
    <row r="11" spans="1:3" x14ac:dyDescent="0.25">
      <c r="B11" s="3" t="s">
        <v>24</v>
      </c>
      <c r="C11" s="7">
        <f>SUM(B2:B8)</f>
        <v>1640000005</v>
      </c>
    </row>
    <row r="13" spans="1:3" x14ac:dyDescent="0.25">
      <c r="B13" s="3" t="s">
        <v>25</v>
      </c>
      <c r="C13" s="3">
        <f>C10/C11</f>
        <v>2.4470731791247768</v>
      </c>
    </row>
    <row r="15" spans="1:3" x14ac:dyDescent="0.25">
      <c r="A15" s="3" t="s">
        <v>22</v>
      </c>
      <c r="C15" s="3" t="s">
        <v>23</v>
      </c>
    </row>
    <row r="17" spans="1:3" x14ac:dyDescent="0.25">
      <c r="A17" s="3">
        <v>2</v>
      </c>
      <c r="B17" s="7">
        <v>800000000</v>
      </c>
      <c r="C17" s="3">
        <f>B17*A17</f>
        <v>1600000000</v>
      </c>
    </row>
    <row r="18" spans="1:3" x14ac:dyDescent="0.25">
      <c r="A18" s="3">
        <v>2</v>
      </c>
      <c r="B18" s="7">
        <v>1630000000</v>
      </c>
      <c r="C18" s="3">
        <f>B18*A18</f>
        <v>3260000000</v>
      </c>
    </row>
    <row r="19" spans="1:3" x14ac:dyDescent="0.25">
      <c r="A19" s="3">
        <v>3</v>
      </c>
      <c r="B19" s="7">
        <v>765000000</v>
      </c>
      <c r="C19" s="3">
        <f t="shared" ref="C19:C25" si="1">B19*A19</f>
        <v>2295000000</v>
      </c>
    </row>
    <row r="20" spans="1:3" x14ac:dyDescent="0.25">
      <c r="A20" s="3">
        <v>2</v>
      </c>
      <c r="B20" s="7">
        <v>3500000000</v>
      </c>
      <c r="C20" s="3">
        <f t="shared" si="1"/>
        <v>7000000000</v>
      </c>
    </row>
    <row r="21" spans="1:3" x14ac:dyDescent="0.25">
      <c r="A21" s="3">
        <v>2</v>
      </c>
      <c r="B21" s="7">
        <v>3500000000</v>
      </c>
      <c r="C21" s="3">
        <f t="shared" si="1"/>
        <v>7000000000</v>
      </c>
    </row>
    <row r="22" spans="1:3" x14ac:dyDescent="0.25">
      <c r="A22" s="3">
        <v>2</v>
      </c>
      <c r="B22" s="7">
        <v>760000000</v>
      </c>
      <c r="C22" s="3">
        <f t="shared" si="1"/>
        <v>1520000000</v>
      </c>
    </row>
    <row r="23" spans="1:3" x14ac:dyDescent="0.25">
      <c r="A23" s="3">
        <v>3</v>
      </c>
      <c r="B23" s="7">
        <v>100000000</v>
      </c>
      <c r="C23" s="3">
        <f t="shared" si="1"/>
        <v>300000000</v>
      </c>
    </row>
    <row r="24" spans="1:3" x14ac:dyDescent="0.25">
      <c r="A24" s="3">
        <v>2</v>
      </c>
      <c r="B24" s="7">
        <v>416666667</v>
      </c>
      <c r="C24" s="3">
        <f t="shared" si="1"/>
        <v>833333334</v>
      </c>
    </row>
    <row r="25" spans="1:3" x14ac:dyDescent="0.25">
      <c r="A25" s="3">
        <v>2</v>
      </c>
      <c r="B25" s="7">
        <v>83333333</v>
      </c>
      <c r="C25" s="3">
        <f t="shared" si="1"/>
        <v>166666666</v>
      </c>
    </row>
    <row r="27" spans="1:3" x14ac:dyDescent="0.25">
      <c r="B27" s="3" t="s">
        <v>23</v>
      </c>
      <c r="C27" s="3">
        <f>SUM(C17:C25)</f>
        <v>23975000000</v>
      </c>
    </row>
    <row r="28" spans="1:3" x14ac:dyDescent="0.25">
      <c r="B28" s="3" t="s">
        <v>24</v>
      </c>
      <c r="C28" s="7">
        <f>SUM(B17:B25)</f>
        <v>11555000000</v>
      </c>
    </row>
    <row r="30" spans="1:3" x14ac:dyDescent="0.25">
      <c r="B30" s="3" t="s">
        <v>25</v>
      </c>
      <c r="C30" s="3">
        <f>C27/C28</f>
        <v>2.0748593682388576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COMPILED</vt:lpstr>
      <vt:lpstr>TERM LOANS 3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Aanchal Dusija</dc:creator>
  <cp:lastModifiedBy>LENOVO</cp:lastModifiedBy>
  <dcterms:created xsi:type="dcterms:W3CDTF">2019-02-28T12:38:47Z</dcterms:created>
  <dcterms:modified xsi:type="dcterms:W3CDTF">2019-12-01T09:39:56Z</dcterms:modified>
</cp:coreProperties>
</file>