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5.xml" ContentType="application/vnd.openxmlformats-officedocument.themeOverride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theme/themeOverride6.xml" ContentType="application/vnd.openxmlformats-officedocument.themeOverride+xml"/>
  <Override PartName="/xl/charts/chart11.xml" ContentType="application/vnd.openxmlformats-officedocument.drawingml.chart+xml"/>
  <Override PartName="/xl/theme/themeOverride7.xml" ContentType="application/vnd.openxmlformats-officedocument.themeOverride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harts/chart13.xml" ContentType="application/vnd.openxmlformats-officedocument.drawingml.chart+xml"/>
  <Override PartName="/xl/theme/themeOverride8.xml" ContentType="application/vnd.openxmlformats-officedocument.themeOverride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theme/themeOverride9.xml" ContentType="application/vnd.openxmlformats-officedocument.themeOverride+xml"/>
  <Override PartName="/xl/charts/chart16.xml" ContentType="application/vnd.openxmlformats-officedocument.drawingml.chart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charts/chart17.xml" ContentType="application/vnd.openxmlformats-officedocument.drawingml.chart+xml"/>
  <Override PartName="/xl/theme/themeOverride10.xml" ContentType="application/vnd.openxmlformats-officedocument.themeOverride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theme/themeOverride11.xml" ContentType="application/vnd.openxmlformats-officedocument.themeOverride+xml"/>
  <Override PartName="/xl/charts/chart21.xml" ContentType="application/vnd.openxmlformats-officedocument.drawingml.chart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theme/themeOverride13.xml" ContentType="application/vnd.openxmlformats-officedocument.themeOverride+xml"/>
  <Override PartName="/xl/charts/chart24.xml" ContentType="application/vnd.openxmlformats-officedocument.drawingml.chart+xml"/>
  <Override PartName="/xl/theme/themeOverride14.xml" ContentType="application/vnd.openxmlformats-officedocument.themeOverride+xml"/>
  <Override PartName="/xl/charts/chart25.xml" ContentType="application/vnd.openxmlformats-officedocument.drawingml.chart+xml"/>
  <Override PartName="/xl/theme/themeOverride15.xml" ContentType="application/vnd.openxmlformats-officedocument.themeOverride+xml"/>
  <Override PartName="/xl/charts/chart26.xml" ContentType="application/vnd.openxmlformats-officedocument.drawingml.chart+xml"/>
  <Override PartName="/xl/theme/themeOverride16.xml" ContentType="application/vnd.openxmlformats-officedocument.themeOverride+xml"/>
  <Override PartName="/xl/charts/chart27.xml" ContentType="application/vnd.openxmlformats-officedocument.drawingml.chart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effThompson/Desktop/"/>
    </mc:Choice>
  </mc:AlternateContent>
  <bookViews>
    <workbookView xWindow="7080" yWindow="460" windowWidth="31320" windowHeight="20520" tabRatio="941" firstSheet="1" activeTab="9"/>
  </bookViews>
  <sheets>
    <sheet name="Prod old" sheetId="9" r:id="rId1"/>
    <sheet name="WANFANWIFI old" sheetId="14" r:id="rId2"/>
    <sheet name="DC old" sheetId="5" r:id="rId3"/>
    <sheet name="Traffic" sheetId="16" r:id="rId4"/>
    <sheet name="WAN FAN Wi-Fi NDBS" sheetId="47" r:id="rId5"/>
    <sheet name="NDBS DataCenters " sheetId="36" r:id="rId6"/>
    <sheet name="Cons Dev Best " sheetId="19" r:id="rId7"/>
    <sheet name="Cons Dev Expe" sheetId="12" r:id="rId8"/>
    <sheet name="Prod NDBS" sheetId="25" r:id="rId9"/>
    <sheet name="NDBS Future 2025 " sheetId="44" r:id="rId10"/>
    <sheet name="Word population" sheetId="2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44" l="1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S28" i="12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Q27" i="25"/>
  <c r="P31" i="47"/>
  <c r="Q31" i="47"/>
  <c r="R31" i="47"/>
  <c r="S31" i="47"/>
  <c r="T31" i="47"/>
  <c r="M29" i="47"/>
  <c r="N29" i="47"/>
  <c r="O29" i="47"/>
  <c r="P29" i="47"/>
  <c r="P8" i="47"/>
  <c r="T8" i="47"/>
  <c r="Q29" i="47"/>
  <c r="R29" i="47"/>
  <c r="S29" i="47"/>
  <c r="T29" i="47"/>
  <c r="T36" i="47"/>
  <c r="P13" i="47"/>
  <c r="T13" i="47"/>
  <c r="T37" i="47"/>
  <c r="T39" i="47"/>
  <c r="T25" i="47"/>
  <c r="U74" i="47"/>
  <c r="T238" i="47"/>
  <c r="E12" i="16"/>
  <c r="F12" i="16"/>
  <c r="G12" i="16"/>
  <c r="L188" i="47"/>
  <c r="E17" i="16"/>
  <c r="F17" i="16"/>
  <c r="K188" i="47"/>
  <c r="J188" i="47"/>
  <c r="I188" i="47"/>
  <c r="I189" i="47"/>
  <c r="J189" i="47"/>
  <c r="K189" i="47"/>
  <c r="L189" i="47"/>
  <c r="J339" i="47"/>
  <c r="E11" i="16"/>
  <c r="F11" i="16"/>
  <c r="G11" i="16"/>
  <c r="G13" i="16"/>
  <c r="L170" i="47"/>
  <c r="E16" i="16"/>
  <c r="F16" i="16"/>
  <c r="F18" i="16"/>
  <c r="K170" i="47"/>
  <c r="E18" i="16"/>
  <c r="J170" i="47"/>
  <c r="D18" i="16"/>
  <c r="I170" i="47"/>
  <c r="J171" i="47"/>
  <c r="K171" i="47"/>
  <c r="L171" i="47"/>
  <c r="J298" i="47"/>
  <c r="L129" i="47"/>
  <c r="E6" i="47"/>
  <c r="T6" i="47"/>
  <c r="U55" i="47"/>
  <c r="E132" i="47"/>
  <c r="F132" i="47"/>
  <c r="G132" i="47"/>
  <c r="H132" i="47"/>
  <c r="I132" i="47"/>
  <c r="J132" i="47"/>
  <c r="K132" i="47"/>
  <c r="L132" i="47"/>
  <c r="M132" i="47"/>
  <c r="N132" i="47"/>
  <c r="O132" i="47"/>
  <c r="P132" i="47"/>
  <c r="Q132" i="47"/>
  <c r="R132" i="47"/>
  <c r="S132" i="47"/>
  <c r="V116" i="47"/>
  <c r="U57" i="47"/>
  <c r="V117" i="47"/>
  <c r="U62" i="47"/>
  <c r="V119" i="47"/>
  <c r="T18" i="47"/>
  <c r="U67" i="47"/>
  <c r="V121" i="47"/>
  <c r="T23" i="47"/>
  <c r="U72" i="47"/>
  <c r="V123" i="47"/>
  <c r="V128" i="47"/>
  <c r="J6" i="47"/>
  <c r="K55" i="47"/>
  <c r="L116" i="47"/>
  <c r="F36" i="47"/>
  <c r="G36" i="47"/>
  <c r="H36" i="47"/>
  <c r="I36" i="47"/>
  <c r="J36" i="47"/>
  <c r="J8" i="47"/>
  <c r="K57" i="47"/>
  <c r="L117" i="47"/>
  <c r="J13" i="47"/>
  <c r="K62" i="47"/>
  <c r="L119" i="47"/>
  <c r="J18" i="47"/>
  <c r="K67" i="47"/>
  <c r="L121" i="47"/>
  <c r="J39" i="47"/>
  <c r="J23" i="47"/>
  <c r="K72" i="47"/>
  <c r="L123" i="47"/>
  <c r="L128" i="47"/>
  <c r="M191" i="47"/>
  <c r="G17" i="16"/>
  <c r="L191" i="47"/>
  <c r="M192" i="47"/>
  <c r="K339" i="47"/>
  <c r="H18" i="16"/>
  <c r="M173" i="47"/>
  <c r="G16" i="16"/>
  <c r="G18" i="16"/>
  <c r="L173" i="47"/>
  <c r="M174" i="47"/>
  <c r="K298" i="47"/>
  <c r="M129" i="47"/>
  <c r="I16" i="16"/>
  <c r="I17" i="16"/>
  <c r="I18" i="16"/>
  <c r="N173" i="47"/>
  <c r="N174" i="47"/>
  <c r="J16" i="16"/>
  <c r="J17" i="16"/>
  <c r="J18" i="16"/>
  <c r="O173" i="47"/>
  <c r="O174" i="47"/>
  <c r="K16" i="16"/>
  <c r="K17" i="16"/>
  <c r="K18" i="16"/>
  <c r="P173" i="47"/>
  <c r="P174" i="47"/>
  <c r="L16" i="16"/>
  <c r="L17" i="16"/>
  <c r="L18" i="16"/>
  <c r="Q173" i="47"/>
  <c r="Q174" i="47"/>
  <c r="M16" i="16"/>
  <c r="M17" i="16"/>
  <c r="M18" i="16"/>
  <c r="R173" i="47"/>
  <c r="R174" i="47"/>
  <c r="N16" i="16"/>
  <c r="N17" i="16"/>
  <c r="N18" i="16"/>
  <c r="S173" i="47"/>
  <c r="S174" i="47"/>
  <c r="O16" i="16"/>
  <c r="O17" i="16"/>
  <c r="O18" i="16"/>
  <c r="T173" i="47"/>
  <c r="T174" i="47"/>
  <c r="P16" i="16"/>
  <c r="P17" i="16"/>
  <c r="P18" i="16"/>
  <c r="U173" i="47"/>
  <c r="U174" i="47"/>
  <c r="Q16" i="16"/>
  <c r="Q17" i="16"/>
  <c r="Q18" i="16"/>
  <c r="V173" i="47"/>
  <c r="V174" i="47"/>
  <c r="H11" i="16"/>
  <c r="H12" i="16"/>
  <c r="H13" i="16"/>
  <c r="M170" i="47"/>
  <c r="M171" i="47"/>
  <c r="K297" i="47"/>
  <c r="I11" i="16"/>
  <c r="I12" i="16"/>
  <c r="I13" i="16"/>
  <c r="N170" i="47"/>
  <c r="N171" i="47"/>
  <c r="L297" i="47"/>
  <c r="J11" i="16"/>
  <c r="J12" i="16"/>
  <c r="J13" i="16"/>
  <c r="O170" i="47"/>
  <c r="O171" i="47"/>
  <c r="M297" i="47"/>
  <c r="K11" i="16"/>
  <c r="K12" i="16"/>
  <c r="K13" i="16"/>
  <c r="P170" i="47"/>
  <c r="P171" i="47"/>
  <c r="N297" i="47"/>
  <c r="L11" i="16"/>
  <c r="L12" i="16"/>
  <c r="L13" i="16"/>
  <c r="Q170" i="47"/>
  <c r="Q171" i="47"/>
  <c r="O297" i="47"/>
  <c r="M11" i="16"/>
  <c r="M12" i="16"/>
  <c r="M13" i="16"/>
  <c r="R170" i="47"/>
  <c r="R171" i="47"/>
  <c r="P297" i="47"/>
  <c r="N11" i="16"/>
  <c r="N12" i="16"/>
  <c r="N13" i="16"/>
  <c r="S170" i="47"/>
  <c r="S171" i="47"/>
  <c r="Q297" i="47"/>
  <c r="O11" i="16"/>
  <c r="O12" i="16"/>
  <c r="O13" i="16"/>
  <c r="T170" i="47"/>
  <c r="T171" i="47"/>
  <c r="R297" i="47"/>
  <c r="P11" i="16"/>
  <c r="P12" i="16"/>
  <c r="P13" i="16"/>
  <c r="U170" i="47"/>
  <c r="U171" i="47"/>
  <c r="S297" i="47"/>
  <c r="Q11" i="16"/>
  <c r="Q12" i="16"/>
  <c r="Q13" i="16"/>
  <c r="V170" i="47"/>
  <c r="V171" i="47"/>
  <c r="T297" i="47"/>
  <c r="J297" i="47"/>
  <c r="V30" i="36"/>
  <c r="M30" i="36"/>
  <c r="AC30" i="16"/>
  <c r="AD30" i="16"/>
  <c r="AE30" i="16"/>
  <c r="AF30" i="16"/>
  <c r="AG30" i="16"/>
  <c r="AH30" i="16"/>
  <c r="AI30" i="16"/>
  <c r="AJ30" i="16"/>
  <c r="AK30" i="16"/>
  <c r="AL30" i="16"/>
  <c r="AM30" i="16"/>
  <c r="AN30" i="16"/>
  <c r="B6" i="21"/>
  <c r="C4" i="21"/>
  <c r="D4" i="21"/>
  <c r="E4" i="21"/>
  <c r="F4" i="21"/>
  <c r="G4" i="21"/>
  <c r="H4" i="21"/>
  <c r="S69" i="16"/>
  <c r="I4" i="21"/>
  <c r="T69" i="16"/>
  <c r="J4" i="21"/>
  <c r="U69" i="16"/>
  <c r="K4" i="21"/>
  <c r="V69" i="16"/>
  <c r="L4" i="21"/>
  <c r="W69" i="16"/>
  <c r="M4" i="21"/>
  <c r="X69" i="16"/>
  <c r="Y70" i="16"/>
  <c r="N4" i="21"/>
  <c r="Y69" i="16"/>
  <c r="D253" i="44"/>
  <c r="L31" i="16"/>
  <c r="D29" i="44"/>
  <c r="Z70" i="16"/>
  <c r="K6" i="47"/>
  <c r="L55" i="47"/>
  <c r="M116" i="47"/>
  <c r="K36" i="47"/>
  <c r="K8" i="47"/>
  <c r="L57" i="47"/>
  <c r="M117" i="47"/>
  <c r="K37" i="47"/>
  <c r="K13" i="47"/>
  <c r="L62" i="47"/>
  <c r="M119" i="47"/>
  <c r="K18" i="47"/>
  <c r="L67" i="47"/>
  <c r="M121" i="47"/>
  <c r="K39" i="47"/>
  <c r="K23" i="47"/>
  <c r="L72" i="47"/>
  <c r="M123" i="47"/>
  <c r="M128" i="47"/>
  <c r="K236" i="47"/>
  <c r="M188" i="47"/>
  <c r="M189" i="47"/>
  <c r="K338" i="47"/>
  <c r="H43" i="25"/>
  <c r="L6" i="47"/>
  <c r="M55" i="47"/>
  <c r="N116" i="47"/>
  <c r="L36" i="47"/>
  <c r="L8" i="47"/>
  <c r="M57" i="47"/>
  <c r="N117" i="47"/>
  <c r="L13" i="47"/>
  <c r="M62" i="47"/>
  <c r="N119" i="47"/>
  <c r="L18" i="47"/>
  <c r="M67" i="47"/>
  <c r="N121" i="47"/>
  <c r="L39" i="47"/>
  <c r="L23" i="47"/>
  <c r="M72" i="47"/>
  <c r="N123" i="47"/>
  <c r="N128" i="47"/>
  <c r="L236" i="47"/>
  <c r="N188" i="47"/>
  <c r="N189" i="47"/>
  <c r="L338" i="47"/>
  <c r="I43" i="25"/>
  <c r="M6" i="47"/>
  <c r="N55" i="47"/>
  <c r="O116" i="47"/>
  <c r="M36" i="47"/>
  <c r="M8" i="47"/>
  <c r="N57" i="47"/>
  <c r="O117" i="47"/>
  <c r="M37" i="47"/>
  <c r="M13" i="47"/>
  <c r="N62" i="47"/>
  <c r="O119" i="47"/>
  <c r="M18" i="47"/>
  <c r="N67" i="47"/>
  <c r="O121" i="47"/>
  <c r="M39" i="47"/>
  <c r="M23" i="47"/>
  <c r="N72" i="47"/>
  <c r="O123" i="47"/>
  <c r="O128" i="47"/>
  <c r="M236" i="47"/>
  <c r="O188" i="47"/>
  <c r="O189" i="47"/>
  <c r="M338" i="47"/>
  <c r="J43" i="25"/>
  <c r="N6" i="47"/>
  <c r="O55" i="47"/>
  <c r="P116" i="47"/>
  <c r="N36" i="47"/>
  <c r="N8" i="47"/>
  <c r="O57" i="47"/>
  <c r="P117" i="47"/>
  <c r="N13" i="47"/>
  <c r="O62" i="47"/>
  <c r="P119" i="47"/>
  <c r="N18" i="47"/>
  <c r="O67" i="47"/>
  <c r="P121" i="47"/>
  <c r="N39" i="47"/>
  <c r="N23" i="47"/>
  <c r="O72" i="47"/>
  <c r="P123" i="47"/>
  <c r="P128" i="47"/>
  <c r="N236" i="47"/>
  <c r="P188" i="47"/>
  <c r="P189" i="47"/>
  <c r="N338" i="47"/>
  <c r="K43" i="25"/>
  <c r="O6" i="47"/>
  <c r="P55" i="47"/>
  <c r="Q116" i="47"/>
  <c r="O8" i="47"/>
  <c r="P57" i="47"/>
  <c r="Q117" i="47"/>
  <c r="O13" i="47"/>
  <c r="P62" i="47"/>
  <c r="Q119" i="47"/>
  <c r="O18" i="47"/>
  <c r="P67" i="47"/>
  <c r="Q121" i="47"/>
  <c r="O39" i="47"/>
  <c r="O23" i="47"/>
  <c r="P72" i="47"/>
  <c r="Q123" i="47"/>
  <c r="Q128" i="47"/>
  <c r="O236" i="47"/>
  <c r="Q188" i="47"/>
  <c r="Q189" i="47"/>
  <c r="O338" i="47"/>
  <c r="L43" i="25"/>
  <c r="P6" i="47"/>
  <c r="Q55" i="47"/>
  <c r="R116" i="47"/>
  <c r="Q57" i="47"/>
  <c r="R117" i="47"/>
  <c r="Q62" i="47"/>
  <c r="R119" i="47"/>
  <c r="P18" i="47"/>
  <c r="Q67" i="47"/>
  <c r="R121" i="47"/>
  <c r="P39" i="47"/>
  <c r="P23" i="47"/>
  <c r="Q72" i="47"/>
  <c r="R123" i="47"/>
  <c r="R128" i="47"/>
  <c r="P236" i="47"/>
  <c r="R188" i="47"/>
  <c r="R189" i="47"/>
  <c r="P338" i="47"/>
  <c r="M43" i="25"/>
  <c r="Q6" i="47"/>
  <c r="R55" i="47"/>
  <c r="S116" i="47"/>
  <c r="Q8" i="47"/>
  <c r="R57" i="47"/>
  <c r="S117" i="47"/>
  <c r="Q13" i="47"/>
  <c r="R62" i="47"/>
  <c r="S119" i="47"/>
  <c r="Q18" i="47"/>
  <c r="R67" i="47"/>
  <c r="S121" i="47"/>
  <c r="Q36" i="47"/>
  <c r="Q37" i="47"/>
  <c r="Q39" i="47"/>
  <c r="Q23" i="47"/>
  <c r="R72" i="47"/>
  <c r="S123" i="47"/>
  <c r="S128" i="47"/>
  <c r="Q236" i="47"/>
  <c r="S188" i="47"/>
  <c r="S189" i="47"/>
  <c r="Q338" i="47"/>
  <c r="N43" i="25"/>
  <c r="R6" i="47"/>
  <c r="S55" i="47"/>
  <c r="T116" i="47"/>
  <c r="R8" i="47"/>
  <c r="S57" i="47"/>
  <c r="T117" i="47"/>
  <c r="R13" i="47"/>
  <c r="S62" i="47"/>
  <c r="T119" i="47"/>
  <c r="R18" i="47"/>
  <c r="S67" i="47"/>
  <c r="T121" i="47"/>
  <c r="R36" i="47"/>
  <c r="R37" i="47"/>
  <c r="R39" i="47"/>
  <c r="R23" i="47"/>
  <c r="S72" i="47"/>
  <c r="T123" i="47"/>
  <c r="T128" i="47"/>
  <c r="R236" i="47"/>
  <c r="T188" i="47"/>
  <c r="T189" i="47"/>
  <c r="R338" i="47"/>
  <c r="O43" i="25"/>
  <c r="S6" i="47"/>
  <c r="T55" i="47"/>
  <c r="U116" i="47"/>
  <c r="S8" i="47"/>
  <c r="T57" i="47"/>
  <c r="U117" i="47"/>
  <c r="S13" i="47"/>
  <c r="T62" i="47"/>
  <c r="U119" i="47"/>
  <c r="S18" i="47"/>
  <c r="T67" i="47"/>
  <c r="U121" i="47"/>
  <c r="S36" i="47"/>
  <c r="S37" i="47"/>
  <c r="S39" i="47"/>
  <c r="S23" i="47"/>
  <c r="T72" i="47"/>
  <c r="U123" i="47"/>
  <c r="U128" i="47"/>
  <c r="S236" i="47"/>
  <c r="U188" i="47"/>
  <c r="U189" i="47"/>
  <c r="S338" i="47"/>
  <c r="P43" i="25"/>
  <c r="T236" i="47"/>
  <c r="V188" i="47"/>
  <c r="V189" i="47"/>
  <c r="T338" i="47"/>
  <c r="Q43" i="25"/>
  <c r="E6" i="14"/>
  <c r="J6" i="14"/>
  <c r="K55" i="14"/>
  <c r="E132" i="14"/>
  <c r="F132" i="14"/>
  <c r="G132" i="14"/>
  <c r="H132" i="14"/>
  <c r="I132" i="14"/>
  <c r="L116" i="14"/>
  <c r="F36" i="14"/>
  <c r="G36" i="14"/>
  <c r="H36" i="14"/>
  <c r="I36" i="14"/>
  <c r="J36" i="14"/>
  <c r="J8" i="14"/>
  <c r="K57" i="14"/>
  <c r="L117" i="14"/>
  <c r="J13" i="14"/>
  <c r="K62" i="14"/>
  <c r="L119" i="14"/>
  <c r="J18" i="14"/>
  <c r="K67" i="14"/>
  <c r="L121" i="14"/>
  <c r="J39" i="14"/>
  <c r="J23" i="14"/>
  <c r="K72" i="14"/>
  <c r="L123" i="14"/>
  <c r="L128" i="14"/>
  <c r="L173" i="14"/>
  <c r="K173" i="14"/>
  <c r="J173" i="14"/>
  <c r="I173" i="14"/>
  <c r="J174" i="14"/>
  <c r="K174" i="14"/>
  <c r="L174" i="14"/>
  <c r="L191" i="14"/>
  <c r="K191" i="14"/>
  <c r="J191" i="14"/>
  <c r="I191" i="14"/>
  <c r="I192" i="14"/>
  <c r="J192" i="14"/>
  <c r="K192" i="14"/>
  <c r="L192" i="14"/>
  <c r="L129" i="14"/>
  <c r="L130" i="14"/>
  <c r="AE3" i="9"/>
  <c r="AF3" i="9"/>
  <c r="AG3" i="9"/>
  <c r="AH3" i="9"/>
  <c r="G43" i="9"/>
  <c r="K6" i="14"/>
  <c r="L55" i="14"/>
  <c r="J132" i="14"/>
  <c r="M116" i="14"/>
  <c r="K36" i="14"/>
  <c r="K8" i="14"/>
  <c r="L57" i="14"/>
  <c r="M117" i="14"/>
  <c r="K37" i="14"/>
  <c r="K13" i="14"/>
  <c r="L62" i="14"/>
  <c r="M119" i="14"/>
  <c r="K18" i="14"/>
  <c r="L67" i="14"/>
  <c r="M121" i="14"/>
  <c r="M123" i="14"/>
  <c r="M128" i="14"/>
  <c r="M173" i="14"/>
  <c r="M174" i="14"/>
  <c r="M191" i="14"/>
  <c r="M192" i="14"/>
  <c r="M129" i="14"/>
  <c r="M130" i="14"/>
  <c r="AI3" i="9"/>
  <c r="H43" i="9"/>
  <c r="L6" i="14"/>
  <c r="M55" i="14"/>
  <c r="K132" i="14"/>
  <c r="N116" i="14"/>
  <c r="L36" i="14"/>
  <c r="L8" i="14"/>
  <c r="M57" i="14"/>
  <c r="N117" i="14"/>
  <c r="L13" i="14"/>
  <c r="M62" i="14"/>
  <c r="N119" i="14"/>
  <c r="L18" i="14"/>
  <c r="M67" i="14"/>
  <c r="N121" i="14"/>
  <c r="N123" i="14"/>
  <c r="N128" i="14"/>
  <c r="N173" i="14"/>
  <c r="N174" i="14"/>
  <c r="N191" i="14"/>
  <c r="N192" i="14"/>
  <c r="N129" i="14"/>
  <c r="N130" i="14"/>
  <c r="AJ3" i="9"/>
  <c r="I43" i="9"/>
  <c r="M6" i="14"/>
  <c r="N55" i="14"/>
  <c r="L132" i="14"/>
  <c r="O116" i="14"/>
  <c r="M29" i="14"/>
  <c r="M36" i="14"/>
  <c r="M8" i="14"/>
  <c r="N57" i="14"/>
  <c r="O117" i="14"/>
  <c r="M37" i="14"/>
  <c r="M13" i="14"/>
  <c r="N62" i="14"/>
  <c r="O119" i="14"/>
  <c r="M18" i="14"/>
  <c r="N67" i="14"/>
  <c r="O121" i="14"/>
  <c r="M39" i="14"/>
  <c r="M23" i="14"/>
  <c r="N72" i="14"/>
  <c r="O123" i="14"/>
  <c r="O128" i="14"/>
  <c r="O173" i="14"/>
  <c r="O174" i="14"/>
  <c r="O191" i="14"/>
  <c r="O192" i="14"/>
  <c r="O129" i="14"/>
  <c r="O130" i="14"/>
  <c r="AK3" i="9"/>
  <c r="J43" i="9"/>
  <c r="N6" i="14"/>
  <c r="O55" i="14"/>
  <c r="M132" i="14"/>
  <c r="P116" i="14"/>
  <c r="N29" i="14"/>
  <c r="N36" i="14"/>
  <c r="N8" i="14"/>
  <c r="O57" i="14"/>
  <c r="P117" i="14"/>
  <c r="N13" i="14"/>
  <c r="O62" i="14"/>
  <c r="P119" i="14"/>
  <c r="N18" i="14"/>
  <c r="O67" i="14"/>
  <c r="P121" i="14"/>
  <c r="N39" i="14"/>
  <c r="N23" i="14"/>
  <c r="O72" i="14"/>
  <c r="P123" i="14"/>
  <c r="P128" i="14"/>
  <c r="P173" i="14"/>
  <c r="P174" i="14"/>
  <c r="P191" i="14"/>
  <c r="P192" i="14"/>
  <c r="P129" i="14"/>
  <c r="P130" i="14"/>
  <c r="AL3" i="9"/>
  <c r="K43" i="9"/>
  <c r="O6" i="14"/>
  <c r="P55" i="14"/>
  <c r="N132" i="14"/>
  <c r="Q116" i="14"/>
  <c r="O29" i="14"/>
  <c r="O8" i="14"/>
  <c r="P57" i="14"/>
  <c r="Q117" i="14"/>
  <c r="O13" i="14"/>
  <c r="P62" i="14"/>
  <c r="Q119" i="14"/>
  <c r="O18" i="14"/>
  <c r="P67" i="14"/>
  <c r="Q121" i="14"/>
  <c r="O39" i="14"/>
  <c r="O23" i="14"/>
  <c r="P72" i="14"/>
  <c r="Q123" i="14"/>
  <c r="Q128" i="14"/>
  <c r="Q173" i="14"/>
  <c r="Q174" i="14"/>
  <c r="Q191" i="14"/>
  <c r="Q192" i="14"/>
  <c r="Q129" i="14"/>
  <c r="Q130" i="14"/>
  <c r="AM3" i="9"/>
  <c r="L43" i="9"/>
  <c r="P6" i="14"/>
  <c r="Q55" i="14"/>
  <c r="O132" i="14"/>
  <c r="R116" i="14"/>
  <c r="P29" i="14"/>
  <c r="P8" i="14"/>
  <c r="Q57" i="14"/>
  <c r="R117" i="14"/>
  <c r="P13" i="14"/>
  <c r="Q62" i="14"/>
  <c r="R119" i="14"/>
  <c r="P18" i="14"/>
  <c r="Q67" i="14"/>
  <c r="R121" i="14"/>
  <c r="P39" i="14"/>
  <c r="P23" i="14"/>
  <c r="Q72" i="14"/>
  <c r="R123" i="14"/>
  <c r="R128" i="14"/>
  <c r="R173" i="14"/>
  <c r="R174" i="14"/>
  <c r="R191" i="14"/>
  <c r="R192" i="14"/>
  <c r="R129" i="14"/>
  <c r="R130" i="14"/>
  <c r="AN3" i="9"/>
  <c r="M43" i="9"/>
  <c r="Q6" i="14"/>
  <c r="R55" i="14"/>
  <c r="P132" i="14"/>
  <c r="S116" i="14"/>
  <c r="Q8" i="14"/>
  <c r="R57" i="14"/>
  <c r="S117" i="14"/>
  <c r="Q13" i="14"/>
  <c r="R62" i="14"/>
  <c r="S119" i="14"/>
  <c r="Q29" i="14"/>
  <c r="Q18" i="14"/>
  <c r="R67" i="14"/>
  <c r="S121" i="14"/>
  <c r="Q36" i="14"/>
  <c r="Q37" i="14"/>
  <c r="Q39" i="14"/>
  <c r="Q23" i="14"/>
  <c r="R72" i="14"/>
  <c r="S123" i="14"/>
  <c r="S128" i="14"/>
  <c r="S173" i="14"/>
  <c r="S174" i="14"/>
  <c r="S191" i="14"/>
  <c r="S192" i="14"/>
  <c r="S129" i="14"/>
  <c r="S130" i="14"/>
  <c r="AO3" i="9"/>
  <c r="N43" i="9"/>
  <c r="R6" i="14"/>
  <c r="S55" i="14"/>
  <c r="Q132" i="14"/>
  <c r="T116" i="14"/>
  <c r="R8" i="14"/>
  <c r="S57" i="14"/>
  <c r="T117" i="14"/>
  <c r="R13" i="14"/>
  <c r="S62" i="14"/>
  <c r="T119" i="14"/>
  <c r="R29" i="14"/>
  <c r="R18" i="14"/>
  <c r="S67" i="14"/>
  <c r="T121" i="14"/>
  <c r="R36" i="14"/>
  <c r="R37" i="14"/>
  <c r="R39" i="14"/>
  <c r="R23" i="14"/>
  <c r="S72" i="14"/>
  <c r="T123" i="14"/>
  <c r="T128" i="14"/>
  <c r="T173" i="14"/>
  <c r="T174" i="14"/>
  <c r="T191" i="14"/>
  <c r="T192" i="14"/>
  <c r="T129" i="14"/>
  <c r="T130" i="14"/>
  <c r="AP3" i="9"/>
  <c r="O43" i="9"/>
  <c r="S6" i="14"/>
  <c r="T55" i="14"/>
  <c r="R132" i="14"/>
  <c r="U116" i="14"/>
  <c r="S8" i="14"/>
  <c r="T57" i="14"/>
  <c r="U117" i="14"/>
  <c r="S13" i="14"/>
  <c r="T62" i="14"/>
  <c r="U119" i="14"/>
  <c r="S29" i="14"/>
  <c r="S18" i="14"/>
  <c r="T67" i="14"/>
  <c r="U121" i="14"/>
  <c r="S36" i="14"/>
  <c r="S37" i="14"/>
  <c r="S39" i="14"/>
  <c r="S23" i="14"/>
  <c r="T72" i="14"/>
  <c r="U123" i="14"/>
  <c r="U128" i="14"/>
  <c r="U173" i="14"/>
  <c r="U174" i="14"/>
  <c r="U191" i="14"/>
  <c r="U192" i="14"/>
  <c r="U129" i="14"/>
  <c r="U130" i="14"/>
  <c r="AQ3" i="9"/>
  <c r="P43" i="9"/>
  <c r="T6" i="14"/>
  <c r="U55" i="14"/>
  <c r="S132" i="14"/>
  <c r="V116" i="14"/>
  <c r="T8" i="14"/>
  <c r="U57" i="14"/>
  <c r="V117" i="14"/>
  <c r="T13" i="14"/>
  <c r="U62" i="14"/>
  <c r="V119" i="14"/>
  <c r="T29" i="14"/>
  <c r="T18" i="14"/>
  <c r="U67" i="14"/>
  <c r="V121" i="14"/>
  <c r="T36" i="14"/>
  <c r="T37" i="14"/>
  <c r="T39" i="14"/>
  <c r="T23" i="14"/>
  <c r="U72" i="14"/>
  <c r="V123" i="14"/>
  <c r="V128" i="14"/>
  <c r="V173" i="14"/>
  <c r="V174" i="14"/>
  <c r="V191" i="14"/>
  <c r="V192" i="14"/>
  <c r="V129" i="14"/>
  <c r="V130" i="14"/>
  <c r="AR3" i="9"/>
  <c r="Q43" i="9"/>
  <c r="E29" i="44"/>
  <c r="AA70" i="16"/>
  <c r="O4" i="21"/>
  <c r="Z69" i="16"/>
  <c r="F29" i="44"/>
  <c r="AB70" i="16"/>
  <c r="P4" i="21"/>
  <c r="AA69" i="16"/>
  <c r="P30" i="14"/>
  <c r="P9" i="14"/>
  <c r="S9" i="14"/>
  <c r="T58" i="14"/>
  <c r="P14" i="14"/>
  <c r="S14" i="14"/>
  <c r="T63" i="14"/>
  <c r="Q30" i="14"/>
  <c r="R30" i="14"/>
  <c r="S30" i="14"/>
  <c r="S19" i="14"/>
  <c r="T68" i="14"/>
  <c r="S24" i="14"/>
  <c r="T73" i="14"/>
  <c r="T77" i="14"/>
  <c r="P32" i="14"/>
  <c r="P16" i="14"/>
  <c r="S16" i="14"/>
  <c r="T65" i="14"/>
  <c r="Q32" i="14"/>
  <c r="R32" i="14"/>
  <c r="S32" i="14"/>
  <c r="S21" i="14"/>
  <c r="T70" i="14"/>
  <c r="S26" i="14"/>
  <c r="T75" i="14"/>
  <c r="T79" i="14"/>
  <c r="F30" i="44"/>
  <c r="Q4" i="21"/>
  <c r="AB69" i="16"/>
  <c r="AC70" i="16"/>
  <c r="R4" i="21"/>
  <c r="AC69" i="16"/>
  <c r="K295" i="47"/>
  <c r="L295" i="47"/>
  <c r="M295" i="47"/>
  <c r="N295" i="47"/>
  <c r="O295" i="47"/>
  <c r="P295" i="47"/>
  <c r="Q295" i="47"/>
  <c r="R295" i="47"/>
  <c r="S295" i="47"/>
  <c r="T295" i="47"/>
  <c r="J295" i="47"/>
  <c r="J299" i="47"/>
  <c r="K299" i="47"/>
  <c r="K301" i="47"/>
  <c r="K302" i="47"/>
  <c r="L299" i="47"/>
  <c r="L301" i="47"/>
  <c r="M299" i="47"/>
  <c r="M301" i="47"/>
  <c r="N299" i="47"/>
  <c r="N301" i="47"/>
  <c r="O299" i="47"/>
  <c r="O301" i="47"/>
  <c r="P299" i="47"/>
  <c r="P301" i="47"/>
  <c r="Q299" i="47"/>
  <c r="Q301" i="47"/>
  <c r="R299" i="47"/>
  <c r="R301" i="47"/>
  <c r="S299" i="47"/>
  <c r="S301" i="47"/>
  <c r="T299" i="47"/>
  <c r="T301" i="47"/>
  <c r="J301" i="47"/>
  <c r="J302" i="47"/>
  <c r="G15" i="16"/>
  <c r="K336" i="47"/>
  <c r="L336" i="47"/>
  <c r="M336" i="47"/>
  <c r="N336" i="47"/>
  <c r="O336" i="47"/>
  <c r="P336" i="47"/>
  <c r="Q336" i="47"/>
  <c r="R336" i="47"/>
  <c r="S336" i="47"/>
  <c r="T336" i="47"/>
  <c r="J338" i="47"/>
  <c r="J336" i="47"/>
  <c r="J341" i="47"/>
  <c r="K341" i="47"/>
  <c r="J342" i="47"/>
  <c r="K342" i="47"/>
  <c r="T302" i="47"/>
  <c r="F37" i="44"/>
  <c r="F36" i="44"/>
  <c r="F38" i="44"/>
  <c r="J349" i="47"/>
  <c r="J350" i="47"/>
  <c r="C167" i="44"/>
  <c r="C168" i="44"/>
  <c r="C169" i="44"/>
  <c r="D169" i="44"/>
  <c r="E169" i="44"/>
  <c r="F169" i="44"/>
  <c r="G169" i="44"/>
  <c r="H169" i="44"/>
  <c r="I169" i="44"/>
  <c r="J169" i="44"/>
  <c r="K169" i="44"/>
  <c r="L169" i="44"/>
  <c r="B168" i="44"/>
  <c r="B167" i="44"/>
  <c r="H64" i="25"/>
  <c r="D258" i="44"/>
  <c r="D254" i="44"/>
  <c r="F253" i="44"/>
  <c r="B245" i="44"/>
  <c r="B238" i="44"/>
  <c r="M37" i="16"/>
  <c r="N37" i="16"/>
  <c r="O37" i="16"/>
  <c r="P37" i="16"/>
  <c r="Q37" i="16"/>
  <c r="H37" i="16"/>
  <c r="I37" i="16"/>
  <c r="J37" i="16"/>
  <c r="K37" i="16"/>
  <c r="L37" i="16"/>
  <c r="G37" i="16"/>
  <c r="E18" i="47"/>
  <c r="F67" i="47"/>
  <c r="G121" i="47"/>
  <c r="F55" i="47"/>
  <c r="G116" i="47"/>
  <c r="E8" i="47"/>
  <c r="F57" i="47"/>
  <c r="G117" i="47"/>
  <c r="E13" i="47"/>
  <c r="F62" i="47"/>
  <c r="G119" i="47"/>
  <c r="E39" i="47"/>
  <c r="E23" i="47"/>
  <c r="F72" i="47"/>
  <c r="G123" i="47"/>
  <c r="G128" i="47"/>
  <c r="E236" i="47"/>
  <c r="E239" i="47"/>
  <c r="B247" i="44"/>
  <c r="C160" i="44"/>
  <c r="D160" i="44"/>
  <c r="E160" i="44"/>
  <c r="F160" i="44"/>
  <c r="G160" i="44"/>
  <c r="H160" i="44"/>
  <c r="I160" i="44"/>
  <c r="J160" i="44"/>
  <c r="K160" i="44"/>
  <c r="L160" i="44"/>
  <c r="C159" i="44"/>
  <c r="D159" i="44"/>
  <c r="E159" i="44"/>
  <c r="F159" i="44"/>
  <c r="G159" i="44"/>
  <c r="H159" i="44"/>
  <c r="I159" i="44"/>
  <c r="J159" i="44"/>
  <c r="K159" i="44"/>
  <c r="L159" i="44"/>
  <c r="B159" i="44"/>
  <c r="C158" i="44"/>
  <c r="D158" i="44"/>
  <c r="E158" i="44"/>
  <c r="F158" i="44"/>
  <c r="G158" i="44"/>
  <c r="H158" i="44"/>
  <c r="I158" i="44"/>
  <c r="J158" i="44"/>
  <c r="K158" i="44"/>
  <c r="L158" i="44"/>
  <c r="B158" i="44"/>
  <c r="K77" i="47"/>
  <c r="K82" i="47"/>
  <c r="G108" i="47"/>
  <c r="H108" i="47"/>
  <c r="I108" i="47"/>
  <c r="L94" i="47"/>
  <c r="L95" i="47"/>
  <c r="L97" i="47"/>
  <c r="L99" i="47"/>
  <c r="L101" i="47"/>
  <c r="L104" i="47"/>
  <c r="K81" i="47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Q59" i="9"/>
  <c r="Q17" i="9"/>
  <c r="Q60" i="9"/>
  <c r="Q18" i="9"/>
  <c r="Q61" i="9"/>
  <c r="Q19" i="9"/>
  <c r="Q62" i="9"/>
  <c r="G70" i="44"/>
  <c r="H12" i="9"/>
  <c r="I12" i="9"/>
  <c r="J12" i="9"/>
  <c r="K12" i="9"/>
  <c r="L12" i="9"/>
  <c r="M12" i="9"/>
  <c r="N12" i="9"/>
  <c r="O12" i="9"/>
  <c r="P12" i="9"/>
  <c r="Q12" i="9"/>
  <c r="Q36" i="9"/>
  <c r="G69" i="44"/>
  <c r="C64" i="44"/>
  <c r="L319" i="47"/>
  <c r="M319" i="47"/>
  <c r="F299" i="47"/>
  <c r="F340" i="47"/>
  <c r="H129" i="47"/>
  <c r="G299" i="47"/>
  <c r="I197" i="47"/>
  <c r="G340" i="47"/>
  <c r="I129" i="47"/>
  <c r="E299" i="47"/>
  <c r="E340" i="47"/>
  <c r="G129" i="47"/>
  <c r="L105" i="47"/>
  <c r="M105" i="47"/>
  <c r="N105" i="47"/>
  <c r="O105" i="47"/>
  <c r="P105" i="47"/>
  <c r="Q105" i="47"/>
  <c r="R105" i="47"/>
  <c r="S105" i="47"/>
  <c r="T105" i="47"/>
  <c r="U105" i="47"/>
  <c r="V105" i="47"/>
  <c r="F18" i="47"/>
  <c r="G67" i="47"/>
  <c r="H121" i="47"/>
  <c r="F6" i="47"/>
  <c r="G55" i="47"/>
  <c r="H116" i="47"/>
  <c r="F8" i="47"/>
  <c r="G57" i="47"/>
  <c r="H117" i="47"/>
  <c r="F13" i="47"/>
  <c r="G62" i="47"/>
  <c r="H119" i="47"/>
  <c r="F39" i="47"/>
  <c r="F23" i="47"/>
  <c r="G72" i="47"/>
  <c r="H123" i="47"/>
  <c r="H128" i="47"/>
  <c r="F236" i="47"/>
  <c r="F239" i="47"/>
  <c r="G18" i="47"/>
  <c r="H67" i="47"/>
  <c r="I121" i="47"/>
  <c r="G6" i="47"/>
  <c r="H55" i="47"/>
  <c r="I116" i="47"/>
  <c r="G8" i="47"/>
  <c r="H57" i="47"/>
  <c r="I117" i="47"/>
  <c r="G13" i="47"/>
  <c r="H62" i="47"/>
  <c r="I119" i="47"/>
  <c r="G39" i="47"/>
  <c r="G23" i="47"/>
  <c r="H72" i="47"/>
  <c r="I123" i="47"/>
  <c r="I128" i="47"/>
  <c r="G236" i="47"/>
  <c r="G239" i="47"/>
  <c r="H18" i="47"/>
  <c r="I67" i="47"/>
  <c r="J121" i="47"/>
  <c r="H6" i="47"/>
  <c r="I55" i="47"/>
  <c r="J116" i="47"/>
  <c r="H8" i="47"/>
  <c r="I57" i="47"/>
  <c r="J117" i="47"/>
  <c r="H13" i="47"/>
  <c r="I62" i="47"/>
  <c r="J119" i="47"/>
  <c r="H39" i="47"/>
  <c r="H23" i="47"/>
  <c r="I72" i="47"/>
  <c r="J123" i="47"/>
  <c r="J128" i="47"/>
  <c r="H236" i="47"/>
  <c r="H239" i="47"/>
  <c r="I18" i="47"/>
  <c r="J67" i="47"/>
  <c r="K121" i="47"/>
  <c r="I6" i="47"/>
  <c r="J55" i="47"/>
  <c r="K116" i="47"/>
  <c r="I8" i="47"/>
  <c r="J57" i="47"/>
  <c r="K117" i="47"/>
  <c r="I13" i="47"/>
  <c r="J62" i="47"/>
  <c r="K119" i="47"/>
  <c r="I39" i="47"/>
  <c r="I23" i="47"/>
  <c r="J72" i="47"/>
  <c r="K123" i="47"/>
  <c r="K128" i="47"/>
  <c r="I236" i="47"/>
  <c r="I239" i="47"/>
  <c r="K239" i="47"/>
  <c r="L239" i="47"/>
  <c r="M239" i="47"/>
  <c r="N239" i="47"/>
  <c r="O239" i="47"/>
  <c r="F240" i="47"/>
  <c r="G240" i="47"/>
  <c r="H240" i="47"/>
  <c r="I240" i="47"/>
  <c r="K240" i="47"/>
  <c r="L240" i="47"/>
  <c r="M240" i="47"/>
  <c r="N240" i="47"/>
  <c r="O240" i="47"/>
  <c r="E240" i="47"/>
  <c r="P15" i="47"/>
  <c r="Q15" i="47"/>
  <c r="R64" i="47"/>
  <c r="Q241" i="47"/>
  <c r="R15" i="47"/>
  <c r="S64" i="47"/>
  <c r="R241" i="47"/>
  <c r="S15" i="47"/>
  <c r="T64" i="47"/>
  <c r="S241" i="47"/>
  <c r="T15" i="47"/>
  <c r="U64" i="47"/>
  <c r="T241" i="47"/>
  <c r="Q64" i="47"/>
  <c r="P241" i="47"/>
  <c r="F241" i="47"/>
  <c r="G241" i="47"/>
  <c r="H241" i="47"/>
  <c r="I241" i="47"/>
  <c r="J241" i="47"/>
  <c r="K241" i="47"/>
  <c r="L241" i="47"/>
  <c r="M241" i="47"/>
  <c r="N241" i="47"/>
  <c r="O241" i="47"/>
  <c r="E241" i="47"/>
  <c r="P10" i="47"/>
  <c r="Q10" i="47"/>
  <c r="R59" i="47"/>
  <c r="Q242" i="47"/>
  <c r="R10" i="47"/>
  <c r="S59" i="47"/>
  <c r="R242" i="47"/>
  <c r="S10" i="47"/>
  <c r="T59" i="47"/>
  <c r="S242" i="47"/>
  <c r="T10" i="47"/>
  <c r="U59" i="47"/>
  <c r="T242" i="47"/>
  <c r="Q59" i="47"/>
  <c r="P242" i="47"/>
  <c r="F242" i="47"/>
  <c r="G242" i="47"/>
  <c r="H242" i="47"/>
  <c r="I242" i="47"/>
  <c r="J242" i="47"/>
  <c r="K242" i="47"/>
  <c r="L242" i="47"/>
  <c r="M242" i="47"/>
  <c r="N242" i="47"/>
  <c r="O242" i="47"/>
  <c r="E242" i="47"/>
  <c r="F243" i="47"/>
  <c r="G243" i="47"/>
  <c r="H243" i="47"/>
  <c r="I243" i="47"/>
  <c r="J243" i="47"/>
  <c r="K243" i="47"/>
  <c r="L243" i="47"/>
  <c r="M243" i="47"/>
  <c r="N243" i="47"/>
  <c r="O243" i="47"/>
  <c r="P243" i="47"/>
  <c r="Q243" i="47"/>
  <c r="R243" i="47"/>
  <c r="S243" i="47"/>
  <c r="T243" i="47"/>
  <c r="E243" i="47"/>
  <c r="P31" i="14"/>
  <c r="P10" i="14"/>
  <c r="T10" i="14"/>
  <c r="U59" i="14"/>
  <c r="P15" i="14"/>
  <c r="T15" i="14"/>
  <c r="U64" i="14"/>
  <c r="Q31" i="14"/>
  <c r="R31" i="14"/>
  <c r="S31" i="14"/>
  <c r="T31" i="14"/>
  <c r="T20" i="14"/>
  <c r="U69" i="14"/>
  <c r="T25" i="14"/>
  <c r="U74" i="14"/>
  <c r="U78" i="14"/>
  <c r="M238" i="47"/>
  <c r="N238" i="47"/>
  <c r="O238" i="47"/>
  <c r="K237" i="47"/>
  <c r="L237" i="47"/>
  <c r="M237" i="47"/>
  <c r="N237" i="47"/>
  <c r="O237" i="47"/>
  <c r="J237" i="47"/>
  <c r="F237" i="47"/>
  <c r="G237" i="47"/>
  <c r="H237" i="47"/>
  <c r="I237" i="47"/>
  <c r="E237" i="47"/>
  <c r="D196" i="47"/>
  <c r="D197" i="47"/>
  <c r="N30" i="36"/>
  <c r="O30" i="36"/>
  <c r="P30" i="36"/>
  <c r="Q30" i="36"/>
  <c r="R30" i="36"/>
  <c r="S30" i="36"/>
  <c r="T30" i="36"/>
  <c r="U30" i="36"/>
  <c r="L30" i="36"/>
  <c r="L302" i="47"/>
  <c r="M302" i="47"/>
  <c r="N302" i="47"/>
  <c r="O302" i="47"/>
  <c r="P302" i="47"/>
  <c r="Q302" i="47"/>
  <c r="R302" i="47"/>
  <c r="S302" i="47"/>
  <c r="L341" i="47"/>
  <c r="L342" i="47"/>
  <c r="M341" i="47"/>
  <c r="M342" i="47"/>
  <c r="N341" i="47"/>
  <c r="N342" i="47"/>
  <c r="O341" i="47"/>
  <c r="O342" i="47"/>
  <c r="P341" i="47"/>
  <c r="P342" i="47"/>
  <c r="Q341" i="47"/>
  <c r="Q342" i="47"/>
  <c r="R341" i="47"/>
  <c r="R342" i="47"/>
  <c r="S341" i="47"/>
  <c r="S342" i="47"/>
  <c r="T341" i="47"/>
  <c r="T342" i="47"/>
  <c r="K289" i="47"/>
  <c r="L289" i="47"/>
  <c r="M289" i="47"/>
  <c r="N289" i="47"/>
  <c r="O289" i="47"/>
  <c r="P289" i="47"/>
  <c r="Q289" i="47"/>
  <c r="R289" i="47"/>
  <c r="S289" i="47"/>
  <c r="T289" i="47"/>
  <c r="J289" i="47"/>
  <c r="F339" i="47"/>
  <c r="E339" i="47"/>
  <c r="F338" i="47"/>
  <c r="E338" i="47"/>
  <c r="G298" i="47"/>
  <c r="F298" i="47"/>
  <c r="E298" i="47"/>
  <c r="G297" i="47"/>
  <c r="F297" i="47"/>
  <c r="E297" i="47"/>
  <c r="E283" i="47"/>
  <c r="E282" i="47"/>
  <c r="E276" i="47"/>
  <c r="E275" i="47"/>
  <c r="E278" i="47"/>
  <c r="E279" i="47"/>
  <c r="I207" i="47"/>
  <c r="J207" i="47"/>
  <c r="K207" i="47"/>
  <c r="L207" i="47"/>
  <c r="M207" i="47"/>
  <c r="N207" i="47"/>
  <c r="O207" i="47"/>
  <c r="P207" i="47"/>
  <c r="Q207" i="47"/>
  <c r="R207" i="47"/>
  <c r="S207" i="47"/>
  <c r="T207" i="47"/>
  <c r="U207" i="47"/>
  <c r="V207" i="47"/>
  <c r="W207" i="47"/>
  <c r="X207" i="47"/>
  <c r="Y207" i="47"/>
  <c r="Z207" i="47"/>
  <c r="AA207" i="47"/>
  <c r="I206" i="47"/>
  <c r="J206" i="47"/>
  <c r="K206" i="47"/>
  <c r="L206" i="47"/>
  <c r="M206" i="47"/>
  <c r="N206" i="47"/>
  <c r="O206" i="47"/>
  <c r="P206" i="47"/>
  <c r="Q206" i="47"/>
  <c r="R206" i="47"/>
  <c r="S206" i="47"/>
  <c r="T206" i="47"/>
  <c r="U206" i="47"/>
  <c r="V206" i="47"/>
  <c r="W206" i="47"/>
  <c r="X206" i="47"/>
  <c r="Y206" i="47"/>
  <c r="Z206" i="47"/>
  <c r="AA206" i="47"/>
  <c r="I205" i="47"/>
  <c r="J205" i="47"/>
  <c r="K205" i="47"/>
  <c r="L205" i="47"/>
  <c r="M205" i="47"/>
  <c r="N205" i="47"/>
  <c r="O205" i="47"/>
  <c r="P205" i="47"/>
  <c r="Q205" i="47"/>
  <c r="R205" i="47"/>
  <c r="S205" i="47"/>
  <c r="T205" i="47"/>
  <c r="U205" i="47"/>
  <c r="V205" i="47"/>
  <c r="W205" i="47"/>
  <c r="X205" i="47"/>
  <c r="Y205" i="47"/>
  <c r="Z205" i="47"/>
  <c r="AA205" i="47"/>
  <c r="E22" i="16"/>
  <c r="F22" i="16"/>
  <c r="G22" i="16"/>
  <c r="H22" i="16"/>
  <c r="I22" i="16"/>
  <c r="J22" i="16"/>
  <c r="K22" i="16"/>
  <c r="L22" i="16"/>
  <c r="M22" i="16"/>
  <c r="N22" i="16"/>
  <c r="O22" i="16"/>
  <c r="P22" i="16"/>
  <c r="Q22" i="16"/>
  <c r="V196" i="47"/>
  <c r="U196" i="47"/>
  <c r="T196" i="47"/>
  <c r="S196" i="47"/>
  <c r="R196" i="47"/>
  <c r="Q196" i="47"/>
  <c r="P196" i="47"/>
  <c r="O196" i="47"/>
  <c r="N196" i="47"/>
  <c r="M196" i="47"/>
  <c r="L196" i="47"/>
  <c r="K196" i="47"/>
  <c r="J196" i="47"/>
  <c r="I196" i="47"/>
  <c r="H196" i="47"/>
  <c r="H198" i="47"/>
  <c r="G196" i="47"/>
  <c r="G198" i="47"/>
  <c r="I192" i="47"/>
  <c r="G339" i="47"/>
  <c r="V191" i="47"/>
  <c r="U191" i="47"/>
  <c r="T191" i="47"/>
  <c r="S191" i="47"/>
  <c r="R191" i="47"/>
  <c r="Q191" i="47"/>
  <c r="P191" i="47"/>
  <c r="O191" i="47"/>
  <c r="N191" i="47"/>
  <c r="K191" i="47"/>
  <c r="J191" i="47"/>
  <c r="I191" i="47"/>
  <c r="H191" i="47"/>
  <c r="H193" i="47"/>
  <c r="G191" i="47"/>
  <c r="G193" i="47"/>
  <c r="H188" i="47"/>
  <c r="H190" i="47"/>
  <c r="G188" i="47"/>
  <c r="G190" i="47"/>
  <c r="E21" i="16"/>
  <c r="F21" i="16"/>
  <c r="G21" i="16"/>
  <c r="H21" i="16"/>
  <c r="I21" i="16"/>
  <c r="J21" i="16"/>
  <c r="K21" i="16"/>
  <c r="L21" i="16"/>
  <c r="M21" i="16"/>
  <c r="N21" i="16"/>
  <c r="O21" i="16"/>
  <c r="P21" i="16"/>
  <c r="Q21" i="16"/>
  <c r="Q23" i="16"/>
  <c r="V178" i="47"/>
  <c r="P23" i="16"/>
  <c r="U178" i="47"/>
  <c r="O23" i="16"/>
  <c r="T178" i="47"/>
  <c r="N23" i="16"/>
  <c r="S178" i="47"/>
  <c r="M23" i="16"/>
  <c r="R178" i="47"/>
  <c r="L23" i="16"/>
  <c r="Q178" i="47"/>
  <c r="K23" i="16"/>
  <c r="P178" i="47"/>
  <c r="J23" i="16"/>
  <c r="O178" i="47"/>
  <c r="I23" i="16"/>
  <c r="N178" i="47"/>
  <c r="H23" i="16"/>
  <c r="M178" i="47"/>
  <c r="G23" i="16"/>
  <c r="L178" i="47"/>
  <c r="F23" i="16"/>
  <c r="K178" i="47"/>
  <c r="E23" i="16"/>
  <c r="J178" i="47"/>
  <c r="D23" i="16"/>
  <c r="I178" i="47"/>
  <c r="I180" i="47"/>
  <c r="C23" i="16"/>
  <c r="H178" i="47"/>
  <c r="H180" i="47"/>
  <c r="B23" i="16"/>
  <c r="G178" i="47"/>
  <c r="G180" i="47"/>
  <c r="K173" i="47"/>
  <c r="J173" i="47"/>
  <c r="I173" i="47"/>
  <c r="I175" i="47"/>
  <c r="I176" i="47"/>
  <c r="C18" i="16"/>
  <c r="H173" i="47"/>
  <c r="H175" i="47"/>
  <c r="H176" i="47"/>
  <c r="B18" i="16"/>
  <c r="G173" i="47"/>
  <c r="G175" i="47"/>
  <c r="G176" i="47"/>
  <c r="I172" i="47"/>
  <c r="H170" i="47"/>
  <c r="H172" i="47"/>
  <c r="G170" i="47"/>
  <c r="G172" i="47"/>
  <c r="I166" i="47"/>
  <c r="J165" i="47"/>
  <c r="I163" i="47"/>
  <c r="G155" i="47"/>
  <c r="H155" i="47"/>
  <c r="I155" i="47"/>
  <c r="J155" i="47"/>
  <c r="H152" i="47"/>
  <c r="G152" i="47"/>
  <c r="O136" i="47"/>
  <c r="F136" i="47"/>
  <c r="S134" i="47"/>
  <c r="O134" i="47"/>
  <c r="Z113" i="47"/>
  <c r="Y113" i="47"/>
  <c r="X113" i="47"/>
  <c r="W113" i="47"/>
  <c r="V113" i="47"/>
  <c r="Z112" i="47"/>
  <c r="Y112" i="47"/>
  <c r="X112" i="47"/>
  <c r="W112" i="47"/>
  <c r="V112" i="47"/>
  <c r="J108" i="47"/>
  <c r="K108" i="47"/>
  <c r="L108" i="47"/>
  <c r="M108" i="47"/>
  <c r="N108" i="47"/>
  <c r="O108" i="47"/>
  <c r="P108" i="47"/>
  <c r="Q108" i="47"/>
  <c r="R108" i="47"/>
  <c r="S108" i="47"/>
  <c r="T108" i="47"/>
  <c r="U108" i="47"/>
  <c r="V108" i="47"/>
  <c r="W108" i="47"/>
  <c r="X108" i="47"/>
  <c r="AA40" i="47"/>
  <c r="P32" i="47"/>
  <c r="P16" i="47"/>
  <c r="P30" i="47"/>
  <c r="P14" i="47"/>
  <c r="P25" i="47"/>
  <c r="Q74" i="47"/>
  <c r="P238" i="47"/>
  <c r="AB22" i="47"/>
  <c r="P20" i="47"/>
  <c r="Q69" i="47"/>
  <c r="P237" i="47"/>
  <c r="H99" i="47"/>
  <c r="F225" i="47"/>
  <c r="L143" i="47"/>
  <c r="J248" i="47"/>
  <c r="H97" i="47"/>
  <c r="F224" i="47"/>
  <c r="V10" i="47"/>
  <c r="W59" i="47"/>
  <c r="P9" i="47"/>
  <c r="Y9" i="47"/>
  <c r="Z58" i="47"/>
  <c r="Q9" i="47"/>
  <c r="R58" i="47"/>
  <c r="W9" i="47"/>
  <c r="X58" i="47"/>
  <c r="X6" i="47"/>
  <c r="W6" i="47"/>
  <c r="X55" i="47"/>
  <c r="J192" i="47"/>
  <c r="J193" i="47"/>
  <c r="G105" i="47"/>
  <c r="H105" i="47"/>
  <c r="U9" i="47"/>
  <c r="V58" i="47"/>
  <c r="W96" i="47"/>
  <c r="U223" i="47"/>
  <c r="P24" i="47"/>
  <c r="Q73" i="47"/>
  <c r="R102" i="47"/>
  <c r="P226" i="47"/>
  <c r="I193" i="47"/>
  <c r="S96" i="47"/>
  <c r="Q223" i="47"/>
  <c r="P11" i="47"/>
  <c r="E47" i="47"/>
  <c r="Q30" i="47"/>
  <c r="Q19" i="47"/>
  <c r="R68" i="47"/>
  <c r="S100" i="47"/>
  <c r="Q225" i="47"/>
  <c r="W10" i="47"/>
  <c r="X59" i="47"/>
  <c r="P26" i="47"/>
  <c r="Q75" i="47"/>
  <c r="Q32" i="47"/>
  <c r="Q21" i="47"/>
  <c r="R70" i="47"/>
  <c r="J179" i="47"/>
  <c r="K179" i="47"/>
  <c r="K180" i="47"/>
  <c r="J197" i="47"/>
  <c r="J172" i="47"/>
  <c r="R94" i="47"/>
  <c r="Q78" i="47"/>
  <c r="Q63" i="47"/>
  <c r="R98" i="47"/>
  <c r="P224" i="47"/>
  <c r="X14" i="47"/>
  <c r="Y63" i="47"/>
  <c r="Z98" i="47"/>
  <c r="X224" i="47"/>
  <c r="T14" i="47"/>
  <c r="U63" i="47"/>
  <c r="V98" i="47"/>
  <c r="T224" i="47"/>
  <c r="Y14" i="47"/>
  <c r="Z63" i="47"/>
  <c r="AA98" i="47"/>
  <c r="Y224" i="47"/>
  <c r="U14" i="47"/>
  <c r="V63" i="47"/>
  <c r="W98" i="47"/>
  <c r="U224" i="47"/>
  <c r="Q14" i="47"/>
  <c r="R63" i="47"/>
  <c r="S98" i="47"/>
  <c r="Q224" i="47"/>
  <c r="V14" i="47"/>
  <c r="W63" i="47"/>
  <c r="X98" i="47"/>
  <c r="V224" i="47"/>
  <c r="R14" i="47"/>
  <c r="S63" i="47"/>
  <c r="T98" i="47"/>
  <c r="R224" i="47"/>
  <c r="W14" i="47"/>
  <c r="X63" i="47"/>
  <c r="Y98" i="47"/>
  <c r="W224" i="47"/>
  <c r="S14" i="47"/>
  <c r="T63" i="47"/>
  <c r="U98" i="47"/>
  <c r="S224" i="47"/>
  <c r="K234" i="47"/>
  <c r="I140" i="47"/>
  <c r="I94" i="47"/>
  <c r="Y94" i="47"/>
  <c r="G232" i="47"/>
  <c r="I97" i="47"/>
  <c r="G224" i="47"/>
  <c r="I143" i="47"/>
  <c r="G248" i="47"/>
  <c r="Q65" i="47"/>
  <c r="X16" i="47"/>
  <c r="Y65" i="47"/>
  <c r="T16" i="47"/>
  <c r="U65" i="47"/>
  <c r="Y16" i="47"/>
  <c r="Z65" i="47"/>
  <c r="U16" i="47"/>
  <c r="V65" i="47"/>
  <c r="Q16" i="47"/>
  <c r="R65" i="47"/>
  <c r="W16" i="47"/>
  <c r="X65" i="47"/>
  <c r="S16" i="47"/>
  <c r="T65" i="47"/>
  <c r="V16" i="47"/>
  <c r="W65" i="47"/>
  <c r="R16" i="47"/>
  <c r="S65" i="47"/>
  <c r="AA96" i="47"/>
  <c r="Y223" i="47"/>
  <c r="M94" i="47"/>
  <c r="M140" i="47"/>
  <c r="U94" i="47"/>
  <c r="H233" i="47"/>
  <c r="J99" i="47"/>
  <c r="H225" i="47"/>
  <c r="J145" i="47"/>
  <c r="H249" i="47"/>
  <c r="N99" i="47"/>
  <c r="L225" i="47"/>
  <c r="G43" i="47"/>
  <c r="J198" i="47"/>
  <c r="J140" i="47"/>
  <c r="J94" i="47"/>
  <c r="N94" i="47"/>
  <c r="V94" i="47"/>
  <c r="F231" i="47"/>
  <c r="H95" i="47"/>
  <c r="F223" i="47"/>
  <c r="H141" i="47"/>
  <c r="F247" i="47"/>
  <c r="G145" i="47"/>
  <c r="E249" i="47"/>
  <c r="G99" i="47"/>
  <c r="E225" i="47"/>
  <c r="E233" i="47"/>
  <c r="K145" i="47"/>
  <c r="I249" i="47"/>
  <c r="K99" i="47"/>
  <c r="I225" i="47"/>
  <c r="I233" i="47"/>
  <c r="Q20" i="47"/>
  <c r="R69" i="47"/>
  <c r="Q237" i="47"/>
  <c r="Y96" i="47"/>
  <c r="W223" i="47"/>
  <c r="G140" i="47"/>
  <c r="E45" i="47"/>
  <c r="H145" i="47"/>
  <c r="F249" i="47"/>
  <c r="F233" i="47"/>
  <c r="L145" i="47"/>
  <c r="J249" i="47"/>
  <c r="G338" i="47"/>
  <c r="I105" i="47"/>
  <c r="I190" i="47"/>
  <c r="I152" i="47"/>
  <c r="I198" i="47"/>
  <c r="Y55" i="47"/>
  <c r="Q58" i="47"/>
  <c r="R96" i="47"/>
  <c r="P223" i="47"/>
  <c r="U6" i="47"/>
  <c r="Y6" i="47"/>
  <c r="R9" i="47"/>
  <c r="S58" i="47"/>
  <c r="T96" i="47"/>
  <c r="R223" i="47"/>
  <c r="V9" i="47"/>
  <c r="W58" i="47"/>
  <c r="X96" i="47"/>
  <c r="V223" i="47"/>
  <c r="X10" i="47"/>
  <c r="Y59" i="47"/>
  <c r="R11" i="47"/>
  <c r="S60" i="47"/>
  <c r="V11" i="47"/>
  <c r="W60" i="47"/>
  <c r="U15" i="47"/>
  <c r="V64" i="47"/>
  <c r="Y15" i="47"/>
  <c r="Z64" i="47"/>
  <c r="P19" i="47"/>
  <c r="Q68" i="47"/>
  <c r="R100" i="47"/>
  <c r="P225" i="47"/>
  <c r="P21" i="47"/>
  <c r="Q70" i="47"/>
  <c r="R32" i="47"/>
  <c r="E43" i="47"/>
  <c r="E46" i="47"/>
  <c r="Q60" i="47"/>
  <c r="G94" i="47"/>
  <c r="J225" i="47"/>
  <c r="M101" i="47"/>
  <c r="K226" i="47"/>
  <c r="E44" i="47"/>
  <c r="H143" i="47"/>
  <c r="F248" i="47"/>
  <c r="F232" i="47"/>
  <c r="X15" i="47"/>
  <c r="Y64" i="47"/>
  <c r="T9" i="47"/>
  <c r="U58" i="47"/>
  <c r="V96" i="47"/>
  <c r="T223" i="47"/>
  <c r="X9" i="47"/>
  <c r="Y58" i="47"/>
  <c r="Z96" i="47"/>
  <c r="X223" i="47"/>
  <c r="T11" i="47"/>
  <c r="U60" i="47"/>
  <c r="X11" i="47"/>
  <c r="Y60" i="47"/>
  <c r="W15" i="47"/>
  <c r="X64" i="47"/>
  <c r="F44" i="47"/>
  <c r="V6" i="47"/>
  <c r="S9" i="47"/>
  <c r="T58" i="47"/>
  <c r="U96" i="47"/>
  <c r="S223" i="47"/>
  <c r="U10" i="47"/>
  <c r="V59" i="47"/>
  <c r="Y10" i="47"/>
  <c r="Z59" i="47"/>
  <c r="S11" i="47"/>
  <c r="T60" i="47"/>
  <c r="J232" i="47"/>
  <c r="V15" i="47"/>
  <c r="W64" i="47"/>
  <c r="J224" i="47"/>
  <c r="N101" i="47"/>
  <c r="L226" i="47"/>
  <c r="K155" i="47"/>
  <c r="N145" i="47"/>
  <c r="L249" i="47"/>
  <c r="M147" i="47"/>
  <c r="K250" i="47"/>
  <c r="H297" i="47"/>
  <c r="J174" i="47"/>
  <c r="K174" i="47"/>
  <c r="L174" i="47"/>
  <c r="L172" i="47"/>
  <c r="J180" i="47"/>
  <c r="K192" i="47"/>
  <c r="J152" i="47"/>
  <c r="H339" i="47"/>
  <c r="H299" i="47"/>
  <c r="H340" i="47"/>
  <c r="K197" i="47"/>
  <c r="K198" i="47"/>
  <c r="Q99" i="47"/>
  <c r="O225" i="47"/>
  <c r="G46" i="47"/>
  <c r="R30" i="47"/>
  <c r="N140" i="47"/>
  <c r="Q77" i="47"/>
  <c r="W11" i="47"/>
  <c r="X60" i="47"/>
  <c r="Y11" i="47"/>
  <c r="Z60" i="47"/>
  <c r="U11" i="47"/>
  <c r="V60" i="47"/>
  <c r="Q11" i="47"/>
  <c r="R60" i="47"/>
  <c r="L179" i="47"/>
  <c r="M179" i="47"/>
  <c r="M180" i="47"/>
  <c r="I299" i="47"/>
  <c r="I298" i="47"/>
  <c r="K175" i="47"/>
  <c r="K176" i="47"/>
  <c r="W55" i="47"/>
  <c r="I145" i="47"/>
  <c r="G249" i="47"/>
  <c r="G233" i="47"/>
  <c r="I99" i="47"/>
  <c r="G225" i="47"/>
  <c r="E231" i="47"/>
  <c r="G141" i="47"/>
  <c r="E247" i="47"/>
  <c r="G95" i="47"/>
  <c r="E223" i="47"/>
  <c r="Z55" i="47"/>
  <c r="M143" i="47"/>
  <c r="K248" i="47"/>
  <c r="M97" i="47"/>
  <c r="K224" i="47"/>
  <c r="K232" i="47"/>
  <c r="S30" i="47"/>
  <c r="R19" i="47"/>
  <c r="S68" i="47"/>
  <c r="T100" i="47"/>
  <c r="R225" i="47"/>
  <c r="L222" i="47"/>
  <c r="G47" i="47"/>
  <c r="K230" i="47"/>
  <c r="L234" i="47"/>
  <c r="R104" i="47"/>
  <c r="P222" i="47"/>
  <c r="K172" i="47"/>
  <c r="I297" i="47"/>
  <c r="N143" i="47"/>
  <c r="L248" i="47"/>
  <c r="N97" i="47"/>
  <c r="L224" i="47"/>
  <c r="L232" i="47"/>
  <c r="M99" i="47"/>
  <c r="K225" i="47"/>
  <c r="M145" i="47"/>
  <c r="K249" i="47"/>
  <c r="G147" i="47"/>
  <c r="E250" i="47"/>
  <c r="G101" i="47"/>
  <c r="E226" i="47"/>
  <c r="E234" i="47"/>
  <c r="S32" i="47"/>
  <c r="R21" i="47"/>
  <c r="S70" i="47"/>
  <c r="Q94" i="47"/>
  <c r="Z94" i="47"/>
  <c r="G143" i="47"/>
  <c r="E248" i="47"/>
  <c r="E232" i="47"/>
  <c r="G97" i="47"/>
  <c r="E224" i="47"/>
  <c r="E230" i="47"/>
  <c r="H230" i="47"/>
  <c r="S222" i="47"/>
  <c r="K222" i="47"/>
  <c r="G246" i="47"/>
  <c r="F77" i="47"/>
  <c r="F47" i="47"/>
  <c r="F46" i="47"/>
  <c r="F43" i="47"/>
  <c r="F45" i="47"/>
  <c r="J233" i="47"/>
  <c r="K143" i="47"/>
  <c r="I248" i="47"/>
  <c r="I232" i="47"/>
  <c r="K97" i="47"/>
  <c r="I224" i="47"/>
  <c r="L246" i="47"/>
  <c r="H246" i="47"/>
  <c r="L233" i="47"/>
  <c r="G230" i="47"/>
  <c r="T222" i="47"/>
  <c r="H222" i="47"/>
  <c r="H147" i="47"/>
  <c r="F250" i="47"/>
  <c r="H101" i="47"/>
  <c r="F226" i="47"/>
  <c r="F234" i="47"/>
  <c r="H338" i="47"/>
  <c r="J105" i="47"/>
  <c r="J190" i="47"/>
  <c r="H298" i="47"/>
  <c r="J175" i="47"/>
  <c r="J176" i="47"/>
  <c r="L155" i="47"/>
  <c r="M155" i="47"/>
  <c r="N155" i="47"/>
  <c r="N147" i="47"/>
  <c r="L250" i="47"/>
  <c r="J143" i="47"/>
  <c r="H248" i="47"/>
  <c r="J97" i="47"/>
  <c r="H224" i="47"/>
  <c r="H232" i="47"/>
  <c r="E222" i="47"/>
  <c r="V55" i="47"/>
  <c r="O145" i="47"/>
  <c r="M249" i="47"/>
  <c r="O99" i="47"/>
  <c r="M225" i="47"/>
  <c r="E246" i="47"/>
  <c r="R20" i="47"/>
  <c r="S69" i="47"/>
  <c r="P143" i="47"/>
  <c r="N248" i="47"/>
  <c r="N232" i="47"/>
  <c r="P97" i="47"/>
  <c r="N224" i="47"/>
  <c r="G45" i="47"/>
  <c r="G44" i="47"/>
  <c r="K246" i="47"/>
  <c r="O143" i="47"/>
  <c r="M248" i="47"/>
  <c r="M232" i="47"/>
  <c r="O97" i="47"/>
  <c r="M224" i="47"/>
  <c r="W222" i="47"/>
  <c r="G222" i="47"/>
  <c r="Q79" i="47"/>
  <c r="O46" i="47"/>
  <c r="N192" i="47"/>
  <c r="L339" i="47"/>
  <c r="L298" i="47"/>
  <c r="N129" i="47"/>
  <c r="L192" i="47"/>
  <c r="L193" i="47"/>
  <c r="D168" i="44"/>
  <c r="J129" i="47"/>
  <c r="I340" i="47"/>
  <c r="K129" i="47"/>
  <c r="N179" i="47"/>
  <c r="O179" i="47"/>
  <c r="L180" i="47"/>
  <c r="M193" i="47"/>
  <c r="I339" i="47"/>
  <c r="K193" i="47"/>
  <c r="K152" i="47"/>
  <c r="L197" i="47"/>
  <c r="M197" i="47"/>
  <c r="R237" i="47"/>
  <c r="Q95" i="47"/>
  <c r="O223" i="47"/>
  <c r="O44" i="47"/>
  <c r="G151" i="47"/>
  <c r="G104" i="47"/>
  <c r="G106" i="47"/>
  <c r="B43" i="25"/>
  <c r="O45" i="47"/>
  <c r="O43" i="47"/>
  <c r="O47" i="47"/>
  <c r="G153" i="47"/>
  <c r="F83" i="47"/>
  <c r="L140" i="47"/>
  <c r="G77" i="47"/>
  <c r="H140" i="47"/>
  <c r="H94" i="47"/>
  <c r="H47" i="47"/>
  <c r="X222" i="47"/>
  <c r="T32" i="47"/>
  <c r="S21" i="47"/>
  <c r="T70" i="47"/>
  <c r="P140" i="47"/>
  <c r="P94" i="47"/>
  <c r="P45" i="47"/>
  <c r="V13" i="47"/>
  <c r="W13" i="47"/>
  <c r="Y13" i="47"/>
  <c r="U13" i="47"/>
  <c r="X13" i="47"/>
  <c r="K190" i="47"/>
  <c r="I338" i="47"/>
  <c r="K105" i="47"/>
  <c r="T94" i="47"/>
  <c r="G130" i="47"/>
  <c r="B64" i="25"/>
  <c r="F82" i="47"/>
  <c r="S94" i="47"/>
  <c r="S19" i="47"/>
  <c r="T68" i="47"/>
  <c r="T30" i="47"/>
  <c r="P47" i="47"/>
  <c r="L175" i="47"/>
  <c r="L176" i="47"/>
  <c r="M233" i="47"/>
  <c r="W94" i="47"/>
  <c r="K140" i="47"/>
  <c r="K94" i="47"/>
  <c r="H44" i="47"/>
  <c r="H45" i="47"/>
  <c r="H43" i="47"/>
  <c r="H46" i="47"/>
  <c r="K233" i="47"/>
  <c r="O140" i="47"/>
  <c r="O94" i="47"/>
  <c r="P46" i="47"/>
  <c r="F81" i="47"/>
  <c r="M172" i="47"/>
  <c r="O233" i="47"/>
  <c r="O222" i="47"/>
  <c r="Q81" i="47"/>
  <c r="X94" i="47"/>
  <c r="S20" i="47"/>
  <c r="T69" i="47"/>
  <c r="S237" i="47"/>
  <c r="O230" i="47"/>
  <c r="Q147" i="47"/>
  <c r="O250" i="47"/>
  <c r="Q101" i="47"/>
  <c r="O226" i="47"/>
  <c r="AA94" i="47"/>
  <c r="N180" i="47"/>
  <c r="I141" i="47"/>
  <c r="I95" i="47"/>
  <c r="H77" i="47"/>
  <c r="O232" i="47"/>
  <c r="Q143" i="47"/>
  <c r="O248" i="47"/>
  <c r="Q97" i="47"/>
  <c r="O224" i="47"/>
  <c r="O155" i="47"/>
  <c r="L230" i="47"/>
  <c r="P145" i="47"/>
  <c r="N249" i="47"/>
  <c r="P99" i="47"/>
  <c r="N225" i="47"/>
  <c r="I147" i="47"/>
  <c r="G250" i="47"/>
  <c r="G234" i="47"/>
  <c r="I101" i="47"/>
  <c r="G226" i="47"/>
  <c r="P44" i="47"/>
  <c r="Y8" i="47"/>
  <c r="U8" i="47"/>
  <c r="V8" i="47"/>
  <c r="W8" i="47"/>
  <c r="X8" i="47"/>
  <c r="P43" i="47"/>
  <c r="L152" i="47"/>
  <c r="Q145" i="47"/>
  <c r="O249" i="47"/>
  <c r="Q140" i="47"/>
  <c r="N193" i="47"/>
  <c r="O192" i="47"/>
  <c r="M339" i="47"/>
  <c r="L198" i="47"/>
  <c r="P77" i="47"/>
  <c r="Q141" i="47"/>
  <c r="O247" i="47"/>
  <c r="W57" i="47"/>
  <c r="U222" i="47"/>
  <c r="M175" i="47"/>
  <c r="M176" i="47"/>
  <c r="F222" i="47"/>
  <c r="H104" i="47"/>
  <c r="Y222" i="47"/>
  <c r="I44" i="47"/>
  <c r="I43" i="47"/>
  <c r="I45" i="47"/>
  <c r="I46" i="47"/>
  <c r="I230" i="47"/>
  <c r="R143" i="47"/>
  <c r="R97" i="47"/>
  <c r="W62" i="47"/>
  <c r="F230" i="47"/>
  <c r="Y57" i="47"/>
  <c r="R141" i="47"/>
  <c r="R95" i="47"/>
  <c r="G223" i="47"/>
  <c r="I104" i="47"/>
  <c r="O234" i="47"/>
  <c r="I47" i="47"/>
  <c r="R145" i="47"/>
  <c r="R99" i="47"/>
  <c r="M246" i="47"/>
  <c r="R147" i="47"/>
  <c r="R101" i="47"/>
  <c r="Q222" i="47"/>
  <c r="R222" i="47"/>
  <c r="V62" i="47"/>
  <c r="X62" i="47"/>
  <c r="N222" i="47"/>
  <c r="F246" i="47"/>
  <c r="H151" i="47"/>
  <c r="J246" i="47"/>
  <c r="Q104" i="47"/>
  <c r="G231" i="47"/>
  <c r="U31" i="47"/>
  <c r="T20" i="47"/>
  <c r="R118" i="47"/>
  <c r="P231" i="47"/>
  <c r="R122" i="47"/>
  <c r="R124" i="47"/>
  <c r="R120" i="47"/>
  <c r="P232" i="47"/>
  <c r="I222" i="47"/>
  <c r="N230" i="47"/>
  <c r="J222" i="47"/>
  <c r="Q151" i="47"/>
  <c r="O246" i="47"/>
  <c r="Z57" i="47"/>
  <c r="P155" i="47"/>
  <c r="R140" i="47"/>
  <c r="R148" i="47"/>
  <c r="P250" i="47"/>
  <c r="R144" i="47"/>
  <c r="P248" i="47"/>
  <c r="R142" i="47"/>
  <c r="P247" i="47"/>
  <c r="R146" i="47"/>
  <c r="P249" i="47"/>
  <c r="O180" i="47"/>
  <c r="P179" i="47"/>
  <c r="M198" i="47"/>
  <c r="N197" i="47"/>
  <c r="M152" i="47"/>
  <c r="M222" i="47"/>
  <c r="J141" i="47"/>
  <c r="J95" i="47"/>
  <c r="I77" i="47"/>
  <c r="U100" i="47"/>
  <c r="L190" i="47"/>
  <c r="J147" i="47"/>
  <c r="H250" i="47"/>
  <c r="H234" i="47"/>
  <c r="J101" i="47"/>
  <c r="H226" i="47"/>
  <c r="J230" i="47"/>
  <c r="X57" i="47"/>
  <c r="V57" i="47"/>
  <c r="N233" i="47"/>
  <c r="G247" i="47"/>
  <c r="I151" i="47"/>
  <c r="V222" i="47"/>
  <c r="N172" i="47"/>
  <c r="M230" i="47"/>
  <c r="I246" i="47"/>
  <c r="U30" i="47"/>
  <c r="T19" i="47"/>
  <c r="Y62" i="47"/>
  <c r="Z62" i="47"/>
  <c r="N246" i="47"/>
  <c r="U32" i="47"/>
  <c r="T21" i="47"/>
  <c r="M298" i="47"/>
  <c r="O129" i="47"/>
  <c r="E168" i="44"/>
  <c r="P192" i="47"/>
  <c r="O193" i="47"/>
  <c r="I64" i="25"/>
  <c r="D167" i="44"/>
  <c r="O231" i="47"/>
  <c r="S225" i="47"/>
  <c r="H231" i="47"/>
  <c r="S25" i="47"/>
  <c r="T74" i="47"/>
  <c r="S238" i="47"/>
  <c r="S24" i="47"/>
  <c r="T73" i="47"/>
  <c r="S26" i="47"/>
  <c r="T75" i="47"/>
  <c r="U97" i="47"/>
  <c r="P234" i="47"/>
  <c r="I130" i="47"/>
  <c r="D64" i="25"/>
  <c r="H82" i="47"/>
  <c r="X97" i="47"/>
  <c r="V95" i="47"/>
  <c r="I153" i="47"/>
  <c r="H83" i="47"/>
  <c r="S143" i="47"/>
  <c r="S97" i="47"/>
  <c r="I106" i="47"/>
  <c r="D43" i="25"/>
  <c r="H81" i="47"/>
  <c r="S141" i="47"/>
  <c r="S95" i="47"/>
  <c r="U70" i="47"/>
  <c r="Y21" i="47"/>
  <c r="Z70" i="47"/>
  <c r="U21" i="47"/>
  <c r="V70" i="47"/>
  <c r="V21" i="47"/>
  <c r="W70" i="47"/>
  <c r="X21" i="47"/>
  <c r="Y70" i="47"/>
  <c r="W21" i="47"/>
  <c r="X70" i="47"/>
  <c r="AA97" i="47"/>
  <c r="O172" i="47"/>
  <c r="W95" i="47"/>
  <c r="Y95" i="47"/>
  <c r="H223" i="47"/>
  <c r="J104" i="47"/>
  <c r="U95" i="47"/>
  <c r="P83" i="47"/>
  <c r="P233" i="47"/>
  <c r="P81" i="47"/>
  <c r="V97" i="47"/>
  <c r="T95" i="47"/>
  <c r="T97" i="47"/>
  <c r="U68" i="47"/>
  <c r="Y19" i="47"/>
  <c r="Z68" i="47"/>
  <c r="U19" i="47"/>
  <c r="V68" i="47"/>
  <c r="V19" i="47"/>
  <c r="W68" i="47"/>
  <c r="X19" i="47"/>
  <c r="Y68" i="47"/>
  <c r="W19" i="47"/>
  <c r="X68" i="47"/>
  <c r="J47" i="47"/>
  <c r="N198" i="47"/>
  <c r="O197" i="47"/>
  <c r="N152" i="47"/>
  <c r="Q155" i="47"/>
  <c r="T143" i="47"/>
  <c r="S146" i="47"/>
  <c r="Q249" i="47"/>
  <c r="S142" i="47"/>
  <c r="Q247" i="47"/>
  <c r="S144" i="47"/>
  <c r="Q248" i="47"/>
  <c r="S140" i="47"/>
  <c r="AA95" i="47"/>
  <c r="S118" i="47"/>
  <c r="Q231" i="47"/>
  <c r="S120" i="47"/>
  <c r="Q232" i="47"/>
  <c r="S122" i="47"/>
  <c r="H130" i="47"/>
  <c r="C64" i="25"/>
  <c r="G82" i="47"/>
  <c r="H106" i="47"/>
  <c r="C43" i="25"/>
  <c r="G81" i="47"/>
  <c r="V32" i="47"/>
  <c r="H247" i="47"/>
  <c r="J151" i="47"/>
  <c r="P180" i="47"/>
  <c r="Q179" i="47"/>
  <c r="R151" i="47"/>
  <c r="P246" i="47"/>
  <c r="V31" i="47"/>
  <c r="W97" i="47"/>
  <c r="K101" i="47"/>
  <c r="I226" i="47"/>
  <c r="I234" i="47"/>
  <c r="K147" i="47"/>
  <c r="I250" i="47"/>
  <c r="Z95" i="47"/>
  <c r="N175" i="47"/>
  <c r="N176" i="47"/>
  <c r="X95" i="47"/>
  <c r="Z97" i="47"/>
  <c r="V30" i="47"/>
  <c r="J44" i="47"/>
  <c r="J43" i="47"/>
  <c r="J46" i="47"/>
  <c r="J45" i="47"/>
  <c r="M190" i="47"/>
  <c r="P230" i="47"/>
  <c r="W20" i="47"/>
  <c r="X69" i="47"/>
  <c r="X20" i="47"/>
  <c r="Y69" i="47"/>
  <c r="Y20" i="47"/>
  <c r="Z69" i="47"/>
  <c r="U69" i="47"/>
  <c r="T237" i="47"/>
  <c r="V20" i="47"/>
  <c r="W69" i="47"/>
  <c r="U20" i="47"/>
  <c r="V69" i="47"/>
  <c r="H153" i="47"/>
  <c r="G83" i="47"/>
  <c r="Y97" i="47"/>
  <c r="K141" i="47"/>
  <c r="K95" i="47"/>
  <c r="J77" i="47"/>
  <c r="S145" i="47"/>
  <c r="S99" i="47"/>
  <c r="N339" i="47"/>
  <c r="P193" i="47"/>
  <c r="Q192" i="47"/>
  <c r="J64" i="25"/>
  <c r="E167" i="44"/>
  <c r="P82" i="47"/>
  <c r="R25" i="47"/>
  <c r="S74" i="47"/>
  <c r="R238" i="47"/>
  <c r="R26" i="47"/>
  <c r="S75" i="47"/>
  <c r="R24" i="47"/>
  <c r="S73" i="47"/>
  <c r="I231" i="47"/>
  <c r="L141" i="47"/>
  <c r="O198" i="47"/>
  <c r="P197" i="47"/>
  <c r="O152" i="47"/>
  <c r="W100" i="47"/>
  <c r="K44" i="47"/>
  <c r="K45" i="47"/>
  <c r="K46" i="47"/>
  <c r="K43" i="47"/>
  <c r="I247" i="47"/>
  <c r="K151" i="47"/>
  <c r="X100" i="47"/>
  <c r="P172" i="47"/>
  <c r="T79" i="47"/>
  <c r="Q26" i="47"/>
  <c r="R75" i="47"/>
  <c r="Q25" i="47"/>
  <c r="R74" i="47"/>
  <c r="Q238" i="47"/>
  <c r="Q24" i="47"/>
  <c r="R73" i="47"/>
  <c r="Q82" i="47"/>
  <c r="U29" i="47"/>
  <c r="Q83" i="47"/>
  <c r="W32" i="47"/>
  <c r="Y100" i="47"/>
  <c r="AA100" i="47"/>
  <c r="J106" i="47"/>
  <c r="I81" i="47"/>
  <c r="T78" i="47"/>
  <c r="S47" i="47"/>
  <c r="U102" i="47"/>
  <c r="T77" i="47"/>
  <c r="N190" i="47"/>
  <c r="W30" i="47"/>
  <c r="Q233" i="47"/>
  <c r="L147" i="47"/>
  <c r="J250" i="47"/>
  <c r="J226" i="47"/>
  <c r="T145" i="47"/>
  <c r="T99" i="47"/>
  <c r="I223" i="47"/>
  <c r="K104" i="47"/>
  <c r="O175" i="47"/>
  <c r="O176" i="47"/>
  <c r="N298" i="47"/>
  <c r="S46" i="47"/>
  <c r="S45" i="47"/>
  <c r="S43" i="47"/>
  <c r="S44" i="47"/>
  <c r="W31" i="47"/>
  <c r="Q180" i="47"/>
  <c r="R179" i="47"/>
  <c r="J153" i="47"/>
  <c r="I83" i="47"/>
  <c r="Q230" i="47"/>
  <c r="U124" i="47"/>
  <c r="T118" i="47"/>
  <c r="R231" i="47"/>
  <c r="T120" i="47"/>
  <c r="R232" i="47"/>
  <c r="T122" i="47"/>
  <c r="Q246" i="47"/>
  <c r="R155" i="47"/>
  <c r="T142" i="47"/>
  <c r="R247" i="47"/>
  <c r="T144" i="47"/>
  <c r="R248" i="47"/>
  <c r="T140" i="47"/>
  <c r="T146" i="47"/>
  <c r="R249" i="47"/>
  <c r="Z100" i="47"/>
  <c r="V100" i="47"/>
  <c r="J130" i="47"/>
  <c r="I82" i="47"/>
  <c r="T141" i="47"/>
  <c r="K47" i="47"/>
  <c r="P129" i="47"/>
  <c r="F168" i="44"/>
  <c r="O339" i="47"/>
  <c r="R192" i="47"/>
  <c r="Q193" i="47"/>
  <c r="K64" i="25"/>
  <c r="F167" i="44"/>
  <c r="P240" i="47"/>
  <c r="P239" i="47"/>
  <c r="E64" i="25"/>
  <c r="E43" i="25"/>
  <c r="T225" i="47"/>
  <c r="L44" i="47"/>
  <c r="L45" i="47"/>
  <c r="L46" i="47"/>
  <c r="L47" i="47"/>
  <c r="L43" i="47"/>
  <c r="W225" i="47"/>
  <c r="Q47" i="47"/>
  <c r="Q45" i="47"/>
  <c r="Q44" i="47"/>
  <c r="Q46" i="47"/>
  <c r="Q43" i="47"/>
  <c r="Q172" i="47"/>
  <c r="K153" i="47"/>
  <c r="J83" i="47"/>
  <c r="U225" i="47"/>
  <c r="J247" i="47"/>
  <c r="L151" i="47"/>
  <c r="T148" i="47"/>
  <c r="R250" i="47"/>
  <c r="S79" i="47"/>
  <c r="S155" i="47"/>
  <c r="U140" i="47"/>
  <c r="U142" i="47"/>
  <c r="S247" i="47"/>
  <c r="U144" i="47"/>
  <c r="S248" i="47"/>
  <c r="U146" i="47"/>
  <c r="S249" i="47"/>
  <c r="U143" i="47"/>
  <c r="U141" i="47"/>
  <c r="S148" i="47"/>
  <c r="R79" i="47"/>
  <c r="T102" i="47"/>
  <c r="S77" i="47"/>
  <c r="U145" i="47"/>
  <c r="U99" i="47"/>
  <c r="O190" i="47"/>
  <c r="U147" i="47"/>
  <c r="U101" i="47"/>
  <c r="V29" i="47"/>
  <c r="U36" i="47"/>
  <c r="U37" i="47"/>
  <c r="S102" i="47"/>
  <c r="R77" i="47"/>
  <c r="V225" i="47"/>
  <c r="T124" i="47"/>
  <c r="S78" i="47"/>
  <c r="U148" i="47"/>
  <c r="S250" i="47"/>
  <c r="R246" i="47"/>
  <c r="X31" i="47"/>
  <c r="S234" i="47"/>
  <c r="K130" i="47"/>
  <c r="J82" i="47"/>
  <c r="R230" i="47"/>
  <c r="R180" i="47"/>
  <c r="S179" i="47"/>
  <c r="X30" i="47"/>
  <c r="W18" i="47"/>
  <c r="X18" i="47"/>
  <c r="U18" i="47"/>
  <c r="V18" i="47"/>
  <c r="Y18" i="47"/>
  <c r="J223" i="47"/>
  <c r="X225" i="47"/>
  <c r="R233" i="47"/>
  <c r="U118" i="47"/>
  <c r="S231" i="47"/>
  <c r="U120" i="47"/>
  <c r="S232" i="47"/>
  <c r="U122" i="47"/>
  <c r="P175" i="47"/>
  <c r="P176" i="47"/>
  <c r="O298" i="47"/>
  <c r="K106" i="47"/>
  <c r="J81" i="47"/>
  <c r="S226" i="47"/>
  <c r="U104" i="47"/>
  <c r="Y225" i="47"/>
  <c r="X32" i="47"/>
  <c r="S124" i="47"/>
  <c r="R78" i="47"/>
  <c r="M141" i="47"/>
  <c r="M95" i="47"/>
  <c r="L77" i="47"/>
  <c r="P198" i="47"/>
  <c r="Q197" i="47"/>
  <c r="P152" i="47"/>
  <c r="J231" i="47"/>
  <c r="R47" i="47"/>
  <c r="R45" i="47"/>
  <c r="R44" i="47"/>
  <c r="R43" i="47"/>
  <c r="R46" i="47"/>
  <c r="Q129" i="47"/>
  <c r="Q130" i="47"/>
  <c r="G168" i="44"/>
  <c r="P339" i="47"/>
  <c r="R193" i="47"/>
  <c r="S192" i="47"/>
  <c r="L64" i="25"/>
  <c r="G167" i="44"/>
  <c r="T151" i="47"/>
  <c r="S83" i="47"/>
  <c r="F64" i="25"/>
  <c r="F43" i="25"/>
  <c r="Q175" i="47"/>
  <c r="Q176" i="47"/>
  <c r="P298" i="47"/>
  <c r="S230" i="47"/>
  <c r="Y67" i="47"/>
  <c r="S180" i="47"/>
  <c r="T179" i="47"/>
  <c r="R226" i="47"/>
  <c r="T104" i="47"/>
  <c r="L153" i="47"/>
  <c r="K83" i="47"/>
  <c r="T147" i="47"/>
  <c r="T101" i="47"/>
  <c r="K231" i="47"/>
  <c r="L106" i="47"/>
  <c r="M47" i="47"/>
  <c r="T26" i="47"/>
  <c r="U75" i="47"/>
  <c r="T24" i="47"/>
  <c r="U73" i="47"/>
  <c r="K247" i="47"/>
  <c r="M151" i="47"/>
  <c r="Y32" i="47"/>
  <c r="V145" i="47"/>
  <c r="V99" i="47"/>
  <c r="X67" i="47"/>
  <c r="M44" i="47"/>
  <c r="M43" i="47"/>
  <c r="M46" i="47"/>
  <c r="M45" i="47"/>
  <c r="R234" i="47"/>
  <c r="Q226" i="47"/>
  <c r="S104" i="47"/>
  <c r="T155" i="47"/>
  <c r="V140" i="47"/>
  <c r="V144" i="47"/>
  <c r="T248" i="47"/>
  <c r="V142" i="47"/>
  <c r="T247" i="47"/>
  <c r="V143" i="47"/>
  <c r="V141" i="47"/>
  <c r="V146" i="47"/>
  <c r="T249" i="47"/>
  <c r="J236" i="47"/>
  <c r="L130" i="47"/>
  <c r="K223" i="47"/>
  <c r="M104" i="47"/>
  <c r="T81" i="47"/>
  <c r="Z67" i="47"/>
  <c r="W29" i="47"/>
  <c r="V36" i="47"/>
  <c r="V37" i="47"/>
  <c r="U151" i="47"/>
  <c r="S246" i="47"/>
  <c r="Q198" i="47"/>
  <c r="R197" i="47"/>
  <c r="Q152" i="47"/>
  <c r="Q153" i="47"/>
  <c r="Q234" i="47"/>
  <c r="U38" i="47"/>
  <c r="U39" i="47"/>
  <c r="V67" i="47"/>
  <c r="Y31" i="47"/>
  <c r="S101" i="47"/>
  <c r="S147" i="47"/>
  <c r="N141" i="47"/>
  <c r="N95" i="47"/>
  <c r="M77" i="47"/>
  <c r="S233" i="47"/>
  <c r="T132" i="47"/>
  <c r="V118" i="47"/>
  <c r="T231" i="47"/>
  <c r="V120" i="47"/>
  <c r="T232" i="47"/>
  <c r="V122" i="47"/>
  <c r="W67" i="47"/>
  <c r="V38" i="47"/>
  <c r="Y30" i="47"/>
  <c r="P190" i="47"/>
  <c r="Q250" i="47"/>
  <c r="S151" i="47"/>
  <c r="R172" i="47"/>
  <c r="R129" i="47"/>
  <c r="H168" i="44"/>
  <c r="Q339" i="47"/>
  <c r="T192" i="47"/>
  <c r="S193" i="47"/>
  <c r="G43" i="25"/>
  <c r="G64" i="25"/>
  <c r="G57" i="44"/>
  <c r="B169" i="44"/>
  <c r="B160" i="44"/>
  <c r="C57" i="44"/>
  <c r="J239" i="47"/>
  <c r="J240" i="47"/>
  <c r="M64" i="25"/>
  <c r="H167" i="44"/>
  <c r="S82" i="47"/>
  <c r="U24" i="47"/>
  <c r="V73" i="47"/>
  <c r="U26" i="47"/>
  <c r="V75" i="47"/>
  <c r="U25" i="47"/>
  <c r="V74" i="47"/>
  <c r="U23" i="47"/>
  <c r="R83" i="47"/>
  <c r="L247" i="47"/>
  <c r="N151" i="47"/>
  <c r="T83" i="47"/>
  <c r="X29" i="47"/>
  <c r="W36" i="47"/>
  <c r="W37" i="47"/>
  <c r="V102" i="47"/>
  <c r="U77" i="47"/>
  <c r="U132" i="47"/>
  <c r="W120" i="47"/>
  <c r="U232" i="47"/>
  <c r="W118" i="47"/>
  <c r="U231" i="47"/>
  <c r="W116" i="47"/>
  <c r="W117" i="47"/>
  <c r="W119" i="47"/>
  <c r="W122" i="47"/>
  <c r="U233" i="47"/>
  <c r="L223" i="47"/>
  <c r="N104" i="47"/>
  <c r="W145" i="47"/>
  <c r="W99" i="47"/>
  <c r="W121" i="47"/>
  <c r="O147" i="47"/>
  <c r="M250" i="47"/>
  <c r="O101" i="47"/>
  <c r="M226" i="47"/>
  <c r="T82" i="47"/>
  <c r="T230" i="47"/>
  <c r="N44" i="47"/>
  <c r="N45" i="47"/>
  <c r="N43" i="47"/>
  <c r="N46" i="47"/>
  <c r="T246" i="47"/>
  <c r="Y99" i="47"/>
  <c r="T47" i="47"/>
  <c r="T46" i="47"/>
  <c r="T45" i="47"/>
  <c r="T43" i="47"/>
  <c r="T44" i="47"/>
  <c r="M130" i="47"/>
  <c r="L82" i="47"/>
  <c r="W38" i="47"/>
  <c r="V39" i="47"/>
  <c r="S172" i="47"/>
  <c r="X99" i="47"/>
  <c r="R198" i="47"/>
  <c r="S197" i="47"/>
  <c r="R152" i="47"/>
  <c r="R153" i="47"/>
  <c r="AA99" i="47"/>
  <c r="R81" i="47"/>
  <c r="O95" i="47"/>
  <c r="O141" i="47"/>
  <c r="N77" i="47"/>
  <c r="M153" i="47"/>
  <c r="L83" i="47"/>
  <c r="R239" i="47"/>
  <c r="Q190" i="47"/>
  <c r="Q106" i="47"/>
  <c r="R82" i="47"/>
  <c r="M106" i="47"/>
  <c r="L81" i="47"/>
  <c r="U155" i="47"/>
  <c r="X145" i="47"/>
  <c r="W142" i="47"/>
  <c r="U247" i="47"/>
  <c r="W144" i="47"/>
  <c r="U248" i="47"/>
  <c r="W140" i="47"/>
  <c r="W141" i="47"/>
  <c r="W143" i="47"/>
  <c r="W146" i="47"/>
  <c r="U249" i="47"/>
  <c r="V124" i="47"/>
  <c r="U78" i="47"/>
  <c r="T233" i="47"/>
  <c r="L231" i="47"/>
  <c r="N47" i="47"/>
  <c r="V148" i="47"/>
  <c r="T250" i="47"/>
  <c r="U79" i="47"/>
  <c r="S81" i="47"/>
  <c r="T180" i="47"/>
  <c r="U179" i="47"/>
  <c r="Z99" i="47"/>
  <c r="R175" i="47"/>
  <c r="R176" i="47"/>
  <c r="R130" i="47"/>
  <c r="Q298" i="47"/>
  <c r="T193" i="47"/>
  <c r="R339" i="47"/>
  <c r="U192" i="47"/>
  <c r="S129" i="47"/>
  <c r="I168" i="44"/>
  <c r="N64" i="25"/>
  <c r="I167" i="44"/>
  <c r="Q239" i="47"/>
  <c r="Q240" i="47"/>
  <c r="R240" i="47"/>
  <c r="W39" i="47"/>
  <c r="S240" i="47"/>
  <c r="S239" i="47"/>
  <c r="U246" i="47"/>
  <c r="V132" i="47"/>
  <c r="X118" i="47"/>
  <c r="V231" i="47"/>
  <c r="X120" i="47"/>
  <c r="V232" i="47"/>
  <c r="X116" i="47"/>
  <c r="X119" i="47"/>
  <c r="X117" i="47"/>
  <c r="X122" i="47"/>
  <c r="V233" i="47"/>
  <c r="W102" i="47"/>
  <c r="V77" i="47"/>
  <c r="W148" i="47"/>
  <c r="U250" i="47"/>
  <c r="V79" i="47"/>
  <c r="S175" i="47"/>
  <c r="S176" i="47"/>
  <c r="S130" i="47"/>
  <c r="R298" i="47"/>
  <c r="P147" i="47"/>
  <c r="N250" i="47"/>
  <c r="P101" i="47"/>
  <c r="N226" i="47"/>
  <c r="R190" i="47"/>
  <c r="R106" i="47"/>
  <c r="M247" i="47"/>
  <c r="O151" i="47"/>
  <c r="V24" i="47"/>
  <c r="W73" i="47"/>
  <c r="V26" i="47"/>
  <c r="W75" i="47"/>
  <c r="V25" i="47"/>
  <c r="W74" i="47"/>
  <c r="V23" i="47"/>
  <c r="V147" i="47"/>
  <c r="V101" i="47"/>
  <c r="M234" i="47"/>
  <c r="T226" i="47"/>
  <c r="V104" i="47"/>
  <c r="Y29" i="47"/>
  <c r="X36" i="47"/>
  <c r="X37" i="47"/>
  <c r="X38" i="47"/>
  <c r="W124" i="47"/>
  <c r="U234" i="47"/>
  <c r="V78" i="47"/>
  <c r="X121" i="47"/>
  <c r="V151" i="47"/>
  <c r="AB124" i="47"/>
  <c r="T234" i="47"/>
  <c r="M231" i="47"/>
  <c r="N106" i="47"/>
  <c r="M81" i="47"/>
  <c r="W25" i="47"/>
  <c r="X74" i="47"/>
  <c r="W24" i="47"/>
  <c r="X73" i="47"/>
  <c r="W26" i="47"/>
  <c r="X75" i="47"/>
  <c r="M82" i="47"/>
  <c r="N130" i="47"/>
  <c r="V155" i="47"/>
  <c r="X142" i="47"/>
  <c r="V247" i="47"/>
  <c r="X144" i="47"/>
  <c r="V248" i="47"/>
  <c r="X140" i="47"/>
  <c r="X143" i="47"/>
  <c r="X141" i="47"/>
  <c r="X146" i="47"/>
  <c r="V249" i="47"/>
  <c r="M223" i="47"/>
  <c r="O104" i="47"/>
  <c r="S198" i="47"/>
  <c r="T197" i="47"/>
  <c r="S152" i="47"/>
  <c r="S153" i="47"/>
  <c r="P95" i="47"/>
  <c r="P141" i="47"/>
  <c r="O77" i="47"/>
  <c r="V179" i="47"/>
  <c r="U180" i="47"/>
  <c r="T172" i="47"/>
  <c r="U230" i="47"/>
  <c r="N153" i="47"/>
  <c r="M83" i="47"/>
  <c r="V72" i="47"/>
  <c r="U47" i="47"/>
  <c r="U44" i="47"/>
  <c r="U43" i="47"/>
  <c r="U46" i="47"/>
  <c r="U45" i="47"/>
  <c r="W23" i="47"/>
  <c r="T129" i="47"/>
  <c r="T130" i="47"/>
  <c r="J168" i="44"/>
  <c r="S339" i="47"/>
  <c r="U193" i="47"/>
  <c r="V192" i="47"/>
  <c r="O64" i="25"/>
  <c r="J167" i="44"/>
  <c r="T240" i="47"/>
  <c r="T239" i="47"/>
  <c r="W147" i="47"/>
  <c r="W101" i="47"/>
  <c r="W123" i="47"/>
  <c r="W128" i="47"/>
  <c r="N231" i="47"/>
  <c r="U81" i="47"/>
  <c r="X124" i="47"/>
  <c r="V234" i="47"/>
  <c r="W78" i="47"/>
  <c r="N234" i="47"/>
  <c r="V180" i="47"/>
  <c r="N223" i="47"/>
  <c r="P104" i="47"/>
  <c r="Y124" i="47"/>
  <c r="W234" i="47"/>
  <c r="X78" i="47"/>
  <c r="U83" i="47"/>
  <c r="Y37" i="47"/>
  <c r="Y36" i="47"/>
  <c r="Y38" i="47"/>
  <c r="Y39" i="47"/>
  <c r="W72" i="47"/>
  <c r="V47" i="47"/>
  <c r="V43" i="47"/>
  <c r="V46" i="47"/>
  <c r="V44" i="47"/>
  <c r="V45" i="47"/>
  <c r="O153" i="47"/>
  <c r="N83" i="47"/>
  <c r="T175" i="47"/>
  <c r="T176" i="47"/>
  <c r="S298" i="47"/>
  <c r="W47" i="47"/>
  <c r="X72" i="47"/>
  <c r="W46" i="47"/>
  <c r="W43" i="47"/>
  <c r="W44" i="47"/>
  <c r="W45" i="47"/>
  <c r="N247" i="47"/>
  <c r="P151" i="47"/>
  <c r="T198" i="47"/>
  <c r="U197" i="47"/>
  <c r="T152" i="47"/>
  <c r="T153" i="47"/>
  <c r="V246" i="47"/>
  <c r="Y102" i="47"/>
  <c r="X77" i="47"/>
  <c r="O130" i="47"/>
  <c r="N82" i="47"/>
  <c r="U82" i="47"/>
  <c r="X102" i="47"/>
  <c r="W77" i="47"/>
  <c r="S190" i="47"/>
  <c r="S106" i="47"/>
  <c r="U226" i="47"/>
  <c r="W104" i="47"/>
  <c r="V230" i="47"/>
  <c r="U172" i="47"/>
  <c r="O106" i="47"/>
  <c r="N81" i="47"/>
  <c r="W155" i="47"/>
  <c r="Y142" i="47"/>
  <c r="W247" i="47"/>
  <c r="Y140" i="47"/>
  <c r="Y144" i="47"/>
  <c r="W248" i="47"/>
  <c r="Y141" i="47"/>
  <c r="Y143" i="47"/>
  <c r="Y146" i="47"/>
  <c r="W249" i="47"/>
  <c r="Y145" i="47"/>
  <c r="Y148" i="47"/>
  <c r="W250" i="47"/>
  <c r="X79" i="47"/>
  <c r="X148" i="47"/>
  <c r="V250" i="47"/>
  <c r="W79" i="47"/>
  <c r="W132" i="47"/>
  <c r="Y116" i="47"/>
  <c r="Y118" i="47"/>
  <c r="W231" i="47"/>
  <c r="Y120" i="47"/>
  <c r="W232" i="47"/>
  <c r="Y117" i="47"/>
  <c r="Y119" i="47"/>
  <c r="Y122" i="47"/>
  <c r="W233" i="47"/>
  <c r="Y121" i="47"/>
  <c r="W151" i="47"/>
  <c r="X39" i="47"/>
  <c r="U129" i="47"/>
  <c r="U130" i="47"/>
  <c r="K168" i="44"/>
  <c r="V193" i="47"/>
  <c r="T339" i="47"/>
  <c r="P64" i="25"/>
  <c r="K167" i="44"/>
  <c r="X25" i="47"/>
  <c r="Y74" i="47"/>
  <c r="X24" i="47"/>
  <c r="Y73" i="47"/>
  <c r="X26" i="47"/>
  <c r="Y75" i="47"/>
  <c r="X23" i="47"/>
  <c r="V226" i="47"/>
  <c r="X104" i="47"/>
  <c r="W226" i="47"/>
  <c r="Y104" i="47"/>
  <c r="U198" i="47"/>
  <c r="V197" i="47"/>
  <c r="U152" i="47"/>
  <c r="U153" i="47"/>
  <c r="Y26" i="47"/>
  <c r="Z75" i="47"/>
  <c r="Y24" i="47"/>
  <c r="Z73" i="47"/>
  <c r="Y25" i="47"/>
  <c r="Z74" i="47"/>
  <c r="Y151" i="47"/>
  <c r="W246" i="47"/>
  <c r="P153" i="47"/>
  <c r="O83" i="47"/>
  <c r="U175" i="47"/>
  <c r="U176" i="47"/>
  <c r="T298" i="47"/>
  <c r="P106" i="47"/>
  <c r="O81" i="47"/>
  <c r="P130" i="47"/>
  <c r="O82" i="47"/>
  <c r="X132" i="47"/>
  <c r="Z118" i="47"/>
  <c r="X231" i="47"/>
  <c r="Z120" i="47"/>
  <c r="X232" i="47"/>
  <c r="Z116" i="47"/>
  <c r="Z119" i="47"/>
  <c r="Z117" i="47"/>
  <c r="Z122" i="47"/>
  <c r="X233" i="47"/>
  <c r="Z121" i="47"/>
  <c r="V81" i="47"/>
  <c r="X147" i="47"/>
  <c r="X101" i="47"/>
  <c r="X123" i="47"/>
  <c r="X128" i="47"/>
  <c r="V83" i="47"/>
  <c r="W230" i="47"/>
  <c r="X155" i="47"/>
  <c r="Z140" i="47"/>
  <c r="Z144" i="47"/>
  <c r="X248" i="47"/>
  <c r="Z142" i="47"/>
  <c r="X247" i="47"/>
  <c r="Z143" i="47"/>
  <c r="Z141" i="47"/>
  <c r="Z146" i="47"/>
  <c r="X249" i="47"/>
  <c r="Z145" i="47"/>
  <c r="V172" i="47"/>
  <c r="T190" i="47"/>
  <c r="T106" i="47"/>
  <c r="Y147" i="47"/>
  <c r="Y123" i="47"/>
  <c r="Y128" i="47"/>
  <c r="Y101" i="47"/>
  <c r="V82" i="47"/>
  <c r="Y23" i="47"/>
  <c r="X151" i="47"/>
  <c r="V129" i="47"/>
  <c r="V130" i="47"/>
  <c r="L168" i="44"/>
  <c r="Q64" i="25"/>
  <c r="G64" i="44"/>
  <c r="M106" i="44"/>
  <c r="N106" i="44"/>
  <c r="L167" i="44"/>
  <c r="X82" i="47"/>
  <c r="W82" i="47"/>
  <c r="AA118" i="47"/>
  <c r="Y231" i="47"/>
  <c r="AA120" i="47"/>
  <c r="Y232" i="47"/>
  <c r="AA116" i="47"/>
  <c r="AA117" i="47"/>
  <c r="AA119" i="47"/>
  <c r="AA122" i="47"/>
  <c r="Y233" i="47"/>
  <c r="AA121" i="47"/>
  <c r="X81" i="47"/>
  <c r="Y72" i="47"/>
  <c r="X47" i="47"/>
  <c r="X43" i="47"/>
  <c r="X44" i="47"/>
  <c r="X46" i="47"/>
  <c r="X45" i="47"/>
  <c r="Z72" i="47"/>
  <c r="Y47" i="47"/>
  <c r="Y43" i="47"/>
  <c r="Y44" i="47"/>
  <c r="Y46" i="47"/>
  <c r="Y45" i="47"/>
  <c r="AA142" i="47"/>
  <c r="Y247" i="47"/>
  <c r="AA144" i="47"/>
  <c r="Y248" i="47"/>
  <c r="AA140" i="47"/>
  <c r="AA141" i="47"/>
  <c r="AA143" i="47"/>
  <c r="AA146" i="47"/>
  <c r="Y249" i="47"/>
  <c r="AA145" i="47"/>
  <c r="AA148" i="47"/>
  <c r="Y250" i="47"/>
  <c r="Z79" i="47"/>
  <c r="AB79" i="47"/>
  <c r="AD79" i="47"/>
  <c r="Z124" i="47"/>
  <c r="X234" i="47"/>
  <c r="Y78" i="47"/>
  <c r="W83" i="47"/>
  <c r="U190" i="47"/>
  <c r="U106" i="47"/>
  <c r="X246" i="47"/>
  <c r="V175" i="47"/>
  <c r="V176" i="47"/>
  <c r="AA102" i="47"/>
  <c r="Z77" i="47"/>
  <c r="AB76" i="47"/>
  <c r="AB77" i="47"/>
  <c r="AD77" i="47"/>
  <c r="W81" i="47"/>
  <c r="Z102" i="47"/>
  <c r="Y77" i="47"/>
  <c r="X230" i="47"/>
  <c r="X83" i="47"/>
  <c r="AA124" i="47"/>
  <c r="Y234" i="47"/>
  <c r="Z78" i="47"/>
  <c r="AB78" i="47"/>
  <c r="AD78" i="47"/>
  <c r="V198" i="47"/>
  <c r="V152" i="47"/>
  <c r="V153" i="47"/>
  <c r="Z148" i="47"/>
  <c r="X250" i="47"/>
  <c r="Y79" i="47"/>
  <c r="AA101" i="47"/>
  <c r="AA123" i="47"/>
  <c r="AA128" i="47"/>
  <c r="AA147" i="47"/>
  <c r="W152" i="47"/>
  <c r="W153" i="47"/>
  <c r="Y226" i="47"/>
  <c r="AA104" i="47"/>
  <c r="Y246" i="47"/>
  <c r="AA151" i="47"/>
  <c r="Z147" i="47"/>
  <c r="Z123" i="47"/>
  <c r="Z128" i="47"/>
  <c r="Z101" i="47"/>
  <c r="X226" i="47"/>
  <c r="Z104" i="47"/>
  <c r="V190" i="47"/>
  <c r="V106" i="47"/>
  <c r="Y230" i="47"/>
  <c r="Z151" i="47"/>
  <c r="W129" i="47"/>
  <c r="W130" i="47"/>
  <c r="R64" i="25"/>
  <c r="Z82" i="47"/>
  <c r="Y82" i="47"/>
  <c r="Z81" i="47"/>
  <c r="Y83" i="47"/>
  <c r="W105" i="47"/>
  <c r="W106" i="47"/>
  <c r="X152" i="47"/>
  <c r="X153" i="47"/>
  <c r="Z83" i="47"/>
  <c r="Y81" i="47"/>
  <c r="X129" i="47"/>
  <c r="X130" i="47"/>
  <c r="S64" i="25"/>
  <c r="R43" i="25"/>
  <c r="Y152" i="47"/>
  <c r="Y153" i="47"/>
  <c r="X105" i="47"/>
  <c r="X106" i="47"/>
  <c r="Y129" i="47"/>
  <c r="Y130" i="47"/>
  <c r="T64" i="25"/>
  <c r="S43" i="25"/>
  <c r="Z152" i="47"/>
  <c r="Z153" i="47"/>
  <c r="Y105" i="47"/>
  <c r="Y106" i="47"/>
  <c r="Z129" i="47"/>
  <c r="Z130" i="47"/>
  <c r="U64" i="25"/>
  <c r="T43" i="25"/>
  <c r="AA129" i="47"/>
  <c r="AA130" i="47"/>
  <c r="V64" i="25"/>
  <c r="Z105" i="47"/>
  <c r="Z106" i="47"/>
  <c r="AA152" i="47"/>
  <c r="AA153" i="47"/>
  <c r="U43" i="25"/>
  <c r="AA105" i="47"/>
  <c r="AA106" i="47"/>
  <c r="V43" i="25"/>
  <c r="H22" i="44"/>
  <c r="I22" i="44"/>
  <c r="H17" i="44"/>
  <c r="I17" i="44"/>
  <c r="J17" i="44"/>
  <c r="K17" i="44"/>
  <c r="L17" i="44"/>
  <c r="M17" i="44"/>
  <c r="N17" i="44"/>
  <c r="O17" i="44"/>
  <c r="J28" i="12"/>
  <c r="K28" i="12"/>
  <c r="L28" i="12"/>
  <c r="M28" i="12"/>
  <c r="N28" i="12"/>
  <c r="O28" i="12"/>
  <c r="P28" i="12"/>
  <c r="Q28" i="12"/>
  <c r="R28" i="12"/>
  <c r="J29" i="12"/>
  <c r="K29" i="12"/>
  <c r="L29" i="12"/>
  <c r="M29" i="12"/>
  <c r="N29" i="12"/>
  <c r="O29" i="12"/>
  <c r="P29" i="12"/>
  <c r="Q29" i="12"/>
  <c r="R29" i="12"/>
  <c r="S29" i="12"/>
  <c r="J30" i="12"/>
  <c r="K30" i="12"/>
  <c r="L30" i="12"/>
  <c r="M30" i="12"/>
  <c r="N30" i="12"/>
  <c r="O30" i="12"/>
  <c r="P30" i="12"/>
  <c r="Q30" i="12"/>
  <c r="R30" i="12"/>
  <c r="S30" i="12"/>
  <c r="I30" i="12"/>
  <c r="I29" i="12"/>
  <c r="I28" i="12"/>
  <c r="P17" i="44"/>
  <c r="Q17" i="44"/>
  <c r="G29" i="44"/>
  <c r="H29" i="44"/>
  <c r="I29" i="44"/>
  <c r="J29" i="44"/>
  <c r="K29" i="44"/>
  <c r="L29" i="44"/>
  <c r="M29" i="44"/>
  <c r="N29" i="44"/>
  <c r="O29" i="44"/>
  <c r="P29" i="44"/>
  <c r="Q29" i="44"/>
  <c r="G6" i="14"/>
  <c r="H55" i="14"/>
  <c r="I140" i="14"/>
  <c r="G8" i="14"/>
  <c r="H57" i="14"/>
  <c r="I141" i="14"/>
  <c r="G13" i="14"/>
  <c r="H62" i="14"/>
  <c r="I143" i="14"/>
  <c r="G18" i="14"/>
  <c r="H67" i="14"/>
  <c r="I145" i="14"/>
  <c r="G39" i="14"/>
  <c r="G23" i="14"/>
  <c r="H72" i="14"/>
  <c r="I147" i="14"/>
  <c r="I151" i="14"/>
  <c r="I197" i="14"/>
  <c r="I152" i="14"/>
  <c r="I153" i="14"/>
  <c r="D82" i="25"/>
  <c r="F6" i="14"/>
  <c r="G55" i="14"/>
  <c r="H140" i="14"/>
  <c r="F8" i="14"/>
  <c r="G57" i="14"/>
  <c r="H141" i="14"/>
  <c r="F13" i="14"/>
  <c r="G62" i="14"/>
  <c r="H143" i="14"/>
  <c r="F18" i="14"/>
  <c r="G67" i="14"/>
  <c r="H145" i="14"/>
  <c r="F39" i="14"/>
  <c r="F23" i="14"/>
  <c r="G72" i="14"/>
  <c r="H147" i="14"/>
  <c r="H151" i="14"/>
  <c r="H152" i="14"/>
  <c r="H153" i="14"/>
  <c r="C82" i="25"/>
  <c r="F55" i="14"/>
  <c r="G140" i="14"/>
  <c r="E8" i="14"/>
  <c r="F57" i="14"/>
  <c r="G141" i="14"/>
  <c r="E13" i="14"/>
  <c r="F62" i="14"/>
  <c r="G143" i="14"/>
  <c r="E18" i="14"/>
  <c r="F67" i="14"/>
  <c r="G145" i="14"/>
  <c r="E39" i="14"/>
  <c r="E23" i="14"/>
  <c r="F72" i="14"/>
  <c r="G147" i="14"/>
  <c r="G151" i="14"/>
  <c r="G152" i="14"/>
  <c r="G153" i="14"/>
  <c r="B82" i="25"/>
  <c r="B77" i="25"/>
  <c r="C76" i="25"/>
  <c r="B76" i="25"/>
  <c r="C75" i="25"/>
  <c r="B75" i="25"/>
  <c r="C74" i="25"/>
  <c r="B74" i="25"/>
  <c r="C73" i="25"/>
  <c r="B73" i="25"/>
  <c r="C72" i="25"/>
  <c r="B72" i="25"/>
  <c r="C71" i="25"/>
  <c r="B71" i="25"/>
  <c r="C70" i="25"/>
  <c r="B70" i="25"/>
  <c r="B59" i="25"/>
  <c r="C58" i="25"/>
  <c r="B58" i="25"/>
  <c r="C57" i="25"/>
  <c r="B57" i="25"/>
  <c r="C56" i="25"/>
  <c r="B56" i="25"/>
  <c r="C55" i="25"/>
  <c r="B55" i="25"/>
  <c r="C54" i="25"/>
  <c r="B54" i="25"/>
  <c r="C53" i="25"/>
  <c r="B53" i="25"/>
  <c r="C52" i="25"/>
  <c r="B52" i="25"/>
  <c r="AA38" i="25"/>
  <c r="B38" i="25"/>
  <c r="G36" i="25"/>
  <c r="H35" i="25"/>
  <c r="G35" i="25"/>
  <c r="B34" i="25"/>
  <c r="C33" i="25"/>
  <c r="B33" i="25"/>
  <c r="C32" i="25"/>
  <c r="B32" i="25"/>
  <c r="C31" i="25"/>
  <c r="B31" i="25"/>
  <c r="C30" i="25"/>
  <c r="B30" i="25"/>
  <c r="L29" i="25"/>
  <c r="K29" i="25"/>
  <c r="J29" i="25"/>
  <c r="I29" i="25"/>
  <c r="H29" i="25"/>
  <c r="G29" i="25"/>
  <c r="F29" i="25"/>
  <c r="E29" i="25"/>
  <c r="C29" i="25"/>
  <c r="B29" i="25"/>
  <c r="C28" i="25"/>
  <c r="B28" i="25"/>
  <c r="C27" i="25"/>
  <c r="B27" i="25"/>
  <c r="N21" i="25"/>
  <c r="B20" i="25"/>
  <c r="B42" i="25"/>
  <c r="B19" i="25"/>
  <c r="B18" i="25"/>
  <c r="B61" i="25"/>
  <c r="B17" i="25"/>
  <c r="B78" i="25"/>
  <c r="C16" i="25"/>
  <c r="C77" i="25"/>
  <c r="W13" i="25"/>
  <c r="G37" i="25"/>
  <c r="H13" i="25"/>
  <c r="I13" i="25"/>
  <c r="AA12" i="25"/>
  <c r="H12" i="25"/>
  <c r="I12" i="25"/>
  <c r="C10" i="25"/>
  <c r="C34" i="25"/>
  <c r="M9" i="25"/>
  <c r="N9" i="25"/>
  <c r="H8" i="25"/>
  <c r="I8" i="25"/>
  <c r="E8" i="25"/>
  <c r="H7" i="25"/>
  <c r="I7" i="25"/>
  <c r="H6" i="25"/>
  <c r="I6" i="25"/>
  <c r="AE5" i="25"/>
  <c r="M5" i="25"/>
  <c r="AE4" i="25"/>
  <c r="AF4" i="25"/>
  <c r="J35" i="25"/>
  <c r="E4" i="25"/>
  <c r="F4" i="25"/>
  <c r="D28" i="25"/>
  <c r="D54" i="25"/>
  <c r="B79" i="25"/>
  <c r="J12" i="25"/>
  <c r="I36" i="25"/>
  <c r="G4" i="25"/>
  <c r="J7" i="25"/>
  <c r="O9" i="25"/>
  <c r="J13" i="25"/>
  <c r="I37" i="25"/>
  <c r="D74" i="25"/>
  <c r="D70" i="25"/>
  <c r="D75" i="25"/>
  <c r="D71" i="25"/>
  <c r="D76" i="25"/>
  <c r="D72" i="25"/>
  <c r="D55" i="25"/>
  <c r="D56" i="25"/>
  <c r="D52" i="25"/>
  <c r="D57" i="25"/>
  <c r="D53" i="25"/>
  <c r="E57" i="25"/>
  <c r="D73" i="25"/>
  <c r="E27" i="25"/>
  <c r="N5" i="25"/>
  <c r="C19" i="25"/>
  <c r="D27" i="25"/>
  <c r="M29" i="25"/>
  <c r="C38" i="25"/>
  <c r="B39" i="25"/>
  <c r="B40" i="25"/>
  <c r="D58" i="25"/>
  <c r="E52" i="25"/>
  <c r="E58" i="25"/>
  <c r="E54" i="25"/>
  <c r="E55" i="25"/>
  <c r="E56" i="25"/>
  <c r="D33" i="25"/>
  <c r="D29" i="25"/>
  <c r="E32" i="25"/>
  <c r="B80" i="25"/>
  <c r="B62" i="25"/>
  <c r="B41" i="25"/>
  <c r="C18" i="25"/>
  <c r="D31" i="25"/>
  <c r="D32" i="25"/>
  <c r="I35" i="25"/>
  <c r="H36" i="25"/>
  <c r="H37" i="25"/>
  <c r="B60" i="25"/>
  <c r="B81" i="25"/>
  <c r="B63" i="25"/>
  <c r="E28" i="25"/>
  <c r="AG4" i="25"/>
  <c r="AF5" i="25"/>
  <c r="E75" i="25"/>
  <c r="J6" i="25"/>
  <c r="J8" i="25"/>
  <c r="D10" i="25"/>
  <c r="D16" i="25"/>
  <c r="C17" i="25"/>
  <c r="C20" i="25"/>
  <c r="D30" i="25"/>
  <c r="E53" i="25"/>
  <c r="C59" i="25"/>
  <c r="F57" i="25"/>
  <c r="F58" i="25"/>
  <c r="F54" i="25"/>
  <c r="F55" i="25"/>
  <c r="K35" i="25"/>
  <c r="F56" i="25"/>
  <c r="AH4" i="25"/>
  <c r="J36" i="25"/>
  <c r="K12" i="25"/>
  <c r="D59" i="25"/>
  <c r="D20" i="25"/>
  <c r="D77" i="25"/>
  <c r="D17" i="25"/>
  <c r="E16" i="25"/>
  <c r="D18" i="25"/>
  <c r="D38" i="25"/>
  <c r="D19" i="25"/>
  <c r="E73" i="25"/>
  <c r="E74" i="25"/>
  <c r="E72" i="25"/>
  <c r="AG5" i="25"/>
  <c r="E76" i="25"/>
  <c r="G53" i="25"/>
  <c r="H4" i="25"/>
  <c r="E71" i="25"/>
  <c r="D34" i="25"/>
  <c r="E10" i="25"/>
  <c r="C60" i="25"/>
  <c r="C78" i="25"/>
  <c r="C39" i="25"/>
  <c r="K6" i="25"/>
  <c r="C80" i="25"/>
  <c r="C62" i="25"/>
  <c r="C41" i="25"/>
  <c r="P9" i="25"/>
  <c r="K7" i="25"/>
  <c r="E70" i="25"/>
  <c r="F53" i="25"/>
  <c r="O5" i="25"/>
  <c r="N29" i="25"/>
  <c r="C81" i="25"/>
  <c r="C63" i="25"/>
  <c r="C42" i="25"/>
  <c r="K8" i="25"/>
  <c r="F70" i="25"/>
  <c r="F52" i="25"/>
  <c r="C79" i="25"/>
  <c r="C61" i="25"/>
  <c r="C40" i="25"/>
  <c r="E33" i="25"/>
  <c r="E30" i="25"/>
  <c r="F27" i="25"/>
  <c r="E31" i="25"/>
  <c r="J37" i="25"/>
  <c r="K13" i="25"/>
  <c r="E34" i="25"/>
  <c r="F10" i="25"/>
  <c r="Q9" i="25"/>
  <c r="D80" i="25"/>
  <c r="D62" i="25"/>
  <c r="D41" i="25"/>
  <c r="D78" i="25"/>
  <c r="D60" i="25"/>
  <c r="D39" i="25"/>
  <c r="K36" i="25"/>
  <c r="L12" i="25"/>
  <c r="K37" i="25"/>
  <c r="L13" i="25"/>
  <c r="F31" i="25"/>
  <c r="G27" i="25"/>
  <c r="F33" i="25"/>
  <c r="F32" i="25"/>
  <c r="F30" i="25"/>
  <c r="F28" i="25"/>
  <c r="F76" i="25"/>
  <c r="F72" i="25"/>
  <c r="F73" i="25"/>
  <c r="F74" i="25"/>
  <c r="F75" i="25"/>
  <c r="AH5" i="25"/>
  <c r="G70" i="25"/>
  <c r="F71" i="25"/>
  <c r="E77" i="25"/>
  <c r="E59" i="25"/>
  <c r="E38" i="25"/>
  <c r="E19" i="25"/>
  <c r="E20" i="25"/>
  <c r="E18" i="25"/>
  <c r="E17" i="25"/>
  <c r="F16" i="25"/>
  <c r="G52" i="25"/>
  <c r="L8" i="25"/>
  <c r="O29" i="25"/>
  <c r="P5" i="25"/>
  <c r="L6" i="25"/>
  <c r="I4" i="25"/>
  <c r="D79" i="25"/>
  <c r="D61" i="25"/>
  <c r="D40" i="25"/>
  <c r="D63" i="25"/>
  <c r="D81" i="25"/>
  <c r="D42" i="25"/>
  <c r="G56" i="25"/>
  <c r="G57" i="25"/>
  <c r="G58" i="25"/>
  <c r="G54" i="25"/>
  <c r="L35" i="25"/>
  <c r="G55" i="25"/>
  <c r="AI4" i="25"/>
  <c r="H53" i="25"/>
  <c r="E79" i="25"/>
  <c r="E40" i="25"/>
  <c r="E61" i="25"/>
  <c r="L36" i="25"/>
  <c r="M12" i="25"/>
  <c r="R9" i="25"/>
  <c r="H54" i="25"/>
  <c r="M35" i="25"/>
  <c r="AJ4" i="25"/>
  <c r="I53" i="25"/>
  <c r="H58" i="25"/>
  <c r="H56" i="25"/>
  <c r="H57" i="25"/>
  <c r="H55" i="25"/>
  <c r="J4" i="25"/>
  <c r="M6" i="25"/>
  <c r="H52" i="25"/>
  <c r="E78" i="25"/>
  <c r="E60" i="25"/>
  <c r="E39" i="25"/>
  <c r="G75" i="25"/>
  <c r="G76" i="25"/>
  <c r="G72" i="25"/>
  <c r="G73" i="25"/>
  <c r="AI5" i="25"/>
  <c r="G74" i="25"/>
  <c r="G71" i="25"/>
  <c r="G10" i="25"/>
  <c r="F34" i="25"/>
  <c r="E81" i="25"/>
  <c r="E63" i="25"/>
  <c r="E42" i="25"/>
  <c r="P29" i="25"/>
  <c r="Q5" i="25"/>
  <c r="M8" i="25"/>
  <c r="F77" i="25"/>
  <c r="F59" i="25"/>
  <c r="F38" i="25"/>
  <c r="F18" i="25"/>
  <c r="F19" i="25"/>
  <c r="F17" i="25"/>
  <c r="G16" i="25"/>
  <c r="F20" i="25"/>
  <c r="E62" i="25"/>
  <c r="E41" i="25"/>
  <c r="E80" i="25"/>
  <c r="G30" i="25"/>
  <c r="G32" i="25"/>
  <c r="G31" i="25"/>
  <c r="G33" i="25"/>
  <c r="G28" i="25"/>
  <c r="L37" i="25"/>
  <c r="M13" i="25"/>
  <c r="F81" i="25"/>
  <c r="F63" i="25"/>
  <c r="F42" i="25"/>
  <c r="H76" i="25"/>
  <c r="H72" i="25"/>
  <c r="AJ5" i="25"/>
  <c r="I70" i="25"/>
  <c r="H74" i="25"/>
  <c r="H75" i="25"/>
  <c r="H73" i="25"/>
  <c r="H71" i="25"/>
  <c r="M37" i="25"/>
  <c r="N13" i="25"/>
  <c r="F80" i="25"/>
  <c r="F62" i="25"/>
  <c r="F41" i="25"/>
  <c r="N6" i="25"/>
  <c r="H70" i="25"/>
  <c r="F78" i="25"/>
  <c r="F39" i="25"/>
  <c r="F60" i="25"/>
  <c r="I52" i="25"/>
  <c r="S9" i="25"/>
  <c r="M36" i="25"/>
  <c r="N12" i="25"/>
  <c r="F61" i="25"/>
  <c r="F79" i="25"/>
  <c r="F40" i="25"/>
  <c r="H33" i="25"/>
  <c r="H30" i="25"/>
  <c r="H31" i="25"/>
  <c r="H32" i="25"/>
  <c r="H28" i="25"/>
  <c r="G77" i="25"/>
  <c r="G17" i="25"/>
  <c r="H16" i="25"/>
  <c r="G20" i="25"/>
  <c r="G59" i="25"/>
  <c r="G38" i="25"/>
  <c r="G18" i="25"/>
  <c r="G19" i="25"/>
  <c r="G22" i="25"/>
  <c r="I92" i="25"/>
  <c r="N8" i="25"/>
  <c r="Q29" i="25"/>
  <c r="R5" i="25"/>
  <c r="G34" i="25"/>
  <c r="H10" i="25"/>
  <c r="K4" i="25"/>
  <c r="I58" i="25"/>
  <c r="I54" i="25"/>
  <c r="AK4" i="25"/>
  <c r="N35" i="25"/>
  <c r="I57" i="25"/>
  <c r="I56" i="25"/>
  <c r="I55" i="25"/>
  <c r="H27" i="25"/>
  <c r="L4" i="25"/>
  <c r="I10" i="25"/>
  <c r="H34" i="25"/>
  <c r="G60" i="25"/>
  <c r="G39" i="25"/>
  <c r="G78" i="25"/>
  <c r="N36" i="25"/>
  <c r="O12" i="25"/>
  <c r="O6" i="25"/>
  <c r="I76" i="25"/>
  <c r="I72" i="25"/>
  <c r="AK5" i="25"/>
  <c r="I74" i="25"/>
  <c r="I73" i="25"/>
  <c r="I75" i="25"/>
  <c r="I71" i="25"/>
  <c r="I33" i="25"/>
  <c r="J27" i="25"/>
  <c r="I32" i="25"/>
  <c r="I30" i="25"/>
  <c r="I31" i="25"/>
  <c r="I28" i="25"/>
  <c r="S5" i="25"/>
  <c r="R29" i="25"/>
  <c r="G79" i="25"/>
  <c r="G61" i="25"/>
  <c r="G40" i="25"/>
  <c r="J52" i="25"/>
  <c r="J58" i="25"/>
  <c r="J54" i="25"/>
  <c r="O35" i="25"/>
  <c r="AL4" i="25"/>
  <c r="J56" i="25"/>
  <c r="J55" i="25"/>
  <c r="J57" i="25"/>
  <c r="O8" i="25"/>
  <c r="H59" i="25"/>
  <c r="H20" i="25"/>
  <c r="H17" i="25"/>
  <c r="I16" i="25"/>
  <c r="H19" i="25"/>
  <c r="H77" i="25"/>
  <c r="H38" i="25"/>
  <c r="H18" i="25"/>
  <c r="G80" i="25"/>
  <c r="G62" i="25"/>
  <c r="G41" i="25"/>
  <c r="G81" i="25"/>
  <c r="G42" i="25"/>
  <c r="G63" i="25"/>
  <c r="T9" i="25"/>
  <c r="N37" i="25"/>
  <c r="O13" i="25"/>
  <c r="J53" i="25"/>
  <c r="I27" i="25"/>
  <c r="H22" i="25"/>
  <c r="J92" i="25"/>
  <c r="H80" i="25"/>
  <c r="H62" i="25"/>
  <c r="H41" i="25"/>
  <c r="K58" i="25"/>
  <c r="K54" i="25"/>
  <c r="P35" i="25"/>
  <c r="AM4" i="25"/>
  <c r="Q35" i="25"/>
  <c r="K56" i="25"/>
  <c r="K55" i="25"/>
  <c r="K57" i="25"/>
  <c r="K52" i="25"/>
  <c r="P6" i="25"/>
  <c r="O36" i="25"/>
  <c r="P12" i="25"/>
  <c r="T5" i="25"/>
  <c r="S29" i="25"/>
  <c r="L53" i="25"/>
  <c r="M4" i="25"/>
  <c r="J76" i="25"/>
  <c r="J72" i="25"/>
  <c r="AL5" i="25"/>
  <c r="J74" i="25"/>
  <c r="J75" i="25"/>
  <c r="J73" i="25"/>
  <c r="J71" i="25"/>
  <c r="H63" i="25"/>
  <c r="H42" i="25"/>
  <c r="H81" i="25"/>
  <c r="H78" i="25"/>
  <c r="H60" i="25"/>
  <c r="H39" i="25"/>
  <c r="P8" i="25"/>
  <c r="K27" i="25"/>
  <c r="J33" i="25"/>
  <c r="J30" i="25"/>
  <c r="J32" i="25"/>
  <c r="J31" i="25"/>
  <c r="J28" i="25"/>
  <c r="I34" i="25"/>
  <c r="J10" i="25"/>
  <c r="J70" i="25"/>
  <c r="U9" i="25"/>
  <c r="O37" i="25"/>
  <c r="P13" i="25"/>
  <c r="H79" i="25"/>
  <c r="H61" i="25"/>
  <c r="H40" i="25"/>
  <c r="I77" i="25"/>
  <c r="I59" i="25"/>
  <c r="I20" i="25"/>
  <c r="I19" i="25"/>
  <c r="I18" i="25"/>
  <c r="I38" i="25"/>
  <c r="I17" i="25"/>
  <c r="J16" i="25"/>
  <c r="K53" i="25"/>
  <c r="I22" i="25"/>
  <c r="K92" i="25"/>
  <c r="I62" i="25"/>
  <c r="I41" i="25"/>
  <c r="I80" i="25"/>
  <c r="J34" i="25"/>
  <c r="K10" i="25"/>
  <c r="I79" i="25"/>
  <c r="I61" i="25"/>
  <c r="I40" i="25"/>
  <c r="Q13" i="25"/>
  <c r="Q37" i="25"/>
  <c r="P37" i="25"/>
  <c r="K33" i="25"/>
  <c r="K32" i="25"/>
  <c r="K31" i="25"/>
  <c r="K30" i="25"/>
  <c r="K28" i="25"/>
  <c r="Q6" i="25"/>
  <c r="L52" i="25"/>
  <c r="L27" i="25"/>
  <c r="V9" i="25"/>
  <c r="Q8" i="25"/>
  <c r="T29" i="25"/>
  <c r="U5" i="25"/>
  <c r="L56" i="25"/>
  <c r="L58" i="25"/>
  <c r="L54" i="25"/>
  <c r="AN4" i="25"/>
  <c r="M53" i="25"/>
  <c r="L57" i="25"/>
  <c r="L55" i="25"/>
  <c r="J77" i="25"/>
  <c r="J59" i="25"/>
  <c r="J38" i="25"/>
  <c r="J18" i="25"/>
  <c r="J20" i="25"/>
  <c r="J19" i="25"/>
  <c r="J17" i="25"/>
  <c r="K16" i="25"/>
  <c r="I78" i="25"/>
  <c r="I60" i="25"/>
  <c r="I39" i="25"/>
  <c r="I81" i="25"/>
  <c r="I63" i="25"/>
  <c r="I42" i="25"/>
  <c r="K76" i="25"/>
  <c r="K72" i="25"/>
  <c r="AM5" i="25"/>
  <c r="L70" i="25"/>
  <c r="K75" i="25"/>
  <c r="K73" i="25"/>
  <c r="K74" i="25"/>
  <c r="K71" i="25"/>
  <c r="N4" i="25"/>
  <c r="Q12" i="25"/>
  <c r="Q36" i="25"/>
  <c r="P36" i="25"/>
  <c r="K70" i="25"/>
  <c r="J22" i="25"/>
  <c r="L92" i="25"/>
  <c r="M52" i="25"/>
  <c r="R6" i="25"/>
  <c r="K77" i="25"/>
  <c r="K38" i="25"/>
  <c r="K17" i="25"/>
  <c r="L16" i="25"/>
  <c r="K18" i="25"/>
  <c r="K19" i="25"/>
  <c r="K20" i="25"/>
  <c r="K22" i="25"/>
  <c r="M92" i="25"/>
  <c r="K59" i="25"/>
  <c r="J61" i="25"/>
  <c r="J40" i="25"/>
  <c r="J79" i="25"/>
  <c r="J78" i="25"/>
  <c r="J39" i="25"/>
  <c r="J60" i="25"/>
  <c r="J81" i="25"/>
  <c r="J63" i="25"/>
  <c r="J42" i="25"/>
  <c r="R12" i="25"/>
  <c r="R8" i="25"/>
  <c r="O4" i="25"/>
  <c r="L74" i="25"/>
  <c r="L76" i="25"/>
  <c r="L72" i="25"/>
  <c r="AN5" i="25"/>
  <c r="L73" i="25"/>
  <c r="L75" i="25"/>
  <c r="L71" i="25"/>
  <c r="J80" i="25"/>
  <c r="J62" i="25"/>
  <c r="J41" i="25"/>
  <c r="M56" i="25"/>
  <c r="R35" i="25"/>
  <c r="AO4" i="25"/>
  <c r="M58" i="25"/>
  <c r="M54" i="25"/>
  <c r="M57" i="25"/>
  <c r="M55" i="25"/>
  <c r="U29" i="25"/>
  <c r="V5" i="25"/>
  <c r="L33" i="25"/>
  <c r="L31" i="25"/>
  <c r="L30" i="25"/>
  <c r="L32" i="25"/>
  <c r="L28" i="25"/>
  <c r="R13" i="25"/>
  <c r="K34" i="25"/>
  <c r="L10" i="25"/>
  <c r="M10" i="25"/>
  <c r="L34" i="25"/>
  <c r="S35" i="25"/>
  <c r="AP4" i="25"/>
  <c r="O53" i="25"/>
  <c r="N56" i="25"/>
  <c r="N58" i="25"/>
  <c r="N54" i="25"/>
  <c r="N55" i="25"/>
  <c r="N57" i="25"/>
  <c r="P4" i="25"/>
  <c r="S8" i="25"/>
  <c r="K81" i="25"/>
  <c r="K42" i="25"/>
  <c r="K63" i="25"/>
  <c r="K60" i="25"/>
  <c r="K78" i="25"/>
  <c r="K39" i="25"/>
  <c r="S6" i="25"/>
  <c r="N52" i="25"/>
  <c r="M31" i="25"/>
  <c r="M33" i="25"/>
  <c r="N27" i="25"/>
  <c r="M30" i="25"/>
  <c r="M32" i="25"/>
  <c r="M28" i="25"/>
  <c r="R36" i="25"/>
  <c r="S12" i="25"/>
  <c r="K80" i="25"/>
  <c r="K62" i="25"/>
  <c r="K41" i="25"/>
  <c r="L59" i="25"/>
  <c r="L20" i="25"/>
  <c r="L38" i="25"/>
  <c r="L17" i="25"/>
  <c r="M16" i="25"/>
  <c r="L19" i="25"/>
  <c r="L18" i="25"/>
  <c r="L77" i="25"/>
  <c r="M27" i="25"/>
  <c r="V29" i="25"/>
  <c r="R37" i="25"/>
  <c r="S13" i="25"/>
  <c r="M74" i="25"/>
  <c r="AO5" i="25"/>
  <c r="M72" i="25"/>
  <c r="M76" i="25"/>
  <c r="M73" i="25"/>
  <c r="M75" i="25"/>
  <c r="M71" i="25"/>
  <c r="K79" i="25"/>
  <c r="K61" i="25"/>
  <c r="K40" i="25"/>
  <c r="N53" i="25"/>
  <c r="M70" i="25"/>
  <c r="L22" i="25"/>
  <c r="N92" i="25"/>
  <c r="L79" i="25"/>
  <c r="L61" i="25"/>
  <c r="L40" i="25"/>
  <c r="Q4" i="25"/>
  <c r="L78" i="25"/>
  <c r="L60" i="25"/>
  <c r="L39" i="25"/>
  <c r="N31" i="25"/>
  <c r="O27" i="25"/>
  <c r="N33" i="25"/>
  <c r="N30" i="25"/>
  <c r="N32" i="25"/>
  <c r="N28" i="25"/>
  <c r="O52" i="25"/>
  <c r="T6" i="25"/>
  <c r="N74" i="25"/>
  <c r="AP5" i="25"/>
  <c r="N76" i="25"/>
  <c r="N72" i="25"/>
  <c r="N75" i="25"/>
  <c r="N73" i="25"/>
  <c r="N71" i="25"/>
  <c r="M77" i="25"/>
  <c r="M59" i="25"/>
  <c r="M19" i="25"/>
  <c r="M38" i="25"/>
  <c r="M17" i="25"/>
  <c r="N16" i="25"/>
  <c r="M20" i="25"/>
  <c r="M18" i="25"/>
  <c r="S36" i="25"/>
  <c r="T12" i="25"/>
  <c r="T8" i="25"/>
  <c r="O56" i="25"/>
  <c r="T35" i="25"/>
  <c r="AQ4" i="25"/>
  <c r="P53" i="25"/>
  <c r="O58" i="25"/>
  <c r="O54" i="25"/>
  <c r="O57" i="25"/>
  <c r="O55" i="25"/>
  <c r="M34" i="25"/>
  <c r="N10" i="25"/>
  <c r="S37" i="25"/>
  <c r="T13" i="25"/>
  <c r="L80" i="25"/>
  <c r="L41" i="25"/>
  <c r="L62" i="25"/>
  <c r="L63" i="25"/>
  <c r="L81" i="25"/>
  <c r="L42" i="25"/>
  <c r="N70" i="25"/>
  <c r="M22" i="25"/>
  <c r="O92" i="25"/>
  <c r="N34" i="25"/>
  <c r="O10" i="25"/>
  <c r="M78" i="25"/>
  <c r="M60" i="25"/>
  <c r="M39" i="25"/>
  <c r="U8" i="25"/>
  <c r="U12" i="25"/>
  <c r="T36" i="25"/>
  <c r="N77" i="25"/>
  <c r="N59" i="25"/>
  <c r="N38" i="25"/>
  <c r="N20" i="25"/>
  <c r="N19" i="25"/>
  <c r="N18" i="25"/>
  <c r="N17" i="25"/>
  <c r="O16" i="25"/>
  <c r="U6" i="25"/>
  <c r="P52" i="25"/>
  <c r="O31" i="25"/>
  <c r="O33" i="25"/>
  <c r="O30" i="25"/>
  <c r="O32" i="25"/>
  <c r="O28" i="25"/>
  <c r="R4" i="25"/>
  <c r="U13" i="25"/>
  <c r="T37" i="25"/>
  <c r="P56" i="25"/>
  <c r="AR4" i="25"/>
  <c r="U35" i="25"/>
  <c r="P58" i="25"/>
  <c r="P54" i="25"/>
  <c r="P57" i="25"/>
  <c r="P55" i="25"/>
  <c r="M81" i="25"/>
  <c r="M63" i="25"/>
  <c r="M42" i="25"/>
  <c r="M62" i="25"/>
  <c r="M41" i="25"/>
  <c r="M80" i="25"/>
  <c r="O74" i="25"/>
  <c r="AQ5" i="25"/>
  <c r="P70" i="25"/>
  <c r="O76" i="25"/>
  <c r="O72" i="25"/>
  <c r="O75" i="25"/>
  <c r="O73" i="25"/>
  <c r="O71" i="25"/>
  <c r="M79" i="25"/>
  <c r="M61" i="25"/>
  <c r="M40" i="25"/>
  <c r="O70" i="25"/>
  <c r="N22" i="25"/>
  <c r="P92" i="25"/>
  <c r="Q58" i="25"/>
  <c r="Q55" i="25"/>
  <c r="G67" i="44"/>
  <c r="Q53" i="25"/>
  <c r="Q52" i="25"/>
  <c r="Q56" i="25"/>
  <c r="AS4" i="25"/>
  <c r="V35" i="25"/>
  <c r="Q54" i="25"/>
  <c r="Q57" i="25"/>
  <c r="N80" i="25"/>
  <c r="N62" i="25"/>
  <c r="N41" i="25"/>
  <c r="P31" i="25"/>
  <c r="P33" i="25"/>
  <c r="P32" i="25"/>
  <c r="P30" i="25"/>
  <c r="P28" i="25"/>
  <c r="O77" i="25"/>
  <c r="O17" i="25"/>
  <c r="P16" i="25"/>
  <c r="O20" i="25"/>
  <c r="O19" i="25"/>
  <c r="O18" i="25"/>
  <c r="O59" i="25"/>
  <c r="O38" i="25"/>
  <c r="N61" i="25"/>
  <c r="N79" i="25"/>
  <c r="N40" i="25"/>
  <c r="V8" i="25"/>
  <c r="U37" i="25"/>
  <c r="V13" i="25"/>
  <c r="V37" i="25"/>
  <c r="R3" i="25"/>
  <c r="N81" i="25"/>
  <c r="N63" i="25"/>
  <c r="N42" i="25"/>
  <c r="P74" i="25"/>
  <c r="AR5" i="25"/>
  <c r="P76" i="25"/>
  <c r="P72" i="25"/>
  <c r="P73" i="25"/>
  <c r="P75" i="25"/>
  <c r="P71" i="25"/>
  <c r="S4" i="25"/>
  <c r="V6" i="25"/>
  <c r="N78" i="25"/>
  <c r="N60" i="25"/>
  <c r="N39" i="25"/>
  <c r="V12" i="25"/>
  <c r="V36" i="25"/>
  <c r="U36" i="25"/>
  <c r="O34" i="25"/>
  <c r="P10" i="25"/>
  <c r="P27" i="25"/>
  <c r="O22" i="25"/>
  <c r="Q92" i="25"/>
  <c r="P34" i="25"/>
  <c r="Q10" i="25"/>
  <c r="Q74" i="25"/>
  <c r="AS5" i="25"/>
  <c r="R70" i="25"/>
  <c r="Q76" i="25"/>
  <c r="Q72" i="25"/>
  <c r="Q73" i="25"/>
  <c r="Q75" i="25"/>
  <c r="Q71" i="25"/>
  <c r="AT4" i="25"/>
  <c r="R56" i="25"/>
  <c r="R58" i="25"/>
  <c r="R54" i="25"/>
  <c r="R55" i="25"/>
  <c r="R57" i="25"/>
  <c r="S53" i="25"/>
  <c r="T4" i="25"/>
  <c r="P59" i="25"/>
  <c r="P20" i="25"/>
  <c r="P77" i="25"/>
  <c r="P38" i="25"/>
  <c r="P17" i="25"/>
  <c r="Q16" i="25"/>
  <c r="P19" i="25"/>
  <c r="P18" i="25"/>
  <c r="P22" i="25"/>
  <c r="R92" i="25"/>
  <c r="O60" i="25"/>
  <c r="O39" i="25"/>
  <c r="O78" i="25"/>
  <c r="R52" i="25"/>
  <c r="S3" i="25"/>
  <c r="O81" i="25"/>
  <c r="O63" i="25"/>
  <c r="O42" i="25"/>
  <c r="Q31" i="25"/>
  <c r="AS3" i="25"/>
  <c r="Q33" i="25"/>
  <c r="Q30" i="25"/>
  <c r="Q32" i="25"/>
  <c r="Q28" i="25"/>
  <c r="R53" i="25"/>
  <c r="O79" i="25"/>
  <c r="O61" i="25"/>
  <c r="O40" i="25"/>
  <c r="O80" i="25"/>
  <c r="O62" i="25"/>
  <c r="O41" i="25"/>
  <c r="Q70" i="25"/>
  <c r="Q59" i="25"/>
  <c r="Q38" i="25"/>
  <c r="Q77" i="25"/>
  <c r="Q19" i="25"/>
  <c r="Q41" i="25"/>
  <c r="Q18" i="25"/>
  <c r="Q20" i="25"/>
  <c r="Q17" i="25"/>
  <c r="R16" i="25"/>
  <c r="P63" i="25"/>
  <c r="P42" i="25"/>
  <c r="P81" i="25"/>
  <c r="S56" i="25"/>
  <c r="AU4" i="25"/>
  <c r="T53" i="25"/>
  <c r="S58" i="25"/>
  <c r="S54" i="25"/>
  <c r="S57" i="25"/>
  <c r="S55" i="25"/>
  <c r="S52" i="25"/>
  <c r="T3" i="25"/>
  <c r="P78" i="25"/>
  <c r="P60" i="25"/>
  <c r="P39" i="25"/>
  <c r="R31" i="25"/>
  <c r="AT3" i="25"/>
  <c r="S27" i="25"/>
  <c r="R33" i="25"/>
  <c r="R32" i="25"/>
  <c r="R30" i="25"/>
  <c r="R28" i="25"/>
  <c r="P80" i="25"/>
  <c r="P41" i="25"/>
  <c r="P62" i="25"/>
  <c r="U4" i="25"/>
  <c r="R74" i="25"/>
  <c r="AT5" i="25"/>
  <c r="R76" i="25"/>
  <c r="R72" i="25"/>
  <c r="R75" i="25"/>
  <c r="R73" i="25"/>
  <c r="R71" i="25"/>
  <c r="R27" i="25"/>
  <c r="P79" i="25"/>
  <c r="P61" i="25"/>
  <c r="P40" i="25"/>
  <c r="Q34" i="25"/>
  <c r="R10" i="25"/>
  <c r="Q22" i="25"/>
  <c r="S92" i="25"/>
  <c r="S10" i="25"/>
  <c r="R34" i="25"/>
  <c r="T56" i="25"/>
  <c r="AV4" i="25"/>
  <c r="U53" i="25"/>
  <c r="T58" i="25"/>
  <c r="T54" i="25"/>
  <c r="T57" i="25"/>
  <c r="T55" i="25"/>
  <c r="Q78" i="25"/>
  <c r="Q60" i="25"/>
  <c r="Q39" i="25"/>
  <c r="S74" i="25"/>
  <c r="AU5" i="25"/>
  <c r="S76" i="25"/>
  <c r="S72" i="25"/>
  <c r="S73" i="25"/>
  <c r="S75" i="25"/>
  <c r="S71" i="25"/>
  <c r="V4" i="25"/>
  <c r="R77" i="25"/>
  <c r="R59" i="25"/>
  <c r="R38" i="25"/>
  <c r="R18" i="25"/>
  <c r="R20" i="25"/>
  <c r="R17" i="25"/>
  <c r="R19" i="25"/>
  <c r="S16" i="25"/>
  <c r="T70" i="25"/>
  <c r="T52" i="25"/>
  <c r="U3" i="25"/>
  <c r="Q62" i="25"/>
  <c r="Q80" i="25"/>
  <c r="Q79" i="25"/>
  <c r="Q40" i="25"/>
  <c r="Q61" i="25"/>
  <c r="S31" i="25"/>
  <c r="AU3" i="25"/>
  <c r="S33" i="25"/>
  <c r="S30" i="25"/>
  <c r="S32" i="25"/>
  <c r="S28" i="25"/>
  <c r="Q81" i="25"/>
  <c r="Q63" i="25"/>
  <c r="Q42" i="25"/>
  <c r="S70" i="25"/>
  <c r="T31" i="25"/>
  <c r="AV3" i="25"/>
  <c r="T33" i="25"/>
  <c r="T30" i="25"/>
  <c r="T32" i="25"/>
  <c r="T28" i="25"/>
  <c r="R80" i="25"/>
  <c r="R62" i="25"/>
  <c r="R41" i="25"/>
  <c r="T74" i="25"/>
  <c r="AV5" i="25"/>
  <c r="U70" i="25"/>
  <c r="T76" i="25"/>
  <c r="T72" i="25"/>
  <c r="T75" i="25"/>
  <c r="T73" i="25"/>
  <c r="T71" i="25"/>
  <c r="R78" i="25"/>
  <c r="R60" i="25"/>
  <c r="R39" i="25"/>
  <c r="U52" i="25"/>
  <c r="V3" i="25"/>
  <c r="U27" i="25"/>
  <c r="S77" i="25"/>
  <c r="S59" i="25"/>
  <c r="S20" i="25"/>
  <c r="S19" i="25"/>
  <c r="S17" i="25"/>
  <c r="T16" i="25"/>
  <c r="S18" i="25"/>
  <c r="S38" i="25"/>
  <c r="R61" i="25"/>
  <c r="R40" i="25"/>
  <c r="R79" i="25"/>
  <c r="S34" i="25"/>
  <c r="T10" i="25"/>
  <c r="R81" i="25"/>
  <c r="R63" i="25"/>
  <c r="R42" i="25"/>
  <c r="U56" i="25"/>
  <c r="AW4" i="25"/>
  <c r="V53" i="25"/>
  <c r="U58" i="25"/>
  <c r="U54" i="25"/>
  <c r="U55" i="25"/>
  <c r="U57" i="25"/>
  <c r="T27" i="25"/>
  <c r="V52" i="25"/>
  <c r="T34" i="25"/>
  <c r="U10" i="25"/>
  <c r="S80" i="25"/>
  <c r="S62" i="25"/>
  <c r="S41" i="25"/>
  <c r="U31" i="25"/>
  <c r="AW3" i="25"/>
  <c r="U33" i="25"/>
  <c r="U32" i="25"/>
  <c r="U30" i="25"/>
  <c r="U28" i="25"/>
  <c r="S81" i="25"/>
  <c r="S63" i="25"/>
  <c r="S42" i="25"/>
  <c r="S60" i="25"/>
  <c r="S39" i="25"/>
  <c r="S78" i="25"/>
  <c r="V56" i="25"/>
  <c r="V58" i="25"/>
  <c r="V54" i="25"/>
  <c r="V57" i="25"/>
  <c r="V55" i="25"/>
  <c r="S79" i="25"/>
  <c r="S61" i="25"/>
  <c r="S40" i="25"/>
  <c r="T59" i="25"/>
  <c r="T20" i="25"/>
  <c r="T38" i="25"/>
  <c r="T77" i="25"/>
  <c r="T19" i="25"/>
  <c r="T17" i="25"/>
  <c r="U16" i="25"/>
  <c r="T18" i="25"/>
  <c r="U74" i="25"/>
  <c r="AW5" i="25"/>
  <c r="U76" i="25"/>
  <c r="U72" i="25"/>
  <c r="U75" i="25"/>
  <c r="U73" i="25"/>
  <c r="U71" i="25"/>
  <c r="U77" i="25"/>
  <c r="U59" i="25"/>
  <c r="U19" i="25"/>
  <c r="U38" i="25"/>
  <c r="U18" i="25"/>
  <c r="U20" i="25"/>
  <c r="U17" i="25"/>
  <c r="V16" i="25"/>
  <c r="T79" i="25"/>
  <c r="T61" i="25"/>
  <c r="T40" i="25"/>
  <c r="V31" i="25"/>
  <c r="V33" i="25"/>
  <c r="V30" i="25"/>
  <c r="V32" i="25"/>
  <c r="V28" i="25"/>
  <c r="V74" i="25"/>
  <c r="V76" i="25"/>
  <c r="V72" i="25"/>
  <c r="V73" i="25"/>
  <c r="V75" i="25"/>
  <c r="V71" i="25"/>
  <c r="T80" i="25"/>
  <c r="T62" i="25"/>
  <c r="T41" i="25"/>
  <c r="U34" i="25"/>
  <c r="V10" i="25"/>
  <c r="V34" i="25"/>
  <c r="V70" i="25"/>
  <c r="T78" i="25"/>
  <c r="T60" i="25"/>
  <c r="T39" i="25"/>
  <c r="T63" i="25"/>
  <c r="T42" i="25"/>
  <c r="T81" i="25"/>
  <c r="V27" i="25"/>
  <c r="U79" i="25"/>
  <c r="U40" i="25"/>
  <c r="U61" i="25"/>
  <c r="U81" i="25"/>
  <c r="U63" i="25"/>
  <c r="U42" i="25"/>
  <c r="U78" i="25"/>
  <c r="U60" i="25"/>
  <c r="U39" i="25"/>
  <c r="U62" i="25"/>
  <c r="U41" i="25"/>
  <c r="U80" i="25"/>
  <c r="V77" i="25"/>
  <c r="V59" i="25"/>
  <c r="V38" i="25"/>
  <c r="V18" i="25"/>
  <c r="V20" i="25"/>
  <c r="V19" i="25"/>
  <c r="V17" i="25"/>
  <c r="V80" i="25"/>
  <c r="V62" i="25"/>
  <c r="V41" i="25"/>
  <c r="V81" i="25"/>
  <c r="V63" i="25"/>
  <c r="V42" i="25"/>
  <c r="V78" i="25"/>
  <c r="V39" i="25"/>
  <c r="V60" i="25"/>
  <c r="V61" i="25"/>
  <c r="V79" i="25"/>
  <c r="V40" i="25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V37" i="9"/>
  <c r="R16" i="9"/>
  <c r="S16" i="9"/>
  <c r="T16" i="9"/>
  <c r="U16" i="9"/>
  <c r="V16" i="9"/>
  <c r="V20" i="9"/>
  <c r="AS3" i="9"/>
  <c r="AT3" i="9"/>
  <c r="AU3" i="9"/>
  <c r="AV3" i="9"/>
  <c r="AW3" i="9"/>
  <c r="V42" i="9"/>
  <c r="E3" i="9"/>
  <c r="F3" i="9"/>
  <c r="G3" i="9"/>
  <c r="H3" i="9"/>
  <c r="I3" i="9"/>
  <c r="J3" i="9"/>
  <c r="K3" i="9"/>
  <c r="L3" i="9"/>
  <c r="M3" i="9"/>
  <c r="N3" i="9"/>
  <c r="O3" i="9"/>
  <c r="P3" i="9"/>
  <c r="Q3" i="9"/>
  <c r="Q27" i="9"/>
  <c r="Z113" i="14"/>
  <c r="L230" i="14"/>
  <c r="T9" i="14"/>
  <c r="U58" i="14"/>
  <c r="T14" i="14"/>
  <c r="U63" i="14"/>
  <c r="T30" i="14"/>
  <c r="T19" i="14"/>
  <c r="U68" i="14"/>
  <c r="T24" i="14"/>
  <c r="U73" i="14"/>
  <c r="U77" i="14"/>
  <c r="I166" i="14"/>
  <c r="I163" i="14"/>
  <c r="J165" i="14"/>
  <c r="R12" i="9"/>
  <c r="R36" i="9"/>
  <c r="V35" i="9"/>
  <c r="U6" i="14"/>
  <c r="V55" i="14"/>
  <c r="T132" i="14"/>
  <c r="W116" i="14"/>
  <c r="U8" i="14"/>
  <c r="V57" i="14"/>
  <c r="W117" i="14"/>
  <c r="U13" i="14"/>
  <c r="V62" i="14"/>
  <c r="W119" i="14"/>
  <c r="U18" i="14"/>
  <c r="V67" i="14"/>
  <c r="W121" i="14"/>
  <c r="U29" i="14"/>
  <c r="U36" i="14"/>
  <c r="U37" i="14"/>
  <c r="U38" i="14"/>
  <c r="U39" i="14"/>
  <c r="U23" i="14"/>
  <c r="V72" i="14"/>
  <c r="W123" i="14"/>
  <c r="W128" i="14"/>
  <c r="V6" i="14"/>
  <c r="W55" i="14"/>
  <c r="U132" i="14"/>
  <c r="X116" i="14"/>
  <c r="V8" i="14"/>
  <c r="W57" i="14"/>
  <c r="X117" i="14"/>
  <c r="V13" i="14"/>
  <c r="W62" i="14"/>
  <c r="X119" i="14"/>
  <c r="V18" i="14"/>
  <c r="W67" i="14"/>
  <c r="X121" i="14"/>
  <c r="V29" i="14"/>
  <c r="V36" i="14"/>
  <c r="V37" i="14"/>
  <c r="V38" i="14"/>
  <c r="V39" i="14"/>
  <c r="V23" i="14"/>
  <c r="W72" i="14"/>
  <c r="X123" i="14"/>
  <c r="X128" i="14"/>
  <c r="W6" i="14"/>
  <c r="X55" i="14"/>
  <c r="V132" i="14"/>
  <c r="Y116" i="14"/>
  <c r="W8" i="14"/>
  <c r="X57" i="14"/>
  <c r="Y117" i="14"/>
  <c r="W13" i="14"/>
  <c r="X62" i="14"/>
  <c r="Y119" i="14"/>
  <c r="W18" i="14"/>
  <c r="X67" i="14"/>
  <c r="Y121" i="14"/>
  <c r="W29" i="14"/>
  <c r="W36" i="14"/>
  <c r="W37" i="14"/>
  <c r="W38" i="14"/>
  <c r="W39" i="14"/>
  <c r="W23" i="14"/>
  <c r="X72" i="14"/>
  <c r="Y123" i="14"/>
  <c r="Y128" i="14"/>
  <c r="X6" i="14"/>
  <c r="Y55" i="14"/>
  <c r="W132" i="14"/>
  <c r="Z116" i="14"/>
  <c r="X8" i="14"/>
  <c r="Y57" i="14"/>
  <c r="Z117" i="14"/>
  <c r="X13" i="14"/>
  <c r="Y62" i="14"/>
  <c r="Z119" i="14"/>
  <c r="X18" i="14"/>
  <c r="Y67" i="14"/>
  <c r="Z121" i="14"/>
  <c r="X29" i="14"/>
  <c r="X36" i="14"/>
  <c r="X37" i="14"/>
  <c r="X38" i="14"/>
  <c r="X39" i="14"/>
  <c r="X23" i="14"/>
  <c r="Y72" i="14"/>
  <c r="Z123" i="14"/>
  <c r="Z128" i="14"/>
  <c r="Y6" i="14"/>
  <c r="Z55" i="14"/>
  <c r="X132" i="14"/>
  <c r="AA116" i="14"/>
  <c r="Y8" i="14"/>
  <c r="Z57" i="14"/>
  <c r="AA117" i="14"/>
  <c r="Y13" i="14"/>
  <c r="Z62" i="14"/>
  <c r="AA119" i="14"/>
  <c r="Y18" i="14"/>
  <c r="Z67" i="14"/>
  <c r="AA121" i="14"/>
  <c r="Y29" i="14"/>
  <c r="Y36" i="14"/>
  <c r="Y37" i="14"/>
  <c r="Y38" i="14"/>
  <c r="Y39" i="14"/>
  <c r="Y23" i="14"/>
  <c r="Z72" i="14"/>
  <c r="AA123" i="14"/>
  <c r="AA128" i="14"/>
  <c r="G117" i="14"/>
  <c r="G116" i="14"/>
  <c r="G119" i="14"/>
  <c r="G121" i="14"/>
  <c r="G123" i="14"/>
  <c r="G128" i="14"/>
  <c r="G129" i="14"/>
  <c r="I3" i="19"/>
  <c r="E4" i="9"/>
  <c r="F4" i="9"/>
  <c r="G4" i="9"/>
  <c r="G28" i="9"/>
  <c r="G27" i="9"/>
  <c r="G31" i="9"/>
  <c r="W112" i="14"/>
  <c r="W113" i="14"/>
  <c r="AB22" i="14"/>
  <c r="V120" i="14"/>
  <c r="V122" i="14"/>
  <c r="P26" i="14"/>
  <c r="P20" i="14"/>
  <c r="S15" i="14"/>
  <c r="S25" i="14"/>
  <c r="U20" i="14"/>
  <c r="V69" i="14"/>
  <c r="V118" i="14"/>
  <c r="AA40" i="14"/>
  <c r="U10" i="14"/>
  <c r="V59" i="14"/>
  <c r="O136" i="14"/>
  <c r="S134" i="14"/>
  <c r="O134" i="14"/>
  <c r="Y113" i="14"/>
  <c r="X113" i="14"/>
  <c r="Q10" i="14"/>
  <c r="R59" i="14"/>
  <c r="S118" i="14"/>
  <c r="AA38" i="9"/>
  <c r="N22" i="9"/>
  <c r="H6" i="9"/>
  <c r="I6" i="9"/>
  <c r="J6" i="9"/>
  <c r="K6" i="9"/>
  <c r="L6" i="9"/>
  <c r="M6" i="9"/>
  <c r="N6" i="9"/>
  <c r="O6" i="9"/>
  <c r="P6" i="9"/>
  <c r="Q6" i="9"/>
  <c r="Q30" i="9"/>
  <c r="G30" i="9"/>
  <c r="H30" i="9"/>
  <c r="C10" i="9"/>
  <c r="D10" i="9"/>
  <c r="E10" i="9"/>
  <c r="F10" i="9"/>
  <c r="G10" i="9"/>
  <c r="G34" i="9"/>
  <c r="AC26" i="19"/>
  <c r="Z112" i="14"/>
  <c r="Y112" i="14"/>
  <c r="X112" i="14"/>
  <c r="V113" i="14"/>
  <c r="V112" i="14"/>
  <c r="J43" i="14"/>
  <c r="Q69" i="14"/>
  <c r="I119" i="14"/>
  <c r="I117" i="14"/>
  <c r="S10" i="14"/>
  <c r="T59" i="14"/>
  <c r="T44" i="14"/>
  <c r="F136" i="14"/>
  <c r="Q59" i="14"/>
  <c r="I116" i="14"/>
  <c r="H116" i="14"/>
  <c r="L10" i="19"/>
  <c r="M10" i="19"/>
  <c r="N10" i="19"/>
  <c r="O10" i="19"/>
  <c r="P10" i="19"/>
  <c r="Q10" i="19"/>
  <c r="R10" i="19"/>
  <c r="S10" i="19"/>
  <c r="K10" i="19"/>
  <c r="J10" i="19"/>
  <c r="I10" i="19"/>
  <c r="Q35" i="9"/>
  <c r="I6" i="12"/>
  <c r="S14" i="12"/>
  <c r="S32" i="12"/>
  <c r="AE99" i="14"/>
  <c r="AO100" i="14"/>
  <c r="G35" i="9"/>
  <c r="AH100" i="14"/>
  <c r="Q20" i="14"/>
  <c r="R69" i="14"/>
  <c r="AL100" i="14"/>
  <c r="R20" i="14"/>
  <c r="S69" i="14"/>
  <c r="AM100" i="14"/>
  <c r="S20" i="14"/>
  <c r="T69" i="14"/>
  <c r="AN100" i="14"/>
  <c r="AK100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U108" i="14"/>
  <c r="V108" i="14"/>
  <c r="W108" i="14"/>
  <c r="X108" i="14"/>
  <c r="AA101" i="14"/>
  <c r="U30" i="14"/>
  <c r="V30" i="14"/>
  <c r="W30" i="14"/>
  <c r="X30" i="14"/>
  <c r="Y30" i="14"/>
  <c r="Y24" i="14"/>
  <c r="Z73" i="14"/>
  <c r="AA102" i="14"/>
  <c r="AG100" i="14"/>
  <c r="AI100" i="14"/>
  <c r="AJ100" i="14"/>
  <c r="AF100" i="14"/>
  <c r="AE100" i="14"/>
  <c r="AQ100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U188" i="14"/>
  <c r="V188" i="14"/>
  <c r="W188" i="14"/>
  <c r="X188" i="14"/>
  <c r="Y188" i="14"/>
  <c r="Z188" i="14"/>
  <c r="AA188" i="14"/>
  <c r="H188" i="14"/>
  <c r="G188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U170" i="14"/>
  <c r="V170" i="14"/>
  <c r="W170" i="14"/>
  <c r="X170" i="14"/>
  <c r="Y170" i="14"/>
  <c r="Z170" i="14"/>
  <c r="AA170" i="14"/>
  <c r="G170" i="14"/>
  <c r="H170" i="14"/>
  <c r="J171" i="14"/>
  <c r="H290" i="14"/>
  <c r="H36" i="9"/>
  <c r="H35" i="9"/>
  <c r="G36" i="9"/>
  <c r="H37" i="9"/>
  <c r="AA12" i="9"/>
  <c r="G37" i="9"/>
  <c r="B34" i="9"/>
  <c r="B17" i="9"/>
  <c r="J12" i="19"/>
  <c r="J11" i="19"/>
  <c r="K11" i="19"/>
  <c r="K12" i="19"/>
  <c r="R6" i="9"/>
  <c r="S6" i="9"/>
  <c r="T6" i="9"/>
  <c r="U6" i="9"/>
  <c r="V6" i="9"/>
  <c r="L12" i="19"/>
  <c r="L11" i="19"/>
  <c r="M12" i="19"/>
  <c r="M11" i="19"/>
  <c r="T10" i="19"/>
  <c r="N12" i="19"/>
  <c r="N11" i="19"/>
  <c r="F3" i="12"/>
  <c r="F21" i="12"/>
  <c r="F6" i="12"/>
  <c r="U10" i="19"/>
  <c r="O11" i="19"/>
  <c r="F24" i="12"/>
  <c r="F6" i="19"/>
  <c r="O12" i="19"/>
  <c r="V10" i="19"/>
  <c r="P12" i="19"/>
  <c r="P11" i="19"/>
  <c r="W10" i="19"/>
  <c r="Q12" i="19"/>
  <c r="Q11" i="19"/>
  <c r="X10" i="19"/>
  <c r="R12" i="19"/>
  <c r="R11" i="19"/>
  <c r="S11" i="19"/>
  <c r="S12" i="19"/>
  <c r="S12" i="9"/>
  <c r="T11" i="19"/>
  <c r="T12" i="19"/>
  <c r="T12" i="9"/>
  <c r="U11" i="19"/>
  <c r="U12" i="19"/>
  <c r="T30" i="19"/>
  <c r="U12" i="9"/>
  <c r="V11" i="19"/>
  <c r="V12" i="19"/>
  <c r="U30" i="19"/>
  <c r="V12" i="9"/>
  <c r="W11" i="19"/>
  <c r="W12" i="19"/>
  <c r="V30" i="19"/>
  <c r="X11" i="19"/>
  <c r="X12" i="19"/>
  <c r="X30" i="19"/>
  <c r="W30" i="19"/>
  <c r="B82" i="9"/>
  <c r="B78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B60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B19" i="9"/>
  <c r="B41" i="9"/>
  <c r="B39" i="9"/>
  <c r="B38" i="9"/>
  <c r="C33" i="9"/>
  <c r="B33" i="9"/>
  <c r="C32" i="9"/>
  <c r="B32" i="9"/>
  <c r="C31" i="9"/>
  <c r="B31" i="9"/>
  <c r="C30" i="9"/>
  <c r="B30" i="9"/>
  <c r="L29" i="9"/>
  <c r="K29" i="9"/>
  <c r="J29" i="9"/>
  <c r="I29" i="9"/>
  <c r="H29" i="9"/>
  <c r="G29" i="9"/>
  <c r="F29" i="9"/>
  <c r="E29" i="9"/>
  <c r="C29" i="9"/>
  <c r="B29" i="9"/>
  <c r="C28" i="9"/>
  <c r="B28" i="9"/>
  <c r="C27" i="9"/>
  <c r="B27" i="9"/>
  <c r="B20" i="9"/>
  <c r="B81" i="9"/>
  <c r="B80" i="9"/>
  <c r="B18" i="9"/>
  <c r="B79" i="9"/>
  <c r="B42" i="9"/>
  <c r="B63" i="9"/>
  <c r="B40" i="9"/>
  <c r="B62" i="9"/>
  <c r="B61" i="9"/>
  <c r="M9" i="9"/>
  <c r="H8" i="9"/>
  <c r="I8" i="9"/>
  <c r="E8" i="9"/>
  <c r="H7" i="9"/>
  <c r="I7" i="9"/>
  <c r="AE5" i="9"/>
  <c r="M5" i="9"/>
  <c r="N5" i="9"/>
  <c r="J8" i="9"/>
  <c r="N29" i="9"/>
  <c r="O5" i="9"/>
  <c r="F53" i="9"/>
  <c r="K35" i="9"/>
  <c r="K37" i="9"/>
  <c r="K36" i="9"/>
  <c r="F58" i="9"/>
  <c r="F54" i="9"/>
  <c r="E54" i="9"/>
  <c r="F55" i="9"/>
  <c r="F56" i="9"/>
  <c r="F57" i="9"/>
  <c r="F52" i="9"/>
  <c r="I3" i="12"/>
  <c r="D76" i="9"/>
  <c r="D75" i="9"/>
  <c r="D74" i="9"/>
  <c r="D73" i="9"/>
  <c r="D72" i="9"/>
  <c r="D71" i="9"/>
  <c r="D70" i="9"/>
  <c r="E33" i="9"/>
  <c r="E30" i="9"/>
  <c r="E31" i="9"/>
  <c r="D31" i="9"/>
  <c r="D30" i="9"/>
  <c r="D29" i="9"/>
  <c r="D27" i="9"/>
  <c r="D32" i="9"/>
  <c r="D33" i="9"/>
  <c r="D28" i="9"/>
  <c r="AF5" i="9"/>
  <c r="J7" i="9"/>
  <c r="J35" i="9"/>
  <c r="J37" i="9"/>
  <c r="J36" i="9"/>
  <c r="E55" i="9"/>
  <c r="E56" i="9"/>
  <c r="E58" i="9"/>
  <c r="D77" i="9"/>
  <c r="D18" i="9"/>
  <c r="D17" i="9"/>
  <c r="D59" i="9"/>
  <c r="D38" i="9"/>
  <c r="D19" i="9"/>
  <c r="D20" i="9"/>
  <c r="I35" i="9"/>
  <c r="I37" i="9"/>
  <c r="I36" i="9"/>
  <c r="D56" i="9"/>
  <c r="D53" i="9"/>
  <c r="D57" i="9"/>
  <c r="D52" i="9"/>
  <c r="D55" i="9"/>
  <c r="D54" i="9"/>
  <c r="D58" i="9"/>
  <c r="E75" i="9"/>
  <c r="E57" i="9"/>
  <c r="E32" i="9"/>
  <c r="C77" i="9"/>
  <c r="C17" i="9"/>
  <c r="C18" i="9"/>
  <c r="C59" i="9"/>
  <c r="C38" i="9"/>
  <c r="C19" i="9"/>
  <c r="C20" i="9"/>
  <c r="F27" i="9"/>
  <c r="E71" i="9"/>
  <c r="E53" i="9"/>
  <c r="E28" i="9"/>
  <c r="E70" i="9"/>
  <c r="E27" i="9"/>
  <c r="E52" i="9"/>
  <c r="M29" i="9"/>
  <c r="E18" i="12"/>
  <c r="D18" i="12"/>
  <c r="D36" i="12"/>
  <c r="F17" i="12"/>
  <c r="E17" i="12"/>
  <c r="D17" i="12"/>
  <c r="D35" i="12"/>
  <c r="F16" i="12"/>
  <c r="F34" i="12"/>
  <c r="D16" i="12"/>
  <c r="D34" i="12"/>
  <c r="F15" i="12"/>
  <c r="E15" i="12"/>
  <c r="D15" i="12"/>
  <c r="D33" i="12"/>
  <c r="F14" i="12"/>
  <c r="E14" i="12"/>
  <c r="D14" i="12"/>
  <c r="D32" i="12"/>
  <c r="O9" i="12"/>
  <c r="N9" i="12"/>
  <c r="M9" i="12"/>
  <c r="M9" i="19"/>
  <c r="L9" i="12"/>
  <c r="L9" i="19"/>
  <c r="K9" i="12"/>
  <c r="K9" i="19"/>
  <c r="J9" i="12"/>
  <c r="J9" i="19"/>
  <c r="I9" i="12"/>
  <c r="H9" i="12"/>
  <c r="G9" i="12"/>
  <c r="F9" i="12"/>
  <c r="E9" i="12"/>
  <c r="D9" i="12"/>
  <c r="L8" i="12"/>
  <c r="L8" i="19"/>
  <c r="K8" i="12"/>
  <c r="K8" i="19"/>
  <c r="J8" i="12"/>
  <c r="J8" i="19"/>
  <c r="I8" i="12"/>
  <c r="I8" i="19"/>
  <c r="H8" i="12"/>
  <c r="G8" i="12"/>
  <c r="F8" i="12"/>
  <c r="E8" i="12"/>
  <c r="D8" i="12"/>
  <c r="X7" i="12"/>
  <c r="AQ4" i="12"/>
  <c r="AR4" i="12"/>
  <c r="AS4" i="12"/>
  <c r="AT4" i="12"/>
  <c r="AU4" i="12"/>
  <c r="X25" i="12"/>
  <c r="W7" i="12"/>
  <c r="W25" i="12"/>
  <c r="V7" i="12"/>
  <c r="V25" i="12"/>
  <c r="U7" i="12"/>
  <c r="T7" i="12"/>
  <c r="S7" i="12"/>
  <c r="R7" i="12"/>
  <c r="R7" i="19"/>
  <c r="Q7" i="12"/>
  <c r="P7" i="12"/>
  <c r="O7" i="12"/>
  <c r="O7" i="19"/>
  <c r="L7" i="12"/>
  <c r="L7" i="19"/>
  <c r="K7" i="12"/>
  <c r="K7" i="19"/>
  <c r="J7" i="12"/>
  <c r="J7" i="19"/>
  <c r="I7" i="12"/>
  <c r="I7" i="19"/>
  <c r="H7" i="12"/>
  <c r="G7" i="12"/>
  <c r="F7" i="12"/>
  <c r="E7" i="12"/>
  <c r="D7" i="12"/>
  <c r="X6" i="12"/>
  <c r="W6" i="12"/>
  <c r="V6" i="12"/>
  <c r="U6" i="12"/>
  <c r="T6" i="12"/>
  <c r="S6" i="12"/>
  <c r="R6" i="12"/>
  <c r="R6" i="19"/>
  <c r="Q6" i="12"/>
  <c r="Q6" i="19"/>
  <c r="P6" i="12"/>
  <c r="P6" i="19"/>
  <c r="J6" i="12"/>
  <c r="J6" i="19"/>
  <c r="I6" i="19"/>
  <c r="H6" i="12"/>
  <c r="H6" i="19"/>
  <c r="G6" i="12"/>
  <c r="G6" i="19"/>
  <c r="E6" i="12"/>
  <c r="D6" i="12"/>
  <c r="AC5" i="12"/>
  <c r="AD5" i="12"/>
  <c r="Q5" i="12"/>
  <c r="Q23" i="12"/>
  <c r="P5" i="12"/>
  <c r="P23" i="12"/>
  <c r="O5" i="12"/>
  <c r="O23" i="12"/>
  <c r="N5" i="12"/>
  <c r="N23" i="12"/>
  <c r="M5" i="12"/>
  <c r="M23" i="12"/>
  <c r="L5" i="12"/>
  <c r="L23" i="12"/>
  <c r="K5" i="12"/>
  <c r="K23" i="12"/>
  <c r="J5" i="12"/>
  <c r="J23" i="12"/>
  <c r="I5" i="12"/>
  <c r="I23" i="12"/>
  <c r="H5" i="12"/>
  <c r="H23" i="12"/>
  <c r="G5" i="12"/>
  <c r="G23" i="12"/>
  <c r="F5" i="12"/>
  <c r="F23" i="12"/>
  <c r="E5" i="12"/>
  <c r="D5" i="12"/>
  <c r="I4" i="12"/>
  <c r="H4" i="12"/>
  <c r="H22" i="12"/>
  <c r="G4" i="12"/>
  <c r="F4" i="12"/>
  <c r="F22" i="12"/>
  <c r="E4" i="12"/>
  <c r="D4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H3" i="12"/>
  <c r="G3" i="12"/>
  <c r="E3" i="12"/>
  <c r="D3" i="12"/>
  <c r="D21" i="12"/>
  <c r="I9" i="19"/>
  <c r="I27" i="12"/>
  <c r="Q25" i="12"/>
  <c r="Q7" i="19"/>
  <c r="O27" i="12"/>
  <c r="O9" i="19"/>
  <c r="P25" i="12"/>
  <c r="P7" i="19"/>
  <c r="N27" i="12"/>
  <c r="N9" i="19"/>
  <c r="S25" i="12"/>
  <c r="R25" i="12"/>
  <c r="S7" i="19"/>
  <c r="C81" i="9"/>
  <c r="C42" i="9"/>
  <c r="C63" i="9"/>
  <c r="C80" i="9"/>
  <c r="C41" i="9"/>
  <c r="C62" i="9"/>
  <c r="C78" i="9"/>
  <c r="C60" i="9"/>
  <c r="C39" i="9"/>
  <c r="H4" i="9"/>
  <c r="G53" i="9"/>
  <c r="F18" i="12"/>
  <c r="F36" i="12"/>
  <c r="E36" i="12"/>
  <c r="G52" i="9"/>
  <c r="L35" i="9"/>
  <c r="L37" i="9"/>
  <c r="L36" i="9"/>
  <c r="G57" i="9"/>
  <c r="G58" i="9"/>
  <c r="G54" i="9"/>
  <c r="G56" i="9"/>
  <c r="G55" i="9"/>
  <c r="F32" i="9"/>
  <c r="F33" i="9"/>
  <c r="F31" i="9"/>
  <c r="F30" i="9"/>
  <c r="D80" i="9"/>
  <c r="D62" i="9"/>
  <c r="D41" i="9"/>
  <c r="D79" i="9"/>
  <c r="D40" i="9"/>
  <c r="D61" i="9"/>
  <c r="E76" i="9"/>
  <c r="E73" i="9"/>
  <c r="E72" i="9"/>
  <c r="AG5" i="9"/>
  <c r="E16" i="12"/>
  <c r="F28" i="9"/>
  <c r="C79" i="9"/>
  <c r="C40" i="9"/>
  <c r="C61" i="9"/>
  <c r="D81" i="9"/>
  <c r="D63" i="9"/>
  <c r="D42" i="9"/>
  <c r="D78" i="9"/>
  <c r="D39" i="9"/>
  <c r="D60" i="9"/>
  <c r="K7" i="9"/>
  <c r="O29" i="9"/>
  <c r="P5" i="9"/>
  <c r="X24" i="12"/>
  <c r="X6" i="19"/>
  <c r="W24" i="12"/>
  <c r="W6" i="19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D6" i="19"/>
  <c r="T24" i="12"/>
  <c r="T6" i="19"/>
  <c r="E24" i="12"/>
  <c r="E6" i="19"/>
  <c r="S24" i="12"/>
  <c r="G68" i="44"/>
  <c r="S6" i="19"/>
  <c r="V24" i="12"/>
  <c r="V6" i="19"/>
  <c r="U24" i="12"/>
  <c r="U6" i="19"/>
  <c r="E22" i="12"/>
  <c r="D22" i="12"/>
  <c r="K26" i="12"/>
  <c r="J26" i="12"/>
  <c r="I26" i="12"/>
  <c r="H26" i="12"/>
  <c r="G26" i="12"/>
  <c r="F26" i="12"/>
  <c r="E26" i="12"/>
  <c r="D26" i="12"/>
  <c r="G22" i="12"/>
  <c r="E23" i="12"/>
  <c r="D23" i="12"/>
  <c r="O25" i="12"/>
  <c r="M27" i="12"/>
  <c r="L27" i="12"/>
  <c r="K27" i="12"/>
  <c r="J27" i="12"/>
  <c r="H27" i="12"/>
  <c r="G27" i="12"/>
  <c r="F27" i="12"/>
  <c r="E27" i="12"/>
  <c r="D27" i="12"/>
  <c r="R24" i="12"/>
  <c r="Q24" i="12"/>
  <c r="P24" i="12"/>
  <c r="U25" i="12"/>
  <c r="T25" i="12"/>
  <c r="E34" i="12"/>
  <c r="E21" i="12"/>
  <c r="F35" i="12"/>
  <c r="E35" i="12"/>
  <c r="F32" i="12"/>
  <c r="F33" i="12"/>
  <c r="E33" i="12"/>
  <c r="D24" i="12"/>
  <c r="F18" i="19"/>
  <c r="E18" i="19"/>
  <c r="D18" i="19"/>
  <c r="F17" i="19"/>
  <c r="E17" i="19"/>
  <c r="D17" i="19"/>
  <c r="F16" i="19"/>
  <c r="E16" i="19"/>
  <c r="D16" i="19"/>
  <c r="F15" i="19"/>
  <c r="E15" i="19"/>
  <c r="D15" i="19"/>
  <c r="F14" i="19"/>
  <c r="E14" i="19"/>
  <c r="D14" i="19"/>
  <c r="H9" i="19"/>
  <c r="G9" i="19"/>
  <c r="F9" i="19"/>
  <c r="E9" i="19"/>
  <c r="D9" i="19"/>
  <c r="H8" i="19"/>
  <c r="G8" i="19"/>
  <c r="F8" i="19"/>
  <c r="E8" i="19"/>
  <c r="D8" i="19"/>
  <c r="X7" i="19"/>
  <c r="W7" i="19"/>
  <c r="V7" i="19"/>
  <c r="U7" i="19"/>
  <c r="T7" i="19"/>
  <c r="H7" i="19"/>
  <c r="G7" i="19"/>
  <c r="F7" i="19"/>
  <c r="E7" i="19"/>
  <c r="D7" i="19"/>
  <c r="AC5" i="19"/>
  <c r="AD5" i="19"/>
  <c r="R5" i="19"/>
  <c r="M35" i="9"/>
  <c r="M37" i="9"/>
  <c r="M36" i="9"/>
  <c r="H58" i="9"/>
  <c r="H54" i="9"/>
  <c r="H55" i="9"/>
  <c r="H56" i="9"/>
  <c r="H57" i="9"/>
  <c r="G32" i="9"/>
  <c r="G33" i="9"/>
  <c r="F34" i="9"/>
  <c r="E34" i="9"/>
  <c r="D34" i="9"/>
  <c r="C34" i="9"/>
  <c r="H27" i="9"/>
  <c r="H52" i="9"/>
  <c r="P29" i="9"/>
  <c r="Q5" i="9"/>
  <c r="S5" i="12"/>
  <c r="S23" i="12"/>
  <c r="M7" i="12"/>
  <c r="N7" i="12"/>
  <c r="I4" i="9"/>
  <c r="H53" i="9"/>
  <c r="H28" i="9"/>
  <c r="J4" i="12"/>
  <c r="F74" i="9"/>
  <c r="E74" i="9"/>
  <c r="F75" i="9"/>
  <c r="F73" i="9"/>
  <c r="F76" i="9"/>
  <c r="F72" i="9"/>
  <c r="AH5" i="9"/>
  <c r="F70" i="9"/>
  <c r="F71" i="9"/>
  <c r="J3" i="12"/>
  <c r="E33" i="19"/>
  <c r="D33" i="19"/>
  <c r="E36" i="19"/>
  <c r="D36" i="19"/>
  <c r="Q5" i="19"/>
  <c r="D24" i="19"/>
  <c r="E32" i="12"/>
  <c r="F37" i="12"/>
  <c r="E34" i="19"/>
  <c r="D34" i="19"/>
  <c r="E32" i="19"/>
  <c r="E35" i="19"/>
  <c r="D35" i="19"/>
  <c r="P5" i="19"/>
  <c r="O5" i="19"/>
  <c r="N5" i="19"/>
  <c r="M5" i="19"/>
  <c r="L5" i="19"/>
  <c r="K5" i="19"/>
  <c r="J5" i="19"/>
  <c r="I5" i="19"/>
  <c r="H5" i="19"/>
  <c r="M25" i="12"/>
  <c r="L25" i="12"/>
  <c r="K25" i="12"/>
  <c r="J25" i="12"/>
  <c r="I25" i="12"/>
  <c r="H25" i="12"/>
  <c r="G25" i="12"/>
  <c r="F25" i="12"/>
  <c r="M7" i="19"/>
  <c r="N25" i="12"/>
  <c r="N7" i="19"/>
  <c r="J4" i="9"/>
  <c r="I53" i="9"/>
  <c r="I52" i="9"/>
  <c r="K3" i="12"/>
  <c r="L3" i="12"/>
  <c r="G74" i="9"/>
  <c r="G73" i="9"/>
  <c r="G76" i="9"/>
  <c r="G75" i="9"/>
  <c r="G72" i="9"/>
  <c r="AI5" i="9"/>
  <c r="G71" i="9"/>
  <c r="G70" i="9"/>
  <c r="H33" i="9"/>
  <c r="I27" i="9"/>
  <c r="H32" i="9"/>
  <c r="H31" i="9"/>
  <c r="R5" i="12"/>
  <c r="R23" i="12"/>
  <c r="N35" i="9"/>
  <c r="N37" i="9"/>
  <c r="N36" i="9"/>
  <c r="I58" i="9"/>
  <c r="I54" i="9"/>
  <c r="I56" i="9"/>
  <c r="I57" i="9"/>
  <c r="Q29" i="9"/>
  <c r="R5" i="9"/>
  <c r="S5" i="19"/>
  <c r="K4" i="12"/>
  <c r="D32" i="19"/>
  <c r="D37" i="19"/>
  <c r="E37" i="19"/>
  <c r="D37" i="12"/>
  <c r="E37" i="12"/>
  <c r="G5" i="19"/>
  <c r="F5" i="19"/>
  <c r="E5" i="19"/>
  <c r="D5" i="19"/>
  <c r="AC4" i="19"/>
  <c r="L4" i="19"/>
  <c r="K4" i="19"/>
  <c r="J4" i="19"/>
  <c r="I4" i="19"/>
  <c r="H4" i="19"/>
  <c r="G4" i="19"/>
  <c r="F4" i="19"/>
  <c r="E4" i="19"/>
  <c r="D4" i="19"/>
  <c r="AC3" i="19"/>
  <c r="AD3" i="19"/>
  <c r="L3" i="19"/>
  <c r="K3" i="19"/>
  <c r="H3" i="19"/>
  <c r="G3" i="19"/>
  <c r="F3" i="19"/>
  <c r="E3" i="19"/>
  <c r="D3" i="19"/>
  <c r="D21" i="19"/>
  <c r="E25" i="12"/>
  <c r="F31" i="12"/>
  <c r="F39" i="12"/>
  <c r="F44" i="12"/>
  <c r="O35" i="9"/>
  <c r="O37" i="9"/>
  <c r="O36" i="9"/>
  <c r="J58" i="9"/>
  <c r="J54" i="9"/>
  <c r="J57" i="9"/>
  <c r="J56" i="9"/>
  <c r="H76" i="9"/>
  <c r="H73" i="9"/>
  <c r="H72" i="9"/>
  <c r="AJ5" i="9"/>
  <c r="H75" i="9"/>
  <c r="H74" i="9"/>
  <c r="H70" i="9"/>
  <c r="H71" i="9"/>
  <c r="R29" i="9"/>
  <c r="S5" i="9"/>
  <c r="T5" i="12"/>
  <c r="T23" i="12"/>
  <c r="K4" i="9"/>
  <c r="J28" i="9"/>
  <c r="J53" i="9"/>
  <c r="L4" i="12"/>
  <c r="I33" i="9"/>
  <c r="I31" i="9"/>
  <c r="I32" i="9"/>
  <c r="J52" i="9"/>
  <c r="J27" i="9"/>
  <c r="M3" i="12"/>
  <c r="U5" i="19"/>
  <c r="I28" i="9"/>
  <c r="T5" i="19"/>
  <c r="J3" i="19"/>
  <c r="AD4" i="19"/>
  <c r="G24" i="19"/>
  <c r="F24" i="19"/>
  <c r="E24" i="19"/>
  <c r="G23" i="19"/>
  <c r="F23" i="19"/>
  <c r="E23" i="19"/>
  <c r="G22" i="19"/>
  <c r="F33" i="19"/>
  <c r="F32" i="19"/>
  <c r="F36" i="19"/>
  <c r="F34" i="19"/>
  <c r="F35" i="19"/>
  <c r="F22" i="19"/>
  <c r="E22" i="19"/>
  <c r="D22" i="19"/>
  <c r="D23" i="19"/>
  <c r="D25" i="12"/>
  <c r="E31" i="12"/>
  <c r="E39" i="12"/>
  <c r="E44" i="12"/>
  <c r="K52" i="9"/>
  <c r="N3" i="12"/>
  <c r="M3" i="19"/>
  <c r="S29" i="9"/>
  <c r="T5" i="9"/>
  <c r="I76" i="9"/>
  <c r="I72" i="9"/>
  <c r="AK5" i="9"/>
  <c r="I74" i="9"/>
  <c r="I75" i="9"/>
  <c r="I70" i="9"/>
  <c r="I71" i="9"/>
  <c r="M4" i="19"/>
  <c r="J33" i="9"/>
  <c r="K27" i="9"/>
  <c r="J32" i="9"/>
  <c r="J31" i="9"/>
  <c r="P35" i="9"/>
  <c r="P37" i="9"/>
  <c r="P36" i="9"/>
  <c r="K58" i="9"/>
  <c r="K54" i="9"/>
  <c r="K56" i="9"/>
  <c r="U5" i="12"/>
  <c r="U23" i="12"/>
  <c r="V5" i="19"/>
  <c r="L4" i="9"/>
  <c r="K53" i="9"/>
  <c r="K28" i="9"/>
  <c r="M4" i="12"/>
  <c r="AE4" i="19"/>
  <c r="F37" i="19"/>
  <c r="D31" i="12"/>
  <c r="D39" i="12"/>
  <c r="M4" i="9"/>
  <c r="L53" i="9"/>
  <c r="N4" i="19"/>
  <c r="N4" i="12"/>
  <c r="J76" i="9"/>
  <c r="J72" i="9"/>
  <c r="AL5" i="9"/>
  <c r="J74" i="9"/>
  <c r="J75" i="9"/>
  <c r="J71" i="9"/>
  <c r="J70" i="9"/>
  <c r="L52" i="9"/>
  <c r="N3" i="19"/>
  <c r="Q37" i="9"/>
  <c r="L56" i="9"/>
  <c r="L58" i="9"/>
  <c r="L54" i="9"/>
  <c r="K33" i="9"/>
  <c r="L28" i="9"/>
  <c r="K31" i="9"/>
  <c r="T29" i="9"/>
  <c r="U5" i="9"/>
  <c r="G48" i="19"/>
  <c r="D44" i="12"/>
  <c r="L31" i="9"/>
  <c r="L33" i="9"/>
  <c r="V5" i="9"/>
  <c r="W5" i="12"/>
  <c r="W5" i="19"/>
  <c r="N4" i="9"/>
  <c r="M28" i="9"/>
  <c r="M53" i="9"/>
  <c r="O4" i="19"/>
  <c r="O4" i="12"/>
  <c r="O3" i="19"/>
  <c r="M52" i="9"/>
  <c r="M27" i="9"/>
  <c r="O3" i="12"/>
  <c r="R35" i="9"/>
  <c r="R37" i="9"/>
  <c r="M55" i="9"/>
  <c r="M56" i="9"/>
  <c r="M58" i="9"/>
  <c r="M54" i="9"/>
  <c r="K76" i="9"/>
  <c r="K72" i="9"/>
  <c r="AM5" i="9"/>
  <c r="K74" i="9"/>
  <c r="K70" i="9"/>
  <c r="K71" i="9"/>
  <c r="L27" i="9"/>
  <c r="O4" i="9"/>
  <c r="N53" i="9"/>
  <c r="P4" i="12"/>
  <c r="P4" i="19"/>
  <c r="V29" i="9"/>
  <c r="U29" i="9"/>
  <c r="X5" i="19"/>
  <c r="X5" i="12"/>
  <c r="X23" i="12"/>
  <c r="L76" i="9"/>
  <c r="L74" i="9"/>
  <c r="L72" i="9"/>
  <c r="AN5" i="9"/>
  <c r="L71" i="9"/>
  <c r="L70" i="9"/>
  <c r="V5" i="12"/>
  <c r="V23" i="12"/>
  <c r="W23" i="12"/>
  <c r="M31" i="9"/>
  <c r="M30" i="9"/>
  <c r="M33" i="9"/>
  <c r="S35" i="9"/>
  <c r="S37" i="9"/>
  <c r="S36" i="9"/>
  <c r="N55" i="9"/>
  <c r="N56" i="9"/>
  <c r="N54" i="9"/>
  <c r="P4" i="9"/>
  <c r="R4" i="19"/>
  <c r="N31" i="9"/>
  <c r="N30" i="9"/>
  <c r="O28" i="9"/>
  <c r="O53" i="9"/>
  <c r="Q4" i="12"/>
  <c r="Q4" i="19"/>
  <c r="N28" i="9"/>
  <c r="M74" i="9"/>
  <c r="M73" i="9"/>
  <c r="AO5" i="9"/>
  <c r="M76" i="9"/>
  <c r="M72" i="9"/>
  <c r="M70" i="9"/>
  <c r="M71" i="9"/>
  <c r="T35" i="9"/>
  <c r="T37" i="9"/>
  <c r="T36" i="9"/>
  <c r="O55" i="9"/>
  <c r="O56" i="9"/>
  <c r="O54" i="9"/>
  <c r="O21" i="12"/>
  <c r="G333" i="14"/>
  <c r="F333" i="14"/>
  <c r="E333" i="14"/>
  <c r="N74" i="9"/>
  <c r="N73" i="9"/>
  <c r="AP5" i="9"/>
  <c r="N72" i="9"/>
  <c r="N71" i="9"/>
  <c r="U35" i="9"/>
  <c r="U37" i="9"/>
  <c r="U36" i="9"/>
  <c r="P56" i="9"/>
  <c r="P55" i="9"/>
  <c r="P54" i="9"/>
  <c r="P53" i="9"/>
  <c r="Q4" i="9"/>
  <c r="R4" i="12"/>
  <c r="O31" i="9"/>
  <c r="O30" i="9"/>
  <c r="P28" i="9"/>
  <c r="N21" i="12"/>
  <c r="G332" i="14"/>
  <c r="F332" i="14"/>
  <c r="E332" i="14"/>
  <c r="F331" i="14"/>
  <c r="E331" i="14"/>
  <c r="P31" i="9"/>
  <c r="P30" i="9"/>
  <c r="V36" i="9"/>
  <c r="Q55" i="9"/>
  <c r="Q56" i="9"/>
  <c r="AS4" i="9"/>
  <c r="Q54" i="9"/>
  <c r="O74" i="9"/>
  <c r="O73" i="9"/>
  <c r="AQ5" i="9"/>
  <c r="O72" i="9"/>
  <c r="O71" i="9"/>
  <c r="R4" i="9"/>
  <c r="Q53" i="9"/>
  <c r="Q28" i="9"/>
  <c r="T4" i="12"/>
  <c r="S4" i="19"/>
  <c r="S4" i="12"/>
  <c r="M21" i="12"/>
  <c r="G292" i="14"/>
  <c r="F292" i="14"/>
  <c r="E292" i="14"/>
  <c r="S4" i="9"/>
  <c r="R53" i="9"/>
  <c r="T4" i="19"/>
  <c r="R55" i="9"/>
  <c r="R56" i="9"/>
  <c r="AT4" i="9"/>
  <c r="R54" i="9"/>
  <c r="P73" i="9"/>
  <c r="P74" i="9"/>
  <c r="AR5" i="9"/>
  <c r="P72" i="9"/>
  <c r="P71" i="9"/>
  <c r="Q31" i="9"/>
  <c r="U4" i="12"/>
  <c r="L21" i="12"/>
  <c r="U4" i="19"/>
  <c r="S53" i="9"/>
  <c r="T4" i="9"/>
  <c r="V4" i="19"/>
  <c r="Q74" i="9"/>
  <c r="Q73" i="9"/>
  <c r="AS5" i="9"/>
  <c r="Q72" i="9"/>
  <c r="Q71" i="9"/>
  <c r="S55" i="9"/>
  <c r="S56" i="9"/>
  <c r="AU4" i="9"/>
  <c r="S54" i="9"/>
  <c r="R30" i="9"/>
  <c r="R31" i="9"/>
  <c r="S28" i="9"/>
  <c r="R28" i="9"/>
  <c r="K21" i="12"/>
  <c r="V4" i="12"/>
  <c r="T53" i="9"/>
  <c r="U4" i="9"/>
  <c r="R74" i="9"/>
  <c r="R73" i="9"/>
  <c r="AT5" i="9"/>
  <c r="R72" i="9"/>
  <c r="R71" i="9"/>
  <c r="W4" i="12"/>
  <c r="S31" i="9"/>
  <c r="S30" i="9"/>
  <c r="T28" i="9"/>
  <c r="T56" i="9"/>
  <c r="T55" i="9"/>
  <c r="AV4" i="9"/>
  <c r="T54" i="9"/>
  <c r="W4" i="19"/>
  <c r="J21" i="12"/>
  <c r="S74" i="9"/>
  <c r="S73" i="9"/>
  <c r="AU5" i="9"/>
  <c r="S72" i="9"/>
  <c r="S71" i="9"/>
  <c r="U53" i="9"/>
  <c r="V4" i="9"/>
  <c r="X4" i="19"/>
  <c r="U55" i="9"/>
  <c r="U56" i="9"/>
  <c r="AW4" i="9"/>
  <c r="U54" i="9"/>
  <c r="T30" i="9"/>
  <c r="T31" i="9"/>
  <c r="I21" i="12"/>
  <c r="V55" i="9"/>
  <c r="V56" i="9"/>
  <c r="V54" i="9"/>
  <c r="U30" i="9"/>
  <c r="U31" i="9"/>
  <c r="V53" i="9"/>
  <c r="X4" i="12"/>
  <c r="X22" i="12"/>
  <c r="W22" i="12"/>
  <c r="V22" i="12"/>
  <c r="U22" i="12"/>
  <c r="T22" i="12"/>
  <c r="S22" i="12"/>
  <c r="R22" i="12"/>
  <c r="Q22" i="12"/>
  <c r="P22" i="12"/>
  <c r="O22" i="12"/>
  <c r="T74" i="9"/>
  <c r="T73" i="9"/>
  <c r="AV5" i="9"/>
  <c r="T72" i="9"/>
  <c r="T71" i="9"/>
  <c r="U28" i="9"/>
  <c r="H21" i="12"/>
  <c r="G21" i="12"/>
  <c r="N22" i="12"/>
  <c r="U74" i="9"/>
  <c r="U73" i="9"/>
  <c r="AW5" i="9"/>
  <c r="U72" i="9"/>
  <c r="U71" i="9"/>
  <c r="V30" i="9"/>
  <c r="V31" i="9"/>
  <c r="V28" i="9"/>
  <c r="G291" i="14"/>
  <c r="F291" i="14"/>
  <c r="E291" i="14"/>
  <c r="M22" i="12"/>
  <c r="V74" i="9"/>
  <c r="V73" i="9"/>
  <c r="V72" i="9"/>
  <c r="V71" i="9"/>
  <c r="G290" i="14"/>
  <c r="F290" i="14"/>
  <c r="E290" i="14"/>
  <c r="E276" i="14"/>
  <c r="E275" i="14"/>
  <c r="E268" i="14"/>
  <c r="E269" i="14"/>
  <c r="E271" i="14"/>
  <c r="E272" i="14"/>
  <c r="L22" i="12"/>
  <c r="T32" i="14"/>
  <c r="U32" i="14"/>
  <c r="V32" i="14"/>
  <c r="W32" i="14"/>
  <c r="X32" i="14"/>
  <c r="Y32" i="14"/>
  <c r="Y26" i="14"/>
  <c r="Z7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U155" i="14"/>
  <c r="V155" i="14"/>
  <c r="W155" i="14"/>
  <c r="X155" i="14"/>
  <c r="AA148" i="14"/>
  <c r="Y243" i="14"/>
  <c r="X26" i="14"/>
  <c r="Y75" i="14"/>
  <c r="Z148" i="14"/>
  <c r="X243" i="14"/>
  <c r="W26" i="14"/>
  <c r="X75" i="14"/>
  <c r="Y148" i="14"/>
  <c r="W243" i="14"/>
  <c r="V26" i="14"/>
  <c r="W75" i="14"/>
  <c r="X148" i="14"/>
  <c r="V243" i="14"/>
  <c r="U26" i="14"/>
  <c r="V75" i="14"/>
  <c r="W148" i="14"/>
  <c r="U243" i="14"/>
  <c r="T26" i="14"/>
  <c r="U75" i="14"/>
  <c r="V148" i="14"/>
  <c r="T243" i="14"/>
  <c r="U148" i="14"/>
  <c r="S243" i="14"/>
  <c r="R26" i="14"/>
  <c r="S75" i="14"/>
  <c r="T148" i="14"/>
  <c r="R243" i="14"/>
  <c r="Q26" i="14"/>
  <c r="R75" i="14"/>
  <c r="S148" i="14"/>
  <c r="Q243" i="14"/>
  <c r="Q75" i="14"/>
  <c r="R148" i="14"/>
  <c r="P243" i="14"/>
  <c r="Q147" i="14"/>
  <c r="O243" i="14"/>
  <c r="P147" i="14"/>
  <c r="N243" i="14"/>
  <c r="O147" i="14"/>
  <c r="M243" i="14"/>
  <c r="E243" i="14"/>
  <c r="T21" i="14"/>
  <c r="Y21" i="14"/>
  <c r="Z70" i="14"/>
  <c r="AA146" i="14"/>
  <c r="Y242" i="14"/>
  <c r="X21" i="14"/>
  <c r="Y70" i="14"/>
  <c r="Z146" i="14"/>
  <c r="X242" i="14"/>
  <c r="W21" i="14"/>
  <c r="X70" i="14"/>
  <c r="Y146" i="14"/>
  <c r="W242" i="14"/>
  <c r="V21" i="14"/>
  <c r="W70" i="14"/>
  <c r="X146" i="14"/>
  <c r="V242" i="14"/>
  <c r="U21" i="14"/>
  <c r="V70" i="14"/>
  <c r="W146" i="14"/>
  <c r="U242" i="14"/>
  <c r="U70" i="14"/>
  <c r="V146" i="14"/>
  <c r="T242" i="14"/>
  <c r="U146" i="14"/>
  <c r="S242" i="14"/>
  <c r="R21" i="14"/>
  <c r="S70" i="14"/>
  <c r="T146" i="14"/>
  <c r="R242" i="14"/>
  <c r="Q21" i="14"/>
  <c r="R70" i="14"/>
  <c r="S146" i="14"/>
  <c r="Q242" i="14"/>
  <c r="P21" i="14"/>
  <c r="Q70" i="14"/>
  <c r="R146" i="14"/>
  <c r="P242" i="14"/>
  <c r="Q145" i="14"/>
  <c r="O242" i="14"/>
  <c r="P145" i="14"/>
  <c r="N242" i="14"/>
  <c r="O145" i="14"/>
  <c r="M242" i="14"/>
  <c r="N145" i="14"/>
  <c r="L242" i="14"/>
  <c r="M145" i="14"/>
  <c r="K242" i="14"/>
  <c r="L145" i="14"/>
  <c r="J242" i="14"/>
  <c r="I18" i="14"/>
  <c r="J67" i="14"/>
  <c r="K145" i="14"/>
  <c r="I242" i="14"/>
  <c r="H18" i="14"/>
  <c r="I67" i="14"/>
  <c r="J145" i="14"/>
  <c r="H242" i="14"/>
  <c r="G242" i="14"/>
  <c r="F242" i="14"/>
  <c r="E242" i="14"/>
  <c r="Y16" i="14"/>
  <c r="Z65" i="14"/>
  <c r="AA144" i="14"/>
  <c r="Y241" i="14"/>
  <c r="X16" i="14"/>
  <c r="Y65" i="14"/>
  <c r="Z144" i="14"/>
  <c r="X241" i="14"/>
  <c r="W16" i="14"/>
  <c r="X65" i="14"/>
  <c r="Y144" i="14"/>
  <c r="W241" i="14"/>
  <c r="V16" i="14"/>
  <c r="W65" i="14"/>
  <c r="X144" i="14"/>
  <c r="V241" i="14"/>
  <c r="U16" i="14"/>
  <c r="V65" i="14"/>
  <c r="W144" i="14"/>
  <c r="U241" i="14"/>
  <c r="T16" i="14"/>
  <c r="U65" i="14"/>
  <c r="V144" i="14"/>
  <c r="T241" i="14"/>
  <c r="U144" i="14"/>
  <c r="S241" i="14"/>
  <c r="R16" i="14"/>
  <c r="S65" i="14"/>
  <c r="T144" i="14"/>
  <c r="R241" i="14"/>
  <c r="Q16" i="14"/>
  <c r="R65" i="14"/>
  <c r="S144" i="14"/>
  <c r="Q241" i="14"/>
  <c r="Q65" i="14"/>
  <c r="R144" i="14"/>
  <c r="P241" i="14"/>
  <c r="Q143" i="14"/>
  <c r="O241" i="14"/>
  <c r="P143" i="14"/>
  <c r="N241" i="14"/>
  <c r="O143" i="14"/>
  <c r="M241" i="14"/>
  <c r="N143" i="14"/>
  <c r="L241" i="14"/>
  <c r="M143" i="14"/>
  <c r="K241" i="14"/>
  <c r="L143" i="14"/>
  <c r="J241" i="14"/>
  <c r="I13" i="14"/>
  <c r="J62" i="14"/>
  <c r="K143" i="14"/>
  <c r="I241" i="14"/>
  <c r="H13" i="14"/>
  <c r="I62" i="14"/>
  <c r="J143" i="14"/>
  <c r="H241" i="14"/>
  <c r="G241" i="14"/>
  <c r="F241" i="14"/>
  <c r="E241" i="14"/>
  <c r="P11" i="14"/>
  <c r="Y11" i="14"/>
  <c r="Z60" i="14"/>
  <c r="AA142" i="14"/>
  <c r="Y240" i="14"/>
  <c r="X11" i="14"/>
  <c r="Y60" i="14"/>
  <c r="Z142" i="14"/>
  <c r="X240" i="14"/>
  <c r="W11" i="14"/>
  <c r="X60" i="14"/>
  <c r="Y142" i="14"/>
  <c r="W240" i="14"/>
  <c r="V11" i="14"/>
  <c r="W60" i="14"/>
  <c r="X142" i="14"/>
  <c r="V240" i="14"/>
  <c r="U11" i="14"/>
  <c r="V60" i="14"/>
  <c r="W142" i="14"/>
  <c r="U240" i="14"/>
  <c r="T11" i="14"/>
  <c r="U60" i="14"/>
  <c r="V142" i="14"/>
  <c r="T240" i="14"/>
  <c r="S11" i="14"/>
  <c r="T60" i="14"/>
  <c r="U142" i="14"/>
  <c r="S240" i="14"/>
  <c r="R11" i="14"/>
  <c r="S60" i="14"/>
  <c r="T142" i="14"/>
  <c r="R240" i="14"/>
  <c r="Q11" i="14"/>
  <c r="R60" i="14"/>
  <c r="S142" i="14"/>
  <c r="Q240" i="14"/>
  <c r="Q60" i="14"/>
  <c r="R142" i="14"/>
  <c r="P240" i="14"/>
  <c r="Q141" i="14"/>
  <c r="O240" i="14"/>
  <c r="P141" i="14"/>
  <c r="N240" i="14"/>
  <c r="O141" i="14"/>
  <c r="M240" i="14"/>
  <c r="N141" i="14"/>
  <c r="L240" i="14"/>
  <c r="M141" i="14"/>
  <c r="K240" i="14"/>
  <c r="L141" i="14"/>
  <c r="J240" i="14"/>
  <c r="I8" i="14"/>
  <c r="J57" i="14"/>
  <c r="K141" i="14"/>
  <c r="I240" i="14"/>
  <c r="H8" i="14"/>
  <c r="I57" i="14"/>
  <c r="J141" i="14"/>
  <c r="H240" i="14"/>
  <c r="G240" i="14"/>
  <c r="F240" i="14"/>
  <c r="E240" i="14"/>
  <c r="AA140" i="14"/>
  <c r="Y239" i="14"/>
  <c r="Z140" i="14"/>
  <c r="X239" i="14"/>
  <c r="Y140" i="14"/>
  <c r="W239" i="14"/>
  <c r="X140" i="14"/>
  <c r="V239" i="14"/>
  <c r="W140" i="14"/>
  <c r="U239" i="14"/>
  <c r="V140" i="14"/>
  <c r="T239" i="14"/>
  <c r="U140" i="14"/>
  <c r="S239" i="14"/>
  <c r="T140" i="14"/>
  <c r="R239" i="14"/>
  <c r="S140" i="14"/>
  <c r="Q239" i="14"/>
  <c r="R140" i="14"/>
  <c r="P239" i="14"/>
  <c r="Q140" i="14"/>
  <c r="O239" i="14"/>
  <c r="P140" i="14"/>
  <c r="N239" i="14"/>
  <c r="O140" i="14"/>
  <c r="M239" i="14"/>
  <c r="N140" i="14"/>
  <c r="L239" i="14"/>
  <c r="M140" i="14"/>
  <c r="K239" i="14"/>
  <c r="L140" i="14"/>
  <c r="J239" i="14"/>
  <c r="I6" i="14"/>
  <c r="J55" i="14"/>
  <c r="K140" i="14"/>
  <c r="I239" i="14"/>
  <c r="H6" i="14"/>
  <c r="I55" i="14"/>
  <c r="J140" i="14"/>
  <c r="H239" i="14"/>
  <c r="G239" i="14"/>
  <c r="F239" i="14"/>
  <c r="E239" i="14"/>
  <c r="H121" i="14"/>
  <c r="F233" i="14"/>
  <c r="E233" i="14"/>
  <c r="H119" i="14"/>
  <c r="F232" i="14"/>
  <c r="E232" i="14"/>
  <c r="J231" i="14"/>
  <c r="H117" i="14"/>
  <c r="F231" i="14"/>
  <c r="E231" i="14"/>
  <c r="J230" i="14"/>
  <c r="G230" i="14"/>
  <c r="F230" i="14"/>
  <c r="E230" i="14"/>
  <c r="Y226" i="14"/>
  <c r="X24" i="14"/>
  <c r="Y73" i="14"/>
  <c r="Z102" i="14"/>
  <c r="X226" i="14"/>
  <c r="W24" i="14"/>
  <c r="X73" i="14"/>
  <c r="Y102" i="14"/>
  <c r="W226" i="14"/>
  <c r="V24" i="14"/>
  <c r="W73" i="14"/>
  <c r="X102" i="14"/>
  <c r="V226" i="14"/>
  <c r="U24" i="14"/>
  <c r="V73" i="14"/>
  <c r="W102" i="14"/>
  <c r="U226" i="14"/>
  <c r="V102" i="14"/>
  <c r="T226" i="14"/>
  <c r="U102" i="14"/>
  <c r="S226" i="14"/>
  <c r="R24" i="14"/>
  <c r="S73" i="14"/>
  <c r="T102" i="14"/>
  <c r="R226" i="14"/>
  <c r="Q24" i="14"/>
  <c r="R73" i="14"/>
  <c r="S102" i="14"/>
  <c r="Q226" i="14"/>
  <c r="P24" i="14"/>
  <c r="Q73" i="14"/>
  <c r="R102" i="14"/>
  <c r="P226" i="14"/>
  <c r="Q101" i="14"/>
  <c r="O226" i="14"/>
  <c r="P101" i="14"/>
  <c r="N226" i="14"/>
  <c r="O101" i="14"/>
  <c r="M226" i="14"/>
  <c r="G101" i="14"/>
  <c r="E226" i="14"/>
  <c r="Y19" i="14"/>
  <c r="Z68" i="14"/>
  <c r="AA100" i="14"/>
  <c r="Y225" i="14"/>
  <c r="X19" i="14"/>
  <c r="Y68" i="14"/>
  <c r="Z100" i="14"/>
  <c r="X225" i="14"/>
  <c r="W19" i="14"/>
  <c r="X68" i="14"/>
  <c r="Y100" i="14"/>
  <c r="W225" i="14"/>
  <c r="V19" i="14"/>
  <c r="W68" i="14"/>
  <c r="X100" i="14"/>
  <c r="V225" i="14"/>
  <c r="U19" i="14"/>
  <c r="V68" i="14"/>
  <c r="W100" i="14"/>
  <c r="U225" i="14"/>
  <c r="V100" i="14"/>
  <c r="T225" i="14"/>
  <c r="U100" i="14"/>
  <c r="S225" i="14"/>
  <c r="R19" i="14"/>
  <c r="S68" i="14"/>
  <c r="T100" i="14"/>
  <c r="R225" i="14"/>
  <c r="Q19" i="14"/>
  <c r="R68" i="14"/>
  <c r="S100" i="14"/>
  <c r="Q225" i="14"/>
  <c r="P19" i="14"/>
  <c r="Q68" i="14"/>
  <c r="R100" i="14"/>
  <c r="P225" i="14"/>
  <c r="Q99" i="14"/>
  <c r="O225" i="14"/>
  <c r="P99" i="14"/>
  <c r="N225" i="14"/>
  <c r="O99" i="14"/>
  <c r="M225" i="14"/>
  <c r="N99" i="14"/>
  <c r="L225" i="14"/>
  <c r="M99" i="14"/>
  <c r="K225" i="14"/>
  <c r="L99" i="14"/>
  <c r="J225" i="14"/>
  <c r="K99" i="14"/>
  <c r="I225" i="14"/>
  <c r="J99" i="14"/>
  <c r="H225" i="14"/>
  <c r="I99" i="14"/>
  <c r="G225" i="14"/>
  <c r="H99" i="14"/>
  <c r="F225" i="14"/>
  <c r="G99" i="14"/>
  <c r="E225" i="14"/>
  <c r="Y14" i="14"/>
  <c r="Z63" i="14"/>
  <c r="AA98" i="14"/>
  <c r="Y224" i="14"/>
  <c r="X14" i="14"/>
  <c r="Y63" i="14"/>
  <c r="Z98" i="14"/>
  <c r="X224" i="14"/>
  <c r="W14" i="14"/>
  <c r="X63" i="14"/>
  <c r="Y98" i="14"/>
  <c r="W224" i="14"/>
  <c r="V14" i="14"/>
  <c r="W63" i="14"/>
  <c r="X98" i="14"/>
  <c r="V224" i="14"/>
  <c r="U14" i="14"/>
  <c r="V63" i="14"/>
  <c r="W98" i="14"/>
  <c r="U224" i="14"/>
  <c r="V98" i="14"/>
  <c r="T224" i="14"/>
  <c r="U98" i="14"/>
  <c r="S224" i="14"/>
  <c r="R14" i="14"/>
  <c r="S63" i="14"/>
  <c r="T98" i="14"/>
  <c r="R224" i="14"/>
  <c r="Q14" i="14"/>
  <c r="R63" i="14"/>
  <c r="S98" i="14"/>
  <c r="Q224" i="14"/>
  <c r="Q63" i="14"/>
  <c r="R98" i="14"/>
  <c r="P224" i="14"/>
  <c r="Q97" i="14"/>
  <c r="O224" i="14"/>
  <c r="P97" i="14"/>
  <c r="N224" i="14"/>
  <c r="O97" i="14"/>
  <c r="M224" i="14"/>
  <c r="N97" i="14"/>
  <c r="L224" i="14"/>
  <c r="M97" i="14"/>
  <c r="K224" i="14"/>
  <c r="L97" i="14"/>
  <c r="J224" i="14"/>
  <c r="K97" i="14"/>
  <c r="I224" i="14"/>
  <c r="J97" i="14"/>
  <c r="H224" i="14"/>
  <c r="I97" i="14"/>
  <c r="G224" i="14"/>
  <c r="H97" i="14"/>
  <c r="F224" i="14"/>
  <c r="K22" i="12"/>
  <c r="G21" i="19"/>
  <c r="G97" i="14"/>
  <c r="E224" i="14"/>
  <c r="Y9" i="14"/>
  <c r="Z58" i="14"/>
  <c r="AA96" i="14"/>
  <c r="Y223" i="14"/>
  <c r="X9" i="14"/>
  <c r="Y58" i="14"/>
  <c r="Z96" i="14"/>
  <c r="X223" i="14"/>
  <c r="W9" i="14"/>
  <c r="X58" i="14"/>
  <c r="Y96" i="14"/>
  <c r="W223" i="14"/>
  <c r="V9" i="14"/>
  <c r="W58" i="14"/>
  <c r="X96" i="14"/>
  <c r="V223" i="14"/>
  <c r="U9" i="14"/>
  <c r="V58" i="14"/>
  <c r="W96" i="14"/>
  <c r="U223" i="14"/>
  <c r="V96" i="14"/>
  <c r="T223" i="14"/>
  <c r="U96" i="14"/>
  <c r="S223" i="14"/>
  <c r="R9" i="14"/>
  <c r="S58" i="14"/>
  <c r="T96" i="14"/>
  <c r="R223" i="14"/>
  <c r="Q9" i="14"/>
  <c r="R58" i="14"/>
  <c r="S96" i="14"/>
  <c r="Q223" i="14"/>
  <c r="Q58" i="14"/>
  <c r="R96" i="14"/>
  <c r="P223" i="14"/>
  <c r="Q95" i="14"/>
  <c r="O223" i="14"/>
  <c r="P95" i="14"/>
  <c r="N223" i="14"/>
  <c r="O95" i="14"/>
  <c r="M223" i="14"/>
  <c r="N95" i="14"/>
  <c r="L223" i="14"/>
  <c r="M95" i="14"/>
  <c r="K223" i="14"/>
  <c r="L95" i="14"/>
  <c r="J223" i="14"/>
  <c r="K95" i="14"/>
  <c r="I223" i="14"/>
  <c r="J95" i="14"/>
  <c r="H223" i="14"/>
  <c r="I95" i="14"/>
  <c r="G223" i="14"/>
  <c r="H95" i="14"/>
  <c r="F223" i="14"/>
  <c r="G95" i="14"/>
  <c r="E223" i="14"/>
  <c r="AA94" i="14"/>
  <c r="Y222" i="14"/>
  <c r="Z94" i="14"/>
  <c r="X222" i="14"/>
  <c r="Y94" i="14"/>
  <c r="W222" i="14"/>
  <c r="X94" i="14"/>
  <c r="V222" i="14"/>
  <c r="W94" i="14"/>
  <c r="U222" i="14"/>
  <c r="V94" i="14"/>
  <c r="T222" i="14"/>
  <c r="U94" i="14"/>
  <c r="S222" i="14"/>
  <c r="T94" i="14"/>
  <c r="R222" i="14"/>
  <c r="S94" i="14"/>
  <c r="Q222" i="14"/>
  <c r="R94" i="14"/>
  <c r="P222" i="14"/>
  <c r="Q94" i="14"/>
  <c r="O222" i="14"/>
  <c r="P94" i="14"/>
  <c r="N222" i="14"/>
  <c r="O94" i="14"/>
  <c r="M222" i="14"/>
  <c r="N94" i="14"/>
  <c r="L222" i="14"/>
  <c r="M94" i="14"/>
  <c r="K222" i="14"/>
  <c r="L94" i="14"/>
  <c r="J222" i="14"/>
  <c r="K94" i="14"/>
  <c r="I222" i="14"/>
  <c r="J94" i="14"/>
  <c r="H222" i="14"/>
  <c r="I94" i="14"/>
  <c r="G222" i="14"/>
  <c r="H94" i="14"/>
  <c r="F222" i="14"/>
  <c r="G94" i="14"/>
  <c r="E222" i="14"/>
  <c r="J22" i="12"/>
  <c r="F21" i="19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U207" i="14"/>
  <c r="V207" i="14"/>
  <c r="W207" i="14"/>
  <c r="X207" i="14"/>
  <c r="Y207" i="14"/>
  <c r="Z207" i="14"/>
  <c r="AA207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U206" i="14"/>
  <c r="V206" i="14"/>
  <c r="W206" i="14"/>
  <c r="X206" i="14"/>
  <c r="Y206" i="14"/>
  <c r="Z206" i="14"/>
  <c r="AA206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U205" i="14"/>
  <c r="V205" i="14"/>
  <c r="W205" i="14"/>
  <c r="X205" i="14"/>
  <c r="Y205" i="14"/>
  <c r="Z205" i="14"/>
  <c r="AA205" i="14"/>
  <c r="I22" i="12"/>
  <c r="E21" i="19"/>
  <c r="AA196" i="14"/>
  <c r="Z196" i="14"/>
  <c r="Y196" i="14"/>
  <c r="X196" i="14"/>
  <c r="W196" i="14"/>
  <c r="V196" i="14"/>
  <c r="U196" i="14"/>
  <c r="T196" i="14"/>
  <c r="S196" i="14"/>
  <c r="R196" i="14"/>
  <c r="Q196" i="14"/>
  <c r="P196" i="14"/>
  <c r="O196" i="14"/>
  <c r="N196" i="14"/>
  <c r="M196" i="14"/>
  <c r="L196" i="14"/>
  <c r="K196" i="14"/>
  <c r="J196" i="14"/>
  <c r="I196" i="14"/>
  <c r="I198" i="14"/>
  <c r="H196" i="14"/>
  <c r="H198" i="14"/>
  <c r="G196" i="14"/>
  <c r="G198" i="14"/>
  <c r="J197" i="14"/>
  <c r="K197" i="14"/>
  <c r="L197" i="14"/>
  <c r="J333" i="14"/>
  <c r="L198" i="14"/>
  <c r="M197" i="14"/>
  <c r="I333" i="14"/>
  <c r="K198" i="14"/>
  <c r="H333" i="14"/>
  <c r="J198" i="14"/>
  <c r="K333" i="14"/>
  <c r="N197" i="14"/>
  <c r="L333" i="14"/>
  <c r="O197" i="14"/>
  <c r="AA191" i="14"/>
  <c r="Z191" i="14"/>
  <c r="Y191" i="14"/>
  <c r="X191" i="14"/>
  <c r="W191" i="14"/>
  <c r="I193" i="14"/>
  <c r="H191" i="14"/>
  <c r="H193" i="14"/>
  <c r="G191" i="14"/>
  <c r="G193" i="14"/>
  <c r="J193" i="14"/>
  <c r="M333" i="14"/>
  <c r="P197" i="14"/>
  <c r="H332" i="14"/>
  <c r="N333" i="14"/>
  <c r="Q197" i="14"/>
  <c r="K193" i="14"/>
  <c r="J331" i="14"/>
  <c r="O333" i="14"/>
  <c r="R197" i="14"/>
  <c r="L193" i="14"/>
  <c r="K331" i="14"/>
  <c r="P333" i="14"/>
  <c r="R198" i="14"/>
  <c r="Q198" i="14"/>
  <c r="P198" i="14"/>
  <c r="O198" i="14"/>
  <c r="N198" i="14"/>
  <c r="M198" i="14"/>
  <c r="S197" i="14"/>
  <c r="K332" i="14"/>
  <c r="M193" i="14"/>
  <c r="Q333" i="14"/>
  <c r="T197" i="14"/>
  <c r="J332" i="14"/>
  <c r="R333" i="14"/>
  <c r="T198" i="14"/>
  <c r="S198" i="14"/>
  <c r="U197" i="14"/>
  <c r="I332" i="14"/>
  <c r="S333" i="14"/>
  <c r="U198" i="14"/>
  <c r="V197" i="14"/>
  <c r="T333" i="14"/>
  <c r="W197" i="14"/>
  <c r="I189" i="14"/>
  <c r="J189" i="14"/>
  <c r="J190" i="14"/>
  <c r="H190" i="14"/>
  <c r="G190" i="14"/>
  <c r="K189" i="14"/>
  <c r="G331" i="14"/>
  <c r="I190" i="14"/>
  <c r="U333" i="14"/>
  <c r="X197" i="14"/>
  <c r="V333" i="14"/>
  <c r="X198" i="14"/>
  <c r="W198" i="14"/>
  <c r="V198" i="14"/>
  <c r="Y197" i="14"/>
  <c r="I331" i="14"/>
  <c r="K190" i="14"/>
  <c r="L189" i="14"/>
  <c r="AB189" i="14"/>
  <c r="AE189" i="14"/>
  <c r="AE190" i="14"/>
  <c r="AE192" i="14"/>
  <c r="AO189" i="14"/>
  <c r="AO190" i="14"/>
  <c r="AO192" i="14"/>
  <c r="AJ189" i="14"/>
  <c r="AJ190" i="14"/>
  <c r="AJ192" i="14"/>
  <c r="AN189" i="14"/>
  <c r="AN190" i="14"/>
  <c r="AN192" i="14"/>
  <c r="AI189" i="14"/>
  <c r="AI190" i="14"/>
  <c r="AI192" i="14"/>
  <c r="AM189" i="14"/>
  <c r="AM190" i="14"/>
  <c r="AM192" i="14"/>
  <c r="AF189" i="14"/>
  <c r="AF190" i="14"/>
  <c r="AF192" i="14"/>
  <c r="AH189" i="14"/>
  <c r="AH190" i="14"/>
  <c r="AH192" i="14"/>
  <c r="AL189" i="14"/>
  <c r="AL190" i="14"/>
  <c r="AL192" i="14"/>
  <c r="AG189" i="14"/>
  <c r="AG190" i="14"/>
  <c r="AG192" i="14"/>
  <c r="AK189" i="14"/>
  <c r="AK190" i="14"/>
  <c r="AK192" i="14"/>
  <c r="H331" i="14"/>
  <c r="L190" i="14"/>
  <c r="AE193" i="14"/>
  <c r="M189" i="14"/>
  <c r="W333" i="14"/>
  <c r="Z197" i="14"/>
  <c r="AQ192" i="14"/>
  <c r="AB191" i="14"/>
  <c r="X333" i="14"/>
  <c r="Z198" i="14"/>
  <c r="Y198" i="14"/>
  <c r="AA197" i="14"/>
  <c r="M190" i="14"/>
  <c r="AF193" i="14"/>
  <c r="N189" i="14"/>
  <c r="Y333" i="14"/>
  <c r="AA198" i="14"/>
  <c r="N190" i="14"/>
  <c r="AG193" i="14"/>
  <c r="O189" i="14"/>
  <c r="O190" i="14"/>
  <c r="AH193" i="14"/>
  <c r="P189" i="14"/>
  <c r="P190" i="14"/>
  <c r="AI193" i="14"/>
  <c r="Q189" i="14"/>
  <c r="Q190" i="14"/>
  <c r="AJ193" i="14"/>
  <c r="R189" i="14"/>
  <c r="R190" i="14"/>
  <c r="AK193" i="14"/>
  <c r="S189" i="14"/>
  <c r="S190" i="14"/>
  <c r="AL193" i="14"/>
  <c r="T189" i="14"/>
  <c r="T190" i="14"/>
  <c r="AM193" i="14"/>
  <c r="U189" i="14"/>
  <c r="U190" i="14"/>
  <c r="AN193" i="14"/>
  <c r="V189" i="14"/>
  <c r="V190" i="14"/>
  <c r="W189" i="14"/>
  <c r="AB190" i="14"/>
  <c r="AO193" i="14"/>
  <c r="AQ193" i="14"/>
  <c r="U331" i="14"/>
  <c r="W190" i="14"/>
  <c r="X189" i="14"/>
  <c r="AA178" i="14"/>
  <c r="Z178" i="14"/>
  <c r="Y178" i="14"/>
  <c r="X178" i="14"/>
  <c r="W178" i="14"/>
  <c r="V178" i="14"/>
  <c r="U178" i="14"/>
  <c r="T178" i="14"/>
  <c r="S178" i="14"/>
  <c r="R178" i="14"/>
  <c r="Q178" i="14"/>
  <c r="P178" i="14"/>
  <c r="O178" i="14"/>
  <c r="N178" i="14"/>
  <c r="M178" i="14"/>
  <c r="L178" i="14"/>
  <c r="K178" i="14"/>
  <c r="J178" i="14"/>
  <c r="I178" i="14"/>
  <c r="I180" i="14"/>
  <c r="H178" i="14"/>
  <c r="H180" i="14"/>
  <c r="G178" i="14"/>
  <c r="G180" i="14"/>
  <c r="J179" i="14"/>
  <c r="K179" i="14"/>
  <c r="V331" i="14"/>
  <c r="X190" i="14"/>
  <c r="Y189" i="14"/>
  <c r="H292" i="14"/>
  <c r="J180" i="14"/>
  <c r="W331" i="14"/>
  <c r="Y190" i="14"/>
  <c r="Z189" i="14"/>
  <c r="I292" i="14"/>
  <c r="K180" i="14"/>
  <c r="L179" i="14"/>
  <c r="J292" i="14"/>
  <c r="L180" i="14"/>
  <c r="M179" i="14"/>
  <c r="X331" i="14"/>
  <c r="Z190" i="14"/>
  <c r="AA189" i="14"/>
  <c r="Y331" i="14"/>
  <c r="AA190" i="14"/>
  <c r="K292" i="14"/>
  <c r="M180" i="14"/>
  <c r="N179" i="14"/>
  <c r="L292" i="14"/>
  <c r="N180" i="14"/>
  <c r="O179" i="14"/>
  <c r="M292" i="14"/>
  <c r="O180" i="14"/>
  <c r="P179" i="14"/>
  <c r="N292" i="14"/>
  <c r="P180" i="14"/>
  <c r="Q179" i="14"/>
  <c r="O292" i="14"/>
  <c r="Q180" i="14"/>
  <c r="R179" i="14"/>
  <c r="AA173" i="14"/>
  <c r="Z173" i="14"/>
  <c r="Y173" i="14"/>
  <c r="X173" i="14"/>
  <c r="W173" i="14"/>
  <c r="I175" i="14"/>
  <c r="I176" i="14"/>
  <c r="H291" i="14"/>
  <c r="J175" i="14"/>
  <c r="J176" i="14"/>
  <c r="P292" i="14"/>
  <c r="R180" i="14"/>
  <c r="S179" i="14"/>
  <c r="H173" i="14"/>
  <c r="H175" i="14"/>
  <c r="H176" i="14"/>
  <c r="G173" i="14"/>
  <c r="I291" i="14"/>
  <c r="G175" i="14"/>
  <c r="G176" i="14"/>
  <c r="Q292" i="14"/>
  <c r="S180" i="14"/>
  <c r="T179" i="14"/>
  <c r="K175" i="14"/>
  <c r="K176" i="14"/>
  <c r="L175" i="14"/>
  <c r="L176" i="14"/>
  <c r="P175" i="14"/>
  <c r="P176" i="14"/>
  <c r="J291" i="14"/>
  <c r="R292" i="14"/>
  <c r="T180" i="14"/>
  <c r="U179" i="14"/>
  <c r="I172" i="14"/>
  <c r="H172" i="14"/>
  <c r="O152" i="14"/>
  <c r="N152" i="14"/>
  <c r="M152" i="14"/>
  <c r="L152" i="14"/>
  <c r="L147" i="14"/>
  <c r="L151" i="14"/>
  <c r="L153" i="14"/>
  <c r="K152" i="14"/>
  <c r="I39" i="14"/>
  <c r="I23" i="14"/>
  <c r="J72" i="14"/>
  <c r="K147" i="14"/>
  <c r="K151" i="14"/>
  <c r="K153" i="14"/>
  <c r="J152" i="14"/>
  <c r="H39" i="14"/>
  <c r="H23" i="14"/>
  <c r="I72" i="14"/>
  <c r="J147" i="14"/>
  <c r="J151" i="14"/>
  <c r="J153" i="14"/>
  <c r="G82" i="25"/>
  <c r="F82" i="25"/>
  <c r="E82" i="25"/>
  <c r="K291" i="14"/>
  <c r="M291" i="14"/>
  <c r="N175" i="14"/>
  <c r="N176" i="14"/>
  <c r="O175" i="14"/>
  <c r="O176" i="14"/>
  <c r="M175" i="14"/>
  <c r="M176" i="14"/>
  <c r="L291" i="14"/>
  <c r="N291" i="14"/>
  <c r="K171" i="14"/>
  <c r="L171" i="14"/>
  <c r="J172" i="14"/>
  <c r="G172" i="14"/>
  <c r="S292" i="14"/>
  <c r="U180" i="14"/>
  <c r="V179" i="14"/>
  <c r="O151" i="14"/>
  <c r="O153" i="14"/>
  <c r="AA151" i="14"/>
  <c r="Z151" i="14"/>
  <c r="Y151" i="14"/>
  <c r="X151" i="14"/>
  <c r="W151" i="14"/>
  <c r="V151" i="14"/>
  <c r="U151" i="14"/>
  <c r="T151" i="14"/>
  <c r="S151" i="14"/>
  <c r="R151" i="14"/>
  <c r="Q151" i="14"/>
  <c r="P151" i="14"/>
  <c r="AA147" i="14"/>
  <c r="Z147" i="14"/>
  <c r="Y147" i="14"/>
  <c r="X147" i="14"/>
  <c r="W147" i="14"/>
  <c r="V147" i="14"/>
  <c r="U147" i="14"/>
  <c r="T147" i="14"/>
  <c r="S147" i="14"/>
  <c r="R147" i="14"/>
  <c r="N147" i="14"/>
  <c r="L243" i="14"/>
  <c r="M147" i="14"/>
  <c r="M151" i="14"/>
  <c r="AA145" i="14"/>
  <c r="Z145" i="14"/>
  <c r="Y145" i="14"/>
  <c r="X145" i="14"/>
  <c r="W145" i="14"/>
  <c r="V145" i="14"/>
  <c r="U145" i="14"/>
  <c r="T145" i="14"/>
  <c r="S145" i="14"/>
  <c r="R145" i="14"/>
  <c r="AA143" i="14"/>
  <c r="Z143" i="14"/>
  <c r="Y143" i="14"/>
  <c r="X143" i="14"/>
  <c r="W143" i="14"/>
  <c r="V143" i="14"/>
  <c r="U143" i="14"/>
  <c r="T143" i="14"/>
  <c r="S143" i="14"/>
  <c r="R143" i="14"/>
  <c r="AA141" i="14"/>
  <c r="Z141" i="14"/>
  <c r="Y141" i="14"/>
  <c r="X141" i="14"/>
  <c r="W141" i="14"/>
  <c r="V141" i="14"/>
  <c r="U141" i="14"/>
  <c r="T141" i="14"/>
  <c r="S141" i="14"/>
  <c r="R141" i="14"/>
  <c r="G130" i="14"/>
  <c r="J82" i="25"/>
  <c r="O291" i="14"/>
  <c r="AE171" i="14"/>
  <c r="AE172" i="14"/>
  <c r="AE174" i="14"/>
  <c r="AF171" i="14"/>
  <c r="AF172" i="14"/>
  <c r="AF174" i="14"/>
  <c r="AO171" i="14"/>
  <c r="AO172" i="14"/>
  <c r="AO174" i="14"/>
  <c r="AH171" i="14"/>
  <c r="AH172" i="14"/>
  <c r="AH174" i="14"/>
  <c r="AL171" i="14"/>
  <c r="AL172" i="14"/>
  <c r="AL174" i="14"/>
  <c r="AN171" i="14"/>
  <c r="AN172" i="14"/>
  <c r="AN174" i="14"/>
  <c r="AM171" i="14"/>
  <c r="AM172" i="14"/>
  <c r="AM174" i="14"/>
  <c r="AB171" i="14"/>
  <c r="AC171" i="14"/>
  <c r="AD171" i="14"/>
  <c r="AK171" i="14"/>
  <c r="AK172" i="14"/>
  <c r="AK174" i="14"/>
  <c r="AG171" i="14"/>
  <c r="AG172" i="14"/>
  <c r="AG174" i="14"/>
  <c r="AJ171" i="14"/>
  <c r="AJ172" i="14"/>
  <c r="AJ174" i="14"/>
  <c r="L172" i="14"/>
  <c r="AE175" i="14"/>
  <c r="AI171" i="14"/>
  <c r="AI172" i="14"/>
  <c r="AI174" i="14"/>
  <c r="B64" i="9"/>
  <c r="M153" i="14"/>
  <c r="N151" i="14"/>
  <c r="K243" i="14"/>
  <c r="J243" i="14"/>
  <c r="I243" i="14"/>
  <c r="H243" i="14"/>
  <c r="G243" i="14"/>
  <c r="F243" i="14"/>
  <c r="J290" i="14"/>
  <c r="T292" i="14"/>
  <c r="V180" i="14"/>
  <c r="W179" i="14"/>
  <c r="I290" i="14"/>
  <c r="K172" i="14"/>
  <c r="M171" i="14"/>
  <c r="M172" i="14"/>
  <c r="AF175" i="14"/>
  <c r="K129" i="14"/>
  <c r="J129" i="14"/>
  <c r="I129" i="14"/>
  <c r="H129" i="14"/>
  <c r="H123" i="14"/>
  <c r="H128" i="14"/>
  <c r="L234" i="14"/>
  <c r="K123" i="14"/>
  <c r="J123" i="14"/>
  <c r="I123" i="14"/>
  <c r="H82" i="25"/>
  <c r="P291" i="14"/>
  <c r="AQ174" i="14"/>
  <c r="K234" i="14"/>
  <c r="I234" i="14"/>
  <c r="H234" i="14"/>
  <c r="G234" i="14"/>
  <c r="F234" i="14"/>
  <c r="E234" i="14"/>
  <c r="AO104" i="14"/>
  <c r="T74" i="14"/>
  <c r="AN104" i="14"/>
  <c r="AH104" i="14"/>
  <c r="P25" i="14"/>
  <c r="Q74" i="14"/>
  <c r="AK104" i="14"/>
  <c r="AH103" i="14"/>
  <c r="R25" i="14"/>
  <c r="S74" i="14"/>
  <c r="AM104" i="14"/>
  <c r="AJ104" i="14"/>
  <c r="Q25" i="14"/>
  <c r="R74" i="14"/>
  <c r="AL104" i="14"/>
  <c r="AI104" i="14"/>
  <c r="N153" i="14"/>
  <c r="H130" i="14"/>
  <c r="AB173" i="14"/>
  <c r="K290" i="14"/>
  <c r="N171" i="14"/>
  <c r="U292" i="14"/>
  <c r="W180" i="14"/>
  <c r="X179" i="14"/>
  <c r="AI99" i="14"/>
  <c r="AH99" i="14"/>
  <c r="AG99" i="14"/>
  <c r="AF99" i="14"/>
  <c r="K121" i="14"/>
  <c r="J121" i="14"/>
  <c r="I121" i="14"/>
  <c r="K119" i="14"/>
  <c r="J119" i="14"/>
  <c r="K117" i="14"/>
  <c r="I231" i="14"/>
  <c r="J117" i="14"/>
  <c r="I82" i="25"/>
  <c r="Q291" i="14"/>
  <c r="S175" i="14"/>
  <c r="H231" i="14"/>
  <c r="G231" i="14"/>
  <c r="M230" i="14"/>
  <c r="AI103" i="14"/>
  <c r="I128" i="14"/>
  <c r="G233" i="14"/>
  <c r="J236" i="14"/>
  <c r="AQ104" i="14"/>
  <c r="C64" i="9"/>
  <c r="L290" i="14"/>
  <c r="N172" i="14"/>
  <c r="AG175" i="14"/>
  <c r="O171" i="14"/>
  <c r="V292" i="14"/>
  <c r="X180" i="14"/>
  <c r="Y179" i="14"/>
  <c r="K116" i="14"/>
  <c r="K128" i="14"/>
  <c r="J116" i="14"/>
  <c r="J128" i="14"/>
  <c r="T175" i="14"/>
  <c r="T176" i="14"/>
  <c r="R291" i="14"/>
  <c r="R175" i="14"/>
  <c r="S176" i="14"/>
  <c r="O230" i="14"/>
  <c r="M236" i="14"/>
  <c r="J130" i="14"/>
  <c r="E64" i="9"/>
  <c r="I130" i="14"/>
  <c r="D64" i="9"/>
  <c r="AJ99" i="14"/>
  <c r="K230" i="14"/>
  <c r="I230" i="14"/>
  <c r="H230" i="14"/>
  <c r="N230" i="14"/>
  <c r="M290" i="14"/>
  <c r="O172" i="14"/>
  <c r="AH175" i="14"/>
  <c r="P171" i="14"/>
  <c r="W292" i="14"/>
  <c r="Y180" i="14"/>
  <c r="Z179" i="14"/>
  <c r="U175" i="14"/>
  <c r="U176" i="14"/>
  <c r="S291" i="14"/>
  <c r="Q175" i="14"/>
  <c r="Q176" i="14"/>
  <c r="R176" i="14"/>
  <c r="O236" i="14"/>
  <c r="K130" i="14"/>
  <c r="F64" i="9"/>
  <c r="N236" i="14"/>
  <c r="R122" i="14"/>
  <c r="AK99" i="14"/>
  <c r="R118" i="14"/>
  <c r="R124" i="14"/>
  <c r="Q64" i="14"/>
  <c r="R120" i="14"/>
  <c r="K236" i="14"/>
  <c r="L236" i="14"/>
  <c r="AJ103" i="14"/>
  <c r="O234" i="14"/>
  <c r="N234" i="14"/>
  <c r="M234" i="14"/>
  <c r="X292" i="14"/>
  <c r="Z180" i="14"/>
  <c r="AA179" i="14"/>
  <c r="N290" i="14"/>
  <c r="P172" i="14"/>
  <c r="AI175" i="14"/>
  <c r="Q171" i="14"/>
  <c r="W174" i="14"/>
  <c r="V175" i="14"/>
  <c r="V176" i="14"/>
  <c r="T291" i="14"/>
  <c r="AK103" i="14"/>
  <c r="P234" i="14"/>
  <c r="P230" i="14"/>
  <c r="S122" i="14"/>
  <c r="AL99" i="14"/>
  <c r="S124" i="14"/>
  <c r="Q15" i="14"/>
  <c r="R64" i="14"/>
  <c r="S120" i="14"/>
  <c r="O290" i="14"/>
  <c r="Q172" i="14"/>
  <c r="AJ175" i="14"/>
  <c r="R171" i="14"/>
  <c r="S171" i="14"/>
  <c r="Y292" i="14"/>
  <c r="AA180" i="14"/>
  <c r="AA152" i="14"/>
  <c r="X174" i="14"/>
  <c r="W175" i="14"/>
  <c r="W176" i="14"/>
  <c r="U291" i="14"/>
  <c r="Q230" i="14"/>
  <c r="T124" i="14"/>
  <c r="T122" i="14"/>
  <c r="AM99" i="14"/>
  <c r="R15" i="14"/>
  <c r="S64" i="14"/>
  <c r="T120" i="14"/>
  <c r="R10" i="14"/>
  <c r="S59" i="14"/>
  <c r="T118" i="14"/>
  <c r="P236" i="14"/>
  <c r="AL103" i="14"/>
  <c r="Q234" i="14"/>
  <c r="Z152" i="14"/>
  <c r="AA153" i="14"/>
  <c r="P290" i="14"/>
  <c r="R172" i="14"/>
  <c r="AK175" i="14"/>
  <c r="P105" i="14"/>
  <c r="P104" i="14"/>
  <c r="P106" i="14"/>
  <c r="O105" i="14"/>
  <c r="O104" i="14"/>
  <c r="O106" i="14"/>
  <c r="N105" i="14"/>
  <c r="M105" i="14"/>
  <c r="L105" i="14"/>
  <c r="K105" i="14"/>
  <c r="K101" i="14"/>
  <c r="K104" i="14"/>
  <c r="K106" i="14"/>
  <c r="J105" i="14"/>
  <c r="J101" i="14"/>
  <c r="J104" i="14"/>
  <c r="J106" i="14"/>
  <c r="I105" i="14"/>
  <c r="I101" i="14"/>
  <c r="I104" i="14"/>
  <c r="I106" i="14"/>
  <c r="H105" i="14"/>
  <c r="H101" i="14"/>
  <c r="H104" i="14"/>
  <c r="H106" i="14"/>
  <c r="G105" i="14"/>
  <c r="G104" i="14"/>
  <c r="G106" i="14"/>
  <c r="AA104" i="14"/>
  <c r="Z104" i="14"/>
  <c r="Y104" i="14"/>
  <c r="X104" i="14"/>
  <c r="W104" i="14"/>
  <c r="V104" i="14"/>
  <c r="U104" i="14"/>
  <c r="T104" i="14"/>
  <c r="S104" i="14"/>
  <c r="R104" i="14"/>
  <c r="Q104" i="14"/>
  <c r="L101" i="14"/>
  <c r="L104" i="14"/>
  <c r="V82" i="25"/>
  <c r="V291" i="14"/>
  <c r="Y174" i="14"/>
  <c r="X175" i="14"/>
  <c r="X176" i="14"/>
  <c r="R230" i="14"/>
  <c r="Q236" i="14"/>
  <c r="AM103" i="14"/>
  <c r="R234" i="14"/>
  <c r="E43" i="9"/>
  <c r="V82" i="9"/>
  <c r="Y152" i="14"/>
  <c r="Z153" i="14"/>
  <c r="B43" i="9"/>
  <c r="Q290" i="14"/>
  <c r="S172" i="14"/>
  <c r="AL175" i="14"/>
  <c r="T171" i="14"/>
  <c r="L106" i="14"/>
  <c r="Z101" i="14"/>
  <c r="Y101" i="14"/>
  <c r="X101" i="14"/>
  <c r="W101" i="14"/>
  <c r="V101" i="14"/>
  <c r="U101" i="14"/>
  <c r="T101" i="14"/>
  <c r="S101" i="14"/>
  <c r="R101" i="14"/>
  <c r="N101" i="14"/>
  <c r="M101" i="14"/>
  <c r="M104" i="14"/>
  <c r="AA99" i="14"/>
  <c r="Z99" i="14"/>
  <c r="Y99" i="14"/>
  <c r="X99" i="14"/>
  <c r="W99" i="14"/>
  <c r="V99" i="14"/>
  <c r="U99" i="14"/>
  <c r="T99" i="14"/>
  <c r="S99" i="14"/>
  <c r="R99" i="14"/>
  <c r="AA97" i="14"/>
  <c r="Z97" i="14"/>
  <c r="Y97" i="14"/>
  <c r="X97" i="14"/>
  <c r="W97" i="14"/>
  <c r="V97" i="14"/>
  <c r="U97" i="14"/>
  <c r="T97" i="14"/>
  <c r="S97" i="14"/>
  <c r="R97" i="14"/>
  <c r="AA95" i="14"/>
  <c r="Z95" i="14"/>
  <c r="Y95" i="14"/>
  <c r="X95" i="14"/>
  <c r="W95" i="14"/>
  <c r="V95" i="14"/>
  <c r="U95" i="14"/>
  <c r="T95" i="14"/>
  <c r="S95" i="14"/>
  <c r="R95" i="14"/>
  <c r="U82" i="25"/>
  <c r="Z174" i="14"/>
  <c r="Y175" i="14"/>
  <c r="Y176" i="14"/>
  <c r="W291" i="14"/>
  <c r="R236" i="14"/>
  <c r="L226" i="14"/>
  <c r="K226" i="14"/>
  <c r="J226" i="14"/>
  <c r="I226" i="14"/>
  <c r="H226" i="14"/>
  <c r="G226" i="14"/>
  <c r="F226" i="14"/>
  <c r="N104" i="14"/>
  <c r="M106" i="14"/>
  <c r="R290" i="14"/>
  <c r="U171" i="14"/>
  <c r="V171" i="14"/>
  <c r="T105" i="14"/>
  <c r="D43" i="9"/>
  <c r="X152" i="14"/>
  <c r="Y153" i="14"/>
  <c r="U82" i="9"/>
  <c r="Z79" i="14"/>
  <c r="Z83" i="14"/>
  <c r="Y79" i="14"/>
  <c r="Y83" i="14"/>
  <c r="X79" i="14"/>
  <c r="X83" i="14"/>
  <c r="W79" i="14"/>
  <c r="W83" i="14"/>
  <c r="V79" i="14"/>
  <c r="V83" i="14"/>
  <c r="U79" i="14"/>
  <c r="U83" i="14"/>
  <c r="T83" i="14"/>
  <c r="S79" i="14"/>
  <c r="S83" i="14"/>
  <c r="R79" i="14"/>
  <c r="R83" i="14"/>
  <c r="Q79" i="14"/>
  <c r="Q83" i="14"/>
  <c r="P77" i="14"/>
  <c r="P83" i="14"/>
  <c r="O77" i="14"/>
  <c r="O83" i="14"/>
  <c r="N77" i="14"/>
  <c r="N83" i="14"/>
  <c r="K77" i="14"/>
  <c r="K83" i="14"/>
  <c r="J77" i="14"/>
  <c r="J83" i="14"/>
  <c r="I77" i="14"/>
  <c r="I83" i="14"/>
  <c r="H77" i="14"/>
  <c r="H83" i="14"/>
  <c r="G77" i="14"/>
  <c r="G83" i="14"/>
  <c r="F77" i="14"/>
  <c r="F83" i="14"/>
  <c r="P82" i="14"/>
  <c r="O82" i="14"/>
  <c r="N82" i="14"/>
  <c r="K82" i="14"/>
  <c r="J82" i="14"/>
  <c r="I82" i="14"/>
  <c r="H82" i="14"/>
  <c r="G82" i="14"/>
  <c r="F82" i="14"/>
  <c r="Z77" i="14"/>
  <c r="Z81" i="14"/>
  <c r="Y77" i="14"/>
  <c r="Y81" i="14"/>
  <c r="X77" i="14"/>
  <c r="X81" i="14"/>
  <c r="W77" i="14"/>
  <c r="W81" i="14"/>
  <c r="V77" i="14"/>
  <c r="V81" i="14"/>
  <c r="U81" i="14"/>
  <c r="T81" i="14"/>
  <c r="S77" i="14"/>
  <c r="S81" i="14"/>
  <c r="R77" i="14"/>
  <c r="R81" i="14"/>
  <c r="Q77" i="14"/>
  <c r="Q81" i="14"/>
  <c r="P81" i="14"/>
  <c r="O81" i="14"/>
  <c r="N81" i="14"/>
  <c r="K81" i="14"/>
  <c r="J81" i="14"/>
  <c r="I81" i="14"/>
  <c r="H81" i="14"/>
  <c r="G81" i="14"/>
  <c r="F81" i="14"/>
  <c r="Y10" i="14"/>
  <c r="Z59" i="14"/>
  <c r="AB79" i="14"/>
  <c r="AD79" i="14"/>
  <c r="T82" i="25"/>
  <c r="Z175" i="14"/>
  <c r="Z176" i="14"/>
  <c r="X291" i="14"/>
  <c r="AA174" i="14"/>
  <c r="V172" i="14"/>
  <c r="AO175" i="14"/>
  <c r="AQ175" i="14"/>
  <c r="N106" i="14"/>
  <c r="W152" i="14"/>
  <c r="X153" i="14"/>
  <c r="S290" i="14"/>
  <c r="W171" i="14"/>
  <c r="U105" i="14"/>
  <c r="U106" i="14"/>
  <c r="C43" i="9"/>
  <c r="T82" i="9"/>
  <c r="S105" i="14"/>
  <c r="T106" i="14"/>
  <c r="Y15" i="14"/>
  <c r="Z64" i="14"/>
  <c r="Y20" i="14"/>
  <c r="Z69" i="14"/>
  <c r="U31" i="14"/>
  <c r="V31" i="14"/>
  <c r="W31" i="14"/>
  <c r="X31" i="14"/>
  <c r="Y31" i="14"/>
  <c r="Y25" i="14"/>
  <c r="Z74" i="14"/>
  <c r="AB78" i="14"/>
  <c r="AD78" i="14"/>
  <c r="Z78" i="14"/>
  <c r="X10" i="14"/>
  <c r="Y59" i="14"/>
  <c r="X15" i="14"/>
  <c r="Y64" i="14"/>
  <c r="X20" i="14"/>
  <c r="Y69" i="14"/>
  <c r="X25" i="14"/>
  <c r="Y74" i="14"/>
  <c r="Y78" i="14"/>
  <c r="W10" i="14"/>
  <c r="X59" i="14"/>
  <c r="W15" i="14"/>
  <c r="X64" i="14"/>
  <c r="W20" i="14"/>
  <c r="X69" i="14"/>
  <c r="W25" i="14"/>
  <c r="X74" i="14"/>
  <c r="X78" i="14"/>
  <c r="V10" i="14"/>
  <c r="W59" i="14"/>
  <c r="V15" i="14"/>
  <c r="W64" i="14"/>
  <c r="V20" i="14"/>
  <c r="W69" i="14"/>
  <c r="V25" i="14"/>
  <c r="W74" i="14"/>
  <c r="W78" i="14"/>
  <c r="U15" i="14"/>
  <c r="V64" i="14"/>
  <c r="U25" i="14"/>
  <c r="V74" i="14"/>
  <c r="V78" i="14"/>
  <c r="T64" i="14"/>
  <c r="T78" i="14"/>
  <c r="S78" i="14"/>
  <c r="R78" i="14"/>
  <c r="Q78" i="14"/>
  <c r="AB77" i="14"/>
  <c r="AD77" i="14"/>
  <c r="M77" i="14"/>
  <c r="AB76" i="14"/>
  <c r="S82" i="25"/>
  <c r="AA175" i="14"/>
  <c r="AA176" i="14"/>
  <c r="Y291" i="14"/>
  <c r="AB172" i="14"/>
  <c r="L77" i="14"/>
  <c r="M81" i="14"/>
  <c r="M83" i="14"/>
  <c r="M82" i="14"/>
  <c r="S82" i="9"/>
  <c r="R105" i="14"/>
  <c r="S106" i="14"/>
  <c r="V152" i="14"/>
  <c r="W153" i="14"/>
  <c r="T290" i="14"/>
  <c r="U172" i="14"/>
  <c r="V105" i="14"/>
  <c r="V106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39" i="14"/>
  <c r="K23" i="14"/>
  <c r="K47" i="14"/>
  <c r="J47" i="14"/>
  <c r="I47" i="14"/>
  <c r="H47" i="14"/>
  <c r="G47" i="14"/>
  <c r="F47" i="14"/>
  <c r="E47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Y44" i="14"/>
  <c r="X44" i="14"/>
  <c r="W44" i="14"/>
  <c r="V44" i="14"/>
  <c r="U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I43" i="14"/>
  <c r="H43" i="14"/>
  <c r="G43" i="14"/>
  <c r="F43" i="14"/>
  <c r="E43" i="14"/>
  <c r="L39" i="14"/>
  <c r="R82" i="25"/>
  <c r="T172" i="14"/>
  <c r="AM175" i="14"/>
  <c r="AN175" i="14"/>
  <c r="L81" i="14"/>
  <c r="L83" i="14"/>
  <c r="L82" i="14"/>
  <c r="Q105" i="14"/>
  <c r="Q106" i="14"/>
  <c r="R106" i="14"/>
  <c r="R82" i="9"/>
  <c r="U152" i="14"/>
  <c r="V153" i="14"/>
  <c r="Q82" i="25"/>
  <c r="Q82" i="9"/>
  <c r="T152" i="14"/>
  <c r="U153" i="14"/>
  <c r="P82" i="25"/>
  <c r="P82" i="9"/>
  <c r="S152" i="14"/>
  <c r="T153" i="14"/>
  <c r="O82" i="25"/>
  <c r="R152" i="14"/>
  <c r="S153" i="14"/>
  <c r="O82" i="9"/>
  <c r="N82" i="25"/>
  <c r="Q152" i="14"/>
  <c r="P152" i="14"/>
  <c r="P153" i="14"/>
  <c r="R153" i="14"/>
  <c r="N82" i="9"/>
  <c r="M82" i="25"/>
  <c r="K82" i="25"/>
  <c r="Q153" i="14"/>
  <c r="M82" i="9"/>
  <c r="L82" i="25"/>
  <c r="L82" i="9"/>
  <c r="K82" i="9"/>
  <c r="J82" i="9"/>
  <c r="I82" i="9"/>
  <c r="F13" i="16"/>
  <c r="E13" i="16"/>
  <c r="D13" i="16"/>
  <c r="C13" i="16"/>
  <c r="B13" i="16"/>
  <c r="L7" i="16"/>
  <c r="K7" i="16"/>
  <c r="J7" i="16"/>
  <c r="I7" i="16"/>
  <c r="H7" i="16"/>
  <c r="G7" i="16"/>
  <c r="G28" i="16"/>
  <c r="F7" i="16"/>
  <c r="E7" i="16"/>
  <c r="D7" i="16"/>
  <c r="C7" i="16"/>
  <c r="B7" i="16"/>
  <c r="Q6" i="16"/>
  <c r="L6" i="16"/>
  <c r="K6" i="16"/>
  <c r="J6" i="16"/>
  <c r="I6" i="16"/>
  <c r="H6" i="16"/>
  <c r="G6" i="16"/>
  <c r="F6" i="16"/>
  <c r="E6" i="16"/>
  <c r="D6" i="16"/>
  <c r="C6" i="16"/>
  <c r="B6" i="16"/>
  <c r="Q5" i="16"/>
  <c r="L5" i="16"/>
  <c r="L26" i="16"/>
  <c r="K5" i="16"/>
  <c r="J5" i="16"/>
  <c r="I5" i="16"/>
  <c r="H5" i="16"/>
  <c r="G5" i="16"/>
  <c r="F5" i="16"/>
  <c r="E5" i="16"/>
  <c r="D5" i="16"/>
  <c r="C5" i="16"/>
  <c r="B5" i="16"/>
  <c r="G26" i="16"/>
  <c r="G38" i="16"/>
  <c r="G27" i="16"/>
  <c r="G30" i="16"/>
  <c r="Q26" i="16"/>
  <c r="Q38" i="16"/>
  <c r="P5" i="16"/>
  <c r="F27" i="16"/>
  <c r="P6" i="16"/>
  <c r="Q27" i="16"/>
  <c r="Q30" i="16"/>
  <c r="Q33" i="16"/>
  <c r="Q32" i="16"/>
  <c r="Q7" i="16"/>
  <c r="Q10" i="16"/>
  <c r="H82" i="9"/>
  <c r="F28" i="16"/>
  <c r="G33" i="16"/>
  <c r="G39" i="16"/>
  <c r="G32" i="16"/>
  <c r="Q31" i="16"/>
  <c r="G36" i="16"/>
  <c r="G35" i="16"/>
  <c r="K5" i="36"/>
  <c r="U3" i="5"/>
  <c r="U3" i="36"/>
  <c r="Q36" i="16"/>
  <c r="Q39" i="16"/>
  <c r="O5" i="16"/>
  <c r="L39" i="16"/>
  <c r="P26" i="16"/>
  <c r="K26" i="16"/>
  <c r="E28" i="16"/>
  <c r="G82" i="9"/>
  <c r="O6" i="16"/>
  <c r="P27" i="16"/>
  <c r="E27" i="16"/>
  <c r="F30" i="16"/>
  <c r="F35" i="16"/>
  <c r="J5" i="36"/>
  <c r="P7" i="16"/>
  <c r="Q28" i="16"/>
  <c r="S20" i="36"/>
  <c r="P68" i="36"/>
  <c r="K3" i="36"/>
  <c r="P39" i="16"/>
  <c r="K39" i="16"/>
  <c r="N5" i="16"/>
  <c r="O26" i="16"/>
  <c r="F34" i="16"/>
  <c r="J4" i="36"/>
  <c r="D27" i="16"/>
  <c r="E30" i="16"/>
  <c r="E34" i="16"/>
  <c r="I4" i="36"/>
  <c r="F82" i="9"/>
  <c r="J26" i="16"/>
  <c r="N6" i="16"/>
  <c r="O27" i="16"/>
  <c r="D28" i="16"/>
  <c r="O7" i="16"/>
  <c r="P28" i="16"/>
  <c r="I20" i="36"/>
  <c r="F68" i="36"/>
  <c r="E35" i="16"/>
  <c r="I5" i="36"/>
  <c r="M5" i="16"/>
  <c r="N26" i="16"/>
  <c r="J39" i="16"/>
  <c r="O39" i="16"/>
  <c r="C27" i="16"/>
  <c r="D30" i="16"/>
  <c r="D35" i="16"/>
  <c r="H5" i="36"/>
  <c r="M6" i="16"/>
  <c r="M27" i="16"/>
  <c r="N27" i="16"/>
  <c r="N7" i="16"/>
  <c r="O28" i="16"/>
  <c r="C28" i="16"/>
  <c r="I26" i="16"/>
  <c r="E82" i="9"/>
  <c r="N39" i="16"/>
  <c r="I39" i="16"/>
  <c r="M26" i="16"/>
  <c r="M7" i="16"/>
  <c r="M28" i="16"/>
  <c r="N28" i="16"/>
  <c r="B27" i="16"/>
  <c r="C30" i="16"/>
  <c r="C34" i="16"/>
  <c r="G4" i="36"/>
  <c r="H26" i="16"/>
  <c r="H39" i="16"/>
  <c r="D34" i="16"/>
  <c r="H4" i="36"/>
  <c r="D82" i="9"/>
  <c r="B28" i="16"/>
  <c r="L27" i="16"/>
  <c r="C35" i="16"/>
  <c r="G5" i="36"/>
  <c r="M39" i="16"/>
  <c r="K27" i="16"/>
  <c r="K30" i="16"/>
  <c r="C82" i="9"/>
  <c r="L28" i="16"/>
  <c r="B30" i="16"/>
  <c r="B34" i="16"/>
  <c r="F4" i="5"/>
  <c r="F8" i="5"/>
  <c r="D19" i="5"/>
  <c r="F4" i="36"/>
  <c r="K28" i="16"/>
  <c r="F26" i="16"/>
  <c r="B35" i="16"/>
  <c r="F5" i="36"/>
  <c r="J27" i="16"/>
  <c r="F9" i="36"/>
  <c r="G9" i="36"/>
  <c r="F8" i="36"/>
  <c r="G8" i="36"/>
  <c r="E26" i="16"/>
  <c r="F33" i="16"/>
  <c r="J3" i="36"/>
  <c r="I27" i="16"/>
  <c r="B65" i="9"/>
  <c r="B66" i="9"/>
  <c r="F14" i="5"/>
  <c r="J28" i="16"/>
  <c r="H9" i="36"/>
  <c r="G15" i="36"/>
  <c r="D20" i="36"/>
  <c r="B65" i="25"/>
  <c r="B66" i="25"/>
  <c r="F15" i="36"/>
  <c r="E20" i="36"/>
  <c r="C65" i="25"/>
  <c r="F14" i="36"/>
  <c r="D19" i="36"/>
  <c r="D93" i="9"/>
  <c r="D26" i="16"/>
  <c r="E33" i="16"/>
  <c r="I3" i="36"/>
  <c r="I28" i="16"/>
  <c r="H27" i="16"/>
  <c r="I9" i="36"/>
  <c r="H15" i="36"/>
  <c r="F20" i="36"/>
  <c r="D65" i="25"/>
  <c r="D90" i="25"/>
  <c r="H8" i="36"/>
  <c r="E19" i="36"/>
  <c r="G14" i="36"/>
  <c r="C66" i="25"/>
  <c r="C67" i="25"/>
  <c r="B67" i="25"/>
  <c r="H28" i="16"/>
  <c r="C26" i="16"/>
  <c r="C33" i="16"/>
  <c r="D33" i="16"/>
  <c r="H3" i="36"/>
  <c r="J9" i="36"/>
  <c r="I15" i="36"/>
  <c r="H14" i="36"/>
  <c r="F19" i="36"/>
  <c r="I8" i="36"/>
  <c r="D66" i="25"/>
  <c r="E90" i="25"/>
  <c r="G20" i="36"/>
  <c r="E65" i="25"/>
  <c r="B26" i="16"/>
  <c r="G3" i="36"/>
  <c r="K9" i="36"/>
  <c r="J15" i="36"/>
  <c r="H20" i="36"/>
  <c r="F65" i="25"/>
  <c r="I14" i="36"/>
  <c r="G19" i="36"/>
  <c r="J8" i="36"/>
  <c r="F90" i="25"/>
  <c r="E66" i="25"/>
  <c r="E67" i="25"/>
  <c r="D67" i="25"/>
  <c r="G5" i="5"/>
  <c r="G4" i="5"/>
  <c r="G8" i="5"/>
  <c r="E19" i="5"/>
  <c r="B33" i="16"/>
  <c r="K15" i="36"/>
  <c r="H19" i="36"/>
  <c r="J14" i="36"/>
  <c r="G90" i="25"/>
  <c r="F66" i="25"/>
  <c r="F67" i="25"/>
  <c r="F3" i="5"/>
  <c r="F7" i="5"/>
  <c r="F3" i="36"/>
  <c r="C65" i="9"/>
  <c r="C66" i="9"/>
  <c r="F5" i="5"/>
  <c r="F9" i="5"/>
  <c r="F7" i="36"/>
  <c r="G7" i="36"/>
  <c r="H90" i="25"/>
  <c r="D20" i="5"/>
  <c r="B83" i="25"/>
  <c r="B84" i="25"/>
  <c r="B44" i="9"/>
  <c r="B47" i="9"/>
  <c r="F13" i="5"/>
  <c r="G9" i="5"/>
  <c r="E93" i="9"/>
  <c r="D91" i="25"/>
  <c r="G13" i="36"/>
  <c r="E18" i="36"/>
  <c r="H7" i="36"/>
  <c r="F13" i="36"/>
  <c r="D18" i="36"/>
  <c r="E20" i="5"/>
  <c r="C83" i="25"/>
  <c r="C84" i="25"/>
  <c r="J3" i="5"/>
  <c r="E91" i="25"/>
  <c r="C3" i="44"/>
  <c r="C27" i="44"/>
  <c r="C44" i="25"/>
  <c r="H13" i="36"/>
  <c r="F18" i="36"/>
  <c r="I7" i="36"/>
  <c r="B44" i="25"/>
  <c r="B47" i="25"/>
  <c r="I3" i="5"/>
  <c r="H3" i="5"/>
  <c r="C34" i="44"/>
  <c r="C28" i="44"/>
  <c r="C31" i="44"/>
  <c r="C9" i="44"/>
  <c r="C11" i="44"/>
  <c r="D89" i="25"/>
  <c r="D44" i="25"/>
  <c r="I13" i="36"/>
  <c r="G18" i="36"/>
  <c r="J7" i="36"/>
  <c r="G3" i="5"/>
  <c r="G7" i="5"/>
  <c r="D25" i="19"/>
  <c r="D26" i="19"/>
  <c r="D27" i="19"/>
  <c r="X171" i="14"/>
  <c r="E25" i="19"/>
  <c r="E26" i="19"/>
  <c r="E27" i="19"/>
  <c r="G27" i="19"/>
  <c r="F27" i="19"/>
  <c r="G26" i="19"/>
  <c r="F26" i="19"/>
  <c r="F25" i="19"/>
  <c r="G25" i="19"/>
  <c r="W172" i="14"/>
  <c r="U290" i="14"/>
  <c r="D18" i="5"/>
  <c r="F43" i="9"/>
  <c r="B83" i="9"/>
  <c r="B84" i="9"/>
  <c r="C40" i="44"/>
  <c r="C39" i="44"/>
  <c r="C35" i="44"/>
  <c r="C32" i="44"/>
  <c r="H18" i="36"/>
  <c r="K7" i="36"/>
  <c r="J13" i="36"/>
  <c r="E44" i="25"/>
  <c r="L332" i="14"/>
  <c r="L331" i="14"/>
  <c r="C47" i="25"/>
  <c r="H7" i="5"/>
  <c r="F31" i="19"/>
  <c r="F38" i="19"/>
  <c r="I47" i="19"/>
  <c r="D2" i="44"/>
  <c r="D25" i="44"/>
  <c r="E31" i="19"/>
  <c r="E38" i="19"/>
  <c r="G31" i="19"/>
  <c r="D31" i="19"/>
  <c r="D38" i="19"/>
  <c r="F15" i="5"/>
  <c r="C83" i="9"/>
  <c r="C84" i="9"/>
  <c r="C44" i="9"/>
  <c r="C47" i="9"/>
  <c r="G64" i="9"/>
  <c r="N193" i="14"/>
  <c r="M331" i="14"/>
  <c r="X105" i="14"/>
  <c r="X106" i="14"/>
  <c r="S43" i="9"/>
  <c r="Y171" i="14"/>
  <c r="W290" i="14"/>
  <c r="V290" i="14"/>
  <c r="X172" i="14"/>
  <c r="W105" i="14"/>
  <c r="W106" i="14"/>
  <c r="R43" i="9"/>
  <c r="G13" i="5"/>
  <c r="E18" i="5"/>
  <c r="D94" i="9"/>
  <c r="D92" i="9"/>
  <c r="D26" i="44"/>
  <c r="D30" i="44"/>
  <c r="D33" i="44"/>
  <c r="C41" i="44"/>
  <c r="C6" i="44"/>
  <c r="I19" i="36"/>
  <c r="I18" i="36"/>
  <c r="F44" i="25"/>
  <c r="K13" i="36"/>
  <c r="E94" i="9"/>
  <c r="E89" i="25"/>
  <c r="D47" i="25"/>
  <c r="H64" i="9"/>
  <c r="D44" i="9"/>
  <c r="D47" i="9"/>
  <c r="G15" i="5"/>
  <c r="I7" i="5"/>
  <c r="E92" i="9"/>
  <c r="N331" i="14"/>
  <c r="O193" i="14"/>
  <c r="M332" i="14"/>
  <c r="Y105" i="14"/>
  <c r="Y106" i="14"/>
  <c r="T43" i="9"/>
  <c r="Y172" i="14"/>
  <c r="Z171" i="14"/>
  <c r="H13" i="5"/>
  <c r="F18" i="5"/>
  <c r="E42" i="19"/>
  <c r="F42" i="19"/>
  <c r="H47" i="19"/>
  <c r="C2" i="44"/>
  <c r="C25" i="44"/>
  <c r="G47" i="19"/>
  <c r="B2" i="44"/>
  <c r="B25" i="44"/>
  <c r="D42" i="19"/>
  <c r="B33" i="44"/>
  <c r="B26" i="44"/>
  <c r="B30" i="44"/>
  <c r="B27" i="44"/>
  <c r="D37" i="44"/>
  <c r="D36" i="44"/>
  <c r="C33" i="44"/>
  <c r="C26" i="44"/>
  <c r="C30" i="44"/>
  <c r="G65" i="25"/>
  <c r="B170" i="44"/>
  <c r="G58" i="44"/>
  <c r="K22" i="36"/>
  <c r="B161" i="44"/>
  <c r="C58" i="44"/>
  <c r="G44" i="25"/>
  <c r="G47" i="25"/>
  <c r="F89" i="25"/>
  <c r="F92" i="9"/>
  <c r="E47" i="25"/>
  <c r="J64" i="9"/>
  <c r="I64" i="9"/>
  <c r="I13" i="5"/>
  <c r="G18" i="5"/>
  <c r="E44" i="9"/>
  <c r="J7" i="5"/>
  <c r="N332" i="14"/>
  <c r="P193" i="14"/>
  <c r="O331" i="14"/>
  <c r="AA171" i="14"/>
  <c r="Z172" i="14"/>
  <c r="X290" i="14"/>
  <c r="Z105" i="14"/>
  <c r="Z106" i="14"/>
  <c r="U43" i="9"/>
  <c r="G66" i="25"/>
  <c r="G67" i="25"/>
  <c r="D38" i="44"/>
  <c r="B36" i="44"/>
  <c r="B37" i="44"/>
  <c r="B38" i="44"/>
  <c r="C36" i="44"/>
  <c r="C37" i="44"/>
  <c r="B31" i="44"/>
  <c r="B34" i="44"/>
  <c r="B28" i="44"/>
  <c r="I89" i="25"/>
  <c r="I90" i="25"/>
  <c r="C8" i="44"/>
  <c r="C10" i="44"/>
  <c r="G89" i="25"/>
  <c r="F47" i="25"/>
  <c r="J13" i="5"/>
  <c r="H18" i="5"/>
  <c r="F44" i="9"/>
  <c r="O332" i="14"/>
  <c r="Q193" i="14"/>
  <c r="AA105" i="14"/>
  <c r="AA106" i="14"/>
  <c r="V43" i="9"/>
  <c r="Y290" i="14"/>
  <c r="AA172" i="14"/>
  <c r="B39" i="44"/>
  <c r="B40" i="44"/>
  <c r="B35" i="44"/>
  <c r="B32" i="44"/>
  <c r="C38" i="44"/>
  <c r="C59" i="44"/>
  <c r="B162" i="44"/>
  <c r="B171" i="44"/>
  <c r="G59" i="44"/>
  <c r="D8" i="44"/>
  <c r="D10" i="44"/>
  <c r="P331" i="14"/>
  <c r="H89" i="25"/>
  <c r="K64" i="9"/>
  <c r="P332" i="14"/>
  <c r="R193" i="14"/>
  <c r="B41" i="44"/>
  <c r="Q331" i="14"/>
  <c r="C5" i="44"/>
  <c r="M64" i="9"/>
  <c r="L64" i="9"/>
  <c r="Q332" i="14"/>
  <c r="S193" i="14"/>
  <c r="R331" i="14"/>
  <c r="D5" i="44"/>
  <c r="R332" i="14"/>
  <c r="T193" i="14"/>
  <c r="S331" i="14"/>
  <c r="W192" i="14"/>
  <c r="O64" i="9"/>
  <c r="N64" i="9"/>
  <c r="S332" i="14"/>
  <c r="U193" i="14"/>
  <c r="T331" i="14"/>
  <c r="X192" i="14"/>
  <c r="W129" i="14"/>
  <c r="T332" i="14"/>
  <c r="V193" i="14"/>
  <c r="J4" i="5"/>
  <c r="K3" i="5"/>
  <c r="H30" i="16"/>
  <c r="I30" i="16"/>
  <c r="I34" i="16"/>
  <c r="J30" i="16"/>
  <c r="J35" i="16"/>
  <c r="K34" i="16"/>
  <c r="L30" i="16"/>
  <c r="M30" i="16"/>
  <c r="M34" i="16"/>
  <c r="N30" i="16"/>
  <c r="N35" i="16"/>
  <c r="O30" i="16"/>
  <c r="O34" i="16"/>
  <c r="P30" i="16"/>
  <c r="P33" i="16"/>
  <c r="P32" i="16"/>
  <c r="J5" i="5"/>
  <c r="I5" i="5"/>
  <c r="H5" i="5"/>
  <c r="H9" i="5"/>
  <c r="I4" i="5"/>
  <c r="H4" i="5"/>
  <c r="H8" i="5"/>
  <c r="Q4" i="5"/>
  <c r="Q4" i="36"/>
  <c r="W4" i="5"/>
  <c r="N5" i="5"/>
  <c r="N5" i="36"/>
  <c r="X3" i="5"/>
  <c r="O4" i="5"/>
  <c r="O4" i="36"/>
  <c r="V5" i="5"/>
  <c r="M4" i="5"/>
  <c r="M4" i="36"/>
  <c r="R5" i="5"/>
  <c r="R5" i="36"/>
  <c r="S4" i="5"/>
  <c r="S4" i="36"/>
  <c r="Y4" i="5"/>
  <c r="T3" i="5"/>
  <c r="P36" i="16"/>
  <c r="T3" i="36"/>
  <c r="Y192" i="14"/>
  <c r="X129" i="14"/>
  <c r="D83" i="25"/>
  <c r="D84" i="25"/>
  <c r="F91" i="25"/>
  <c r="D3" i="44"/>
  <c r="D27" i="44"/>
  <c r="K7" i="5"/>
  <c r="L33" i="16"/>
  <c r="L32" i="16"/>
  <c r="F19" i="5"/>
  <c r="I8" i="5"/>
  <c r="I9" i="5"/>
  <c r="F20" i="5"/>
  <c r="K33" i="16"/>
  <c r="K32" i="16"/>
  <c r="G34" i="16"/>
  <c r="D83" i="9"/>
  <c r="D84" i="9"/>
  <c r="H15" i="5"/>
  <c r="H14" i="5"/>
  <c r="G14" i="5"/>
  <c r="D65" i="9"/>
  <c r="D66" i="9"/>
  <c r="U332" i="14"/>
  <c r="W193" i="14"/>
  <c r="O33" i="16"/>
  <c r="O32" i="16"/>
  <c r="I35" i="16"/>
  <c r="M35" i="16"/>
  <c r="M33" i="16"/>
  <c r="M32" i="16"/>
  <c r="Q35" i="16"/>
  <c r="I33" i="16"/>
  <c r="I32" i="16"/>
  <c r="K5" i="5"/>
  <c r="Q34" i="16"/>
  <c r="O35" i="16"/>
  <c r="K35" i="16"/>
  <c r="H34" i="16"/>
  <c r="H35" i="16"/>
  <c r="N34" i="16"/>
  <c r="N33" i="16"/>
  <c r="N32" i="16"/>
  <c r="L34" i="16"/>
  <c r="L35" i="16"/>
  <c r="P34" i="16"/>
  <c r="P35" i="16"/>
  <c r="V3" i="5"/>
  <c r="J34" i="16"/>
  <c r="J33" i="16"/>
  <c r="J32" i="16"/>
  <c r="H33" i="16"/>
  <c r="H32" i="16"/>
  <c r="O68" i="36"/>
  <c r="R20" i="36"/>
  <c r="D28" i="44"/>
  <c r="D34" i="44"/>
  <c r="D31" i="44"/>
  <c r="N3" i="5"/>
  <c r="J36" i="16"/>
  <c r="N3" i="36"/>
  <c r="P4" i="5"/>
  <c r="P4" i="36"/>
  <c r="V4" i="5"/>
  <c r="R3" i="5"/>
  <c r="N36" i="16"/>
  <c r="R3" i="36"/>
  <c r="U4" i="5"/>
  <c r="U4" i="36"/>
  <c r="M5" i="5"/>
  <c r="M5" i="36"/>
  <c r="P3" i="5"/>
  <c r="L36" i="16"/>
  <c r="P3" i="36"/>
  <c r="X4" i="5"/>
  <c r="S5" i="5"/>
  <c r="S5" i="36"/>
  <c r="Q5" i="5"/>
  <c r="Q5" i="36"/>
  <c r="O3" i="5"/>
  <c r="K36" i="16"/>
  <c r="O3" i="36"/>
  <c r="T5" i="5"/>
  <c r="T5" i="36"/>
  <c r="R4" i="5"/>
  <c r="R4" i="36"/>
  <c r="L4" i="5"/>
  <c r="L4" i="36"/>
  <c r="Q3" i="5"/>
  <c r="M36" i="16"/>
  <c r="Q3" i="36"/>
  <c r="W3" i="5"/>
  <c r="K4" i="5"/>
  <c r="K4" i="36"/>
  <c r="L3" i="5"/>
  <c r="H36" i="16"/>
  <c r="L3" i="36"/>
  <c r="P5" i="5"/>
  <c r="P5" i="36"/>
  <c r="L5" i="5"/>
  <c r="L5" i="36"/>
  <c r="W5" i="5"/>
  <c r="Z5" i="5"/>
  <c r="Z4" i="5"/>
  <c r="U5" i="5"/>
  <c r="U5" i="36"/>
  <c r="N4" i="5"/>
  <c r="N4" i="36"/>
  <c r="T4" i="5"/>
  <c r="T4" i="36"/>
  <c r="X5" i="5"/>
  <c r="Z3" i="5"/>
  <c r="O5" i="5"/>
  <c r="O5" i="36"/>
  <c r="M3" i="5"/>
  <c r="I36" i="16"/>
  <c r="M3" i="36"/>
  <c r="Y3" i="5"/>
  <c r="S3" i="5"/>
  <c r="O36" i="16"/>
  <c r="S3" i="36"/>
  <c r="Y5" i="5"/>
  <c r="E83" i="25"/>
  <c r="E84" i="25"/>
  <c r="G91" i="25"/>
  <c r="E3" i="44"/>
  <c r="E27" i="44"/>
  <c r="Z192" i="14"/>
  <c r="Y129" i="14"/>
  <c r="D9" i="44"/>
  <c r="D11" i="44"/>
  <c r="G46" i="25"/>
  <c r="G44" i="9"/>
  <c r="G38" i="9"/>
  <c r="G17" i="9"/>
  <c r="G39" i="9"/>
  <c r="G18" i="9"/>
  <c r="G40" i="9"/>
  <c r="G19" i="9"/>
  <c r="G41" i="9"/>
  <c r="G20" i="9"/>
  <c r="G42" i="9"/>
  <c r="G47" i="9"/>
  <c r="I92" i="9"/>
  <c r="K13" i="5"/>
  <c r="G20" i="5"/>
  <c r="J9" i="5"/>
  <c r="J8" i="5"/>
  <c r="G19" i="5"/>
  <c r="I18" i="5"/>
  <c r="F94" i="9"/>
  <c r="I14" i="5"/>
  <c r="E65" i="9"/>
  <c r="F93" i="9"/>
  <c r="E83" i="9"/>
  <c r="I15" i="5"/>
  <c r="V332" i="14"/>
  <c r="X193" i="14"/>
  <c r="O20" i="36"/>
  <c r="L68" i="36"/>
  <c r="P20" i="36"/>
  <c r="M68" i="36"/>
  <c r="N68" i="36"/>
  <c r="Q20" i="36"/>
  <c r="G68" i="36"/>
  <c r="J20" i="36"/>
  <c r="L20" i="36"/>
  <c r="I68" i="36"/>
  <c r="J68" i="36"/>
  <c r="M20" i="36"/>
  <c r="K68" i="36"/>
  <c r="N20" i="36"/>
  <c r="T23" i="36"/>
  <c r="L8" i="36"/>
  <c r="K20" i="36"/>
  <c r="H68" i="36"/>
  <c r="E28" i="44"/>
  <c r="E34" i="44"/>
  <c r="E31" i="44"/>
  <c r="D35" i="44"/>
  <c r="D32" i="44"/>
  <c r="D40" i="44"/>
  <c r="D39" i="44"/>
  <c r="L9" i="36"/>
  <c r="M9" i="36"/>
  <c r="N9" i="36"/>
  <c r="I21" i="36"/>
  <c r="K8" i="36"/>
  <c r="J19" i="36"/>
  <c r="K23" i="36"/>
  <c r="L7" i="5"/>
  <c r="H44" i="9"/>
  <c r="Q21" i="36"/>
  <c r="N21" i="36"/>
  <c r="M21" i="36"/>
  <c r="P21" i="36"/>
  <c r="J21" i="36"/>
  <c r="L7" i="36"/>
  <c r="L21" i="36"/>
  <c r="K21" i="36"/>
  <c r="O21" i="36"/>
  <c r="U23" i="36"/>
  <c r="S21" i="36"/>
  <c r="R21" i="36"/>
  <c r="F83" i="25"/>
  <c r="F84" i="25"/>
  <c r="H91" i="25"/>
  <c r="F3" i="44"/>
  <c r="F27" i="44"/>
  <c r="AA192" i="14"/>
  <c r="AA129" i="14"/>
  <c r="Z129" i="14"/>
  <c r="E9" i="44"/>
  <c r="E11" i="44"/>
  <c r="H20" i="5"/>
  <c r="K9" i="5"/>
  <c r="K8" i="5"/>
  <c r="H19" i="5"/>
  <c r="F65" i="9"/>
  <c r="J14" i="5"/>
  <c r="F83" i="9"/>
  <c r="J15" i="5"/>
  <c r="W332" i="14"/>
  <c r="Y193" i="14"/>
  <c r="D41" i="44"/>
  <c r="F34" i="44"/>
  <c r="F28" i="44"/>
  <c r="F31" i="44"/>
  <c r="E32" i="44"/>
  <c r="E35" i="44"/>
  <c r="E40" i="44"/>
  <c r="E39" i="44"/>
  <c r="O9" i="36"/>
  <c r="N15" i="36"/>
  <c r="M15" i="36"/>
  <c r="L15" i="36"/>
  <c r="M7" i="36"/>
  <c r="K18" i="36"/>
  <c r="J18" i="36"/>
  <c r="M7" i="5"/>
  <c r="K18" i="5"/>
  <c r="J18" i="5"/>
  <c r="L13" i="5"/>
  <c r="K14" i="36"/>
  <c r="L13" i="36"/>
  <c r="D6" i="44"/>
  <c r="F9" i="44"/>
  <c r="F11" i="44"/>
  <c r="G83" i="25"/>
  <c r="G84" i="25"/>
  <c r="I20" i="5"/>
  <c r="L9" i="5"/>
  <c r="I19" i="5"/>
  <c r="L8" i="5"/>
  <c r="N7" i="5"/>
  <c r="K15" i="5"/>
  <c r="G83" i="9"/>
  <c r="G65" i="9"/>
  <c r="K14" i="5"/>
  <c r="X332" i="14"/>
  <c r="Z193" i="14"/>
  <c r="E41" i="44"/>
  <c r="E6" i="44"/>
  <c r="F35" i="44"/>
  <c r="F32" i="44"/>
  <c r="F39" i="44"/>
  <c r="F40" i="44"/>
  <c r="P9" i="36"/>
  <c r="O15" i="36"/>
  <c r="N7" i="36"/>
  <c r="L18" i="36"/>
  <c r="N22" i="36"/>
  <c r="M13" i="5"/>
  <c r="I44" i="9"/>
  <c r="D161" i="44"/>
  <c r="I44" i="25"/>
  <c r="I47" i="25"/>
  <c r="K89" i="25"/>
  <c r="M22" i="36"/>
  <c r="C161" i="44"/>
  <c r="H44" i="25"/>
  <c r="L22" i="36"/>
  <c r="M13" i="36"/>
  <c r="M8" i="36"/>
  <c r="K19" i="36"/>
  <c r="L14" i="36"/>
  <c r="H83" i="25"/>
  <c r="H84" i="25"/>
  <c r="M9" i="5"/>
  <c r="J20" i="5"/>
  <c r="J19" i="5"/>
  <c r="M8" i="5"/>
  <c r="J44" i="9"/>
  <c r="L18" i="5"/>
  <c r="N13" i="5"/>
  <c r="O7" i="5"/>
  <c r="L14" i="5"/>
  <c r="H65" i="9"/>
  <c r="H83" i="9"/>
  <c r="L15" i="5"/>
  <c r="Y332" i="14"/>
  <c r="AA193" i="14"/>
  <c r="F41" i="44"/>
  <c r="F6" i="44"/>
  <c r="Q9" i="36"/>
  <c r="P15" i="36"/>
  <c r="J44" i="25"/>
  <c r="J47" i="25"/>
  <c r="L89" i="25"/>
  <c r="E161" i="44"/>
  <c r="N13" i="36"/>
  <c r="O7" i="36"/>
  <c r="M18" i="36"/>
  <c r="F161" i="44"/>
  <c r="I46" i="25"/>
  <c r="H47" i="25"/>
  <c r="H46" i="25"/>
  <c r="I65" i="25"/>
  <c r="M23" i="36"/>
  <c r="D170" i="44"/>
  <c r="H65" i="25"/>
  <c r="L23" i="36"/>
  <c r="C170" i="44"/>
  <c r="D162" i="44"/>
  <c r="M14" i="36"/>
  <c r="N8" i="36"/>
  <c r="L19" i="36"/>
  <c r="I83" i="25"/>
  <c r="I84" i="25"/>
  <c r="K44" i="9"/>
  <c r="O13" i="5"/>
  <c r="K20" i="5"/>
  <c r="N9" i="5"/>
  <c r="N8" i="5"/>
  <c r="K19" i="5"/>
  <c r="P7" i="5"/>
  <c r="M18" i="5"/>
  <c r="M14" i="5"/>
  <c r="I65" i="9"/>
  <c r="I83" i="9"/>
  <c r="M15" i="5"/>
  <c r="R9" i="36"/>
  <c r="Q15" i="36"/>
  <c r="J46" i="25"/>
  <c r="P7" i="36"/>
  <c r="N18" i="36"/>
  <c r="P22" i="36"/>
  <c r="O22" i="36"/>
  <c r="O13" i="36"/>
  <c r="K44" i="25"/>
  <c r="K47" i="25"/>
  <c r="M89" i="25"/>
  <c r="J89" i="25"/>
  <c r="I66" i="25"/>
  <c r="J65" i="25"/>
  <c r="E170" i="44"/>
  <c r="N23" i="36"/>
  <c r="H66" i="25"/>
  <c r="H67" i="25"/>
  <c r="E162" i="44"/>
  <c r="O8" i="36"/>
  <c r="M19" i="36"/>
  <c r="N14" i="36"/>
  <c r="J83" i="25"/>
  <c r="J84" i="25"/>
  <c r="Q7" i="5"/>
  <c r="L20" i="5"/>
  <c r="O9" i="5"/>
  <c r="L19" i="5"/>
  <c r="O8" i="5"/>
  <c r="P13" i="5"/>
  <c r="N18" i="5"/>
  <c r="L44" i="9"/>
  <c r="N15" i="5"/>
  <c r="J83" i="9"/>
  <c r="N14" i="5"/>
  <c r="J65" i="9"/>
  <c r="S9" i="36"/>
  <c r="R15" i="36"/>
  <c r="Q7" i="36"/>
  <c r="O18" i="36"/>
  <c r="M44" i="25"/>
  <c r="M47" i="25"/>
  <c r="G161" i="44"/>
  <c r="L44" i="25"/>
  <c r="L47" i="25"/>
  <c r="N89" i="25"/>
  <c r="P13" i="36"/>
  <c r="K46" i="25"/>
  <c r="C162" i="44"/>
  <c r="K90" i="25"/>
  <c r="J90" i="25"/>
  <c r="K65" i="25"/>
  <c r="O23" i="36"/>
  <c r="F170" i="44"/>
  <c r="J66" i="25"/>
  <c r="I67" i="25"/>
  <c r="F162" i="44"/>
  <c r="O14" i="36"/>
  <c r="P8" i="36"/>
  <c r="N19" i="36"/>
  <c r="K83" i="25"/>
  <c r="K84" i="25"/>
  <c r="R7" i="5"/>
  <c r="N44" i="9"/>
  <c r="O18" i="5"/>
  <c r="Q13" i="5"/>
  <c r="M44" i="9"/>
  <c r="M20" i="5"/>
  <c r="P9" i="5"/>
  <c r="M19" i="5"/>
  <c r="P8" i="5"/>
  <c r="K65" i="9"/>
  <c r="O14" i="5"/>
  <c r="K83" i="9"/>
  <c r="O15" i="5"/>
  <c r="T9" i="36"/>
  <c r="U9" i="36"/>
  <c r="S15" i="36"/>
  <c r="R7" i="36"/>
  <c r="P18" i="36"/>
  <c r="N44" i="25"/>
  <c r="N47" i="25"/>
  <c r="H161" i="44"/>
  <c r="Q22" i="36"/>
  <c r="Q13" i="36"/>
  <c r="L46" i="25"/>
  <c r="L90" i="25"/>
  <c r="C171" i="44"/>
  <c r="K66" i="25"/>
  <c r="L65" i="25"/>
  <c r="P23" i="36"/>
  <c r="G170" i="44"/>
  <c r="D171" i="44"/>
  <c r="J67" i="25"/>
  <c r="G162" i="44"/>
  <c r="O89" i="25"/>
  <c r="M46" i="25"/>
  <c r="P14" i="36"/>
  <c r="Q8" i="36"/>
  <c r="O19" i="36"/>
  <c r="L83" i="25"/>
  <c r="L84" i="25"/>
  <c r="P18" i="5"/>
  <c r="R13" i="5"/>
  <c r="S7" i="5"/>
  <c r="O44" i="9"/>
  <c r="N20" i="5"/>
  <c r="Q9" i="5"/>
  <c r="N19" i="5"/>
  <c r="Q8" i="5"/>
  <c r="L83" i="9"/>
  <c r="P15" i="5"/>
  <c r="L65" i="9"/>
  <c r="P14" i="5"/>
  <c r="S7" i="36"/>
  <c r="Q18" i="36"/>
  <c r="R22" i="36"/>
  <c r="I161" i="44"/>
  <c r="R13" i="36"/>
  <c r="J161" i="44"/>
  <c r="O44" i="25"/>
  <c r="O47" i="25"/>
  <c r="S22" i="36"/>
  <c r="M65" i="25"/>
  <c r="Q23" i="36"/>
  <c r="H170" i="44"/>
  <c r="M90" i="25"/>
  <c r="E171" i="44"/>
  <c r="L66" i="25"/>
  <c r="K67" i="25"/>
  <c r="H162" i="44"/>
  <c r="P89" i="25"/>
  <c r="N46" i="25"/>
  <c r="S13" i="36"/>
  <c r="T7" i="36"/>
  <c r="R18" i="36"/>
  <c r="R8" i="36"/>
  <c r="P19" i="36"/>
  <c r="Q14" i="36"/>
  <c r="M83" i="25"/>
  <c r="M84" i="25"/>
  <c r="T7" i="5"/>
  <c r="R18" i="5"/>
  <c r="Q18" i="5"/>
  <c r="S13" i="5"/>
  <c r="O20" i="5"/>
  <c r="R9" i="5"/>
  <c r="R8" i="5"/>
  <c r="O19" i="5"/>
  <c r="Q15" i="5"/>
  <c r="M83" i="9"/>
  <c r="Q14" i="5"/>
  <c r="M65" i="9"/>
  <c r="K161" i="44"/>
  <c r="P44" i="25"/>
  <c r="P47" i="25"/>
  <c r="T22" i="36"/>
  <c r="N65" i="25"/>
  <c r="I170" i="44"/>
  <c r="R23" i="36"/>
  <c r="F171" i="44"/>
  <c r="M66" i="25"/>
  <c r="M67" i="25"/>
  <c r="N90" i="25"/>
  <c r="L67" i="25"/>
  <c r="Q89" i="25"/>
  <c r="I162" i="44"/>
  <c r="O46" i="25"/>
  <c r="U7" i="36"/>
  <c r="S18" i="36"/>
  <c r="S8" i="36"/>
  <c r="Q19" i="36"/>
  <c r="R14" i="36"/>
  <c r="N83" i="25"/>
  <c r="N84" i="25"/>
  <c r="T13" i="5"/>
  <c r="P44" i="9"/>
  <c r="U7" i="5"/>
  <c r="P20" i="5"/>
  <c r="S9" i="5"/>
  <c r="P19" i="5"/>
  <c r="S8" i="5"/>
  <c r="R14" i="5"/>
  <c r="N65" i="9"/>
  <c r="N83" i="9"/>
  <c r="R15" i="5"/>
  <c r="U22" i="36"/>
  <c r="L161" i="44"/>
  <c r="C65" i="44"/>
  <c r="Q44" i="25"/>
  <c r="O65" i="25"/>
  <c r="S23" i="36"/>
  <c r="J170" i="44"/>
  <c r="N66" i="25"/>
  <c r="N67" i="25"/>
  <c r="O90" i="25"/>
  <c r="G171" i="44"/>
  <c r="J162" i="44"/>
  <c r="R89" i="25"/>
  <c r="P46" i="25"/>
  <c r="S14" i="36"/>
  <c r="T8" i="36"/>
  <c r="R19" i="36"/>
  <c r="O83" i="25"/>
  <c r="O84" i="25"/>
  <c r="S18" i="5"/>
  <c r="V7" i="5"/>
  <c r="W7" i="5"/>
  <c r="Q44" i="9"/>
  <c r="U13" i="5"/>
  <c r="Q20" i="5"/>
  <c r="T9" i="5"/>
  <c r="Q19" i="5"/>
  <c r="T8" i="5"/>
  <c r="U8" i="5"/>
  <c r="S19" i="5"/>
  <c r="O83" i="9"/>
  <c r="S15" i="5"/>
  <c r="O65" i="9"/>
  <c r="S14" i="5"/>
  <c r="Q47" i="25"/>
  <c r="Q46" i="25"/>
  <c r="O66" i="25"/>
  <c r="P65" i="25"/>
  <c r="K170" i="44"/>
  <c r="H171" i="44"/>
  <c r="P90" i="25"/>
  <c r="K162" i="44"/>
  <c r="U8" i="36"/>
  <c r="S19" i="36"/>
  <c r="R65" i="25"/>
  <c r="R66" i="25"/>
  <c r="T90" i="25"/>
  <c r="P83" i="25"/>
  <c r="P84" i="25"/>
  <c r="R44" i="9"/>
  <c r="X7" i="5"/>
  <c r="U9" i="5"/>
  <c r="R20" i="5"/>
  <c r="R19" i="5"/>
  <c r="T15" i="5"/>
  <c r="P83" i="9"/>
  <c r="P65" i="9"/>
  <c r="T14" i="5"/>
  <c r="S44" i="9"/>
  <c r="S89" i="25"/>
  <c r="Q90" i="25"/>
  <c r="I171" i="44"/>
  <c r="P66" i="25"/>
  <c r="P67" i="25"/>
  <c r="Q65" i="25"/>
  <c r="G65" i="44"/>
  <c r="M107" i="44"/>
  <c r="L170" i="44"/>
  <c r="O67" i="25"/>
  <c r="R44" i="25"/>
  <c r="R47" i="25"/>
  <c r="T89" i="25"/>
  <c r="S65" i="25"/>
  <c r="S66" i="25"/>
  <c r="U90" i="25"/>
  <c r="Q83" i="25"/>
  <c r="Q84" i="25"/>
  <c r="V9" i="5"/>
  <c r="S20" i="5"/>
  <c r="V8" i="5"/>
  <c r="Q83" i="9"/>
  <c r="U15" i="5"/>
  <c r="U14" i="5"/>
  <c r="Q65" i="9"/>
  <c r="T44" i="9"/>
  <c r="Y7" i="5"/>
  <c r="L162" i="44"/>
  <c r="C66" i="44"/>
  <c r="Q66" i="25"/>
  <c r="N107" i="44"/>
  <c r="J171" i="44"/>
  <c r="R90" i="25"/>
  <c r="S44" i="25"/>
  <c r="T65" i="25"/>
  <c r="T66" i="25"/>
  <c r="V90" i="25"/>
  <c r="R46" i="25"/>
  <c r="R83" i="25"/>
  <c r="R84" i="25"/>
  <c r="T91" i="25"/>
  <c r="Z7" i="5"/>
  <c r="W9" i="5"/>
  <c r="W8" i="5"/>
  <c r="R65" i="9"/>
  <c r="R83" i="9"/>
  <c r="U44" i="9"/>
  <c r="S90" i="25"/>
  <c r="K171" i="44"/>
  <c r="Q67" i="25"/>
  <c r="T44" i="25"/>
  <c r="U65" i="25"/>
  <c r="U66" i="25"/>
  <c r="W90" i="25"/>
  <c r="S47" i="25"/>
  <c r="U89" i="25"/>
  <c r="S83" i="25"/>
  <c r="S84" i="25"/>
  <c r="U91" i="25"/>
  <c r="V44" i="9"/>
  <c r="X9" i="5"/>
  <c r="X8" i="5"/>
  <c r="S83" i="9"/>
  <c r="S65" i="9"/>
  <c r="M108" i="44"/>
  <c r="G66" i="44"/>
  <c r="L171" i="44"/>
  <c r="S46" i="25"/>
  <c r="T47" i="25"/>
  <c r="V89" i="25"/>
  <c r="U44" i="25"/>
  <c r="V65" i="25"/>
  <c r="V66" i="25"/>
  <c r="X90" i="25"/>
  <c r="V44" i="25"/>
  <c r="V47" i="25"/>
  <c r="X89" i="25"/>
  <c r="T83" i="25"/>
  <c r="T84" i="25"/>
  <c r="V91" i="25"/>
  <c r="Y9" i="5"/>
  <c r="Y8" i="5"/>
  <c r="T83" i="9"/>
  <c r="T65" i="9"/>
  <c r="AE3" i="19"/>
  <c r="H23" i="19"/>
  <c r="H24" i="19"/>
  <c r="AF4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I29" i="19"/>
  <c r="I30" i="19"/>
  <c r="I28" i="19"/>
  <c r="N108" i="44"/>
  <c r="V46" i="25"/>
  <c r="U47" i="25"/>
  <c r="W89" i="25"/>
  <c r="T46" i="25"/>
  <c r="U83" i="25"/>
  <c r="U84" i="25"/>
  <c r="W91" i="25"/>
  <c r="Z9" i="5"/>
  <c r="Z8" i="5"/>
  <c r="AF3" i="19"/>
  <c r="H25" i="19"/>
  <c r="H21" i="19"/>
  <c r="AG4" i="19"/>
  <c r="H26" i="19"/>
  <c r="H22" i="19"/>
  <c r="H27" i="19"/>
  <c r="U83" i="9"/>
  <c r="U65" i="9"/>
  <c r="I21" i="19"/>
  <c r="I24" i="19"/>
  <c r="I23" i="19"/>
  <c r="J28" i="19"/>
  <c r="J29" i="19"/>
  <c r="J30" i="19"/>
  <c r="U46" i="25"/>
  <c r="V83" i="25"/>
  <c r="V84" i="25"/>
  <c r="X91" i="25"/>
  <c r="H31" i="19"/>
  <c r="AH4" i="19"/>
  <c r="I27" i="19"/>
  <c r="AG3" i="19"/>
  <c r="I22" i="19"/>
  <c r="I26" i="19"/>
  <c r="I25" i="19"/>
  <c r="V83" i="9"/>
  <c r="V65" i="9"/>
  <c r="K28" i="19"/>
  <c r="K29" i="19"/>
  <c r="K30" i="19"/>
  <c r="I31" i="19"/>
  <c r="J24" i="19"/>
  <c r="J25" i="19"/>
  <c r="J23" i="19"/>
  <c r="J27" i="19"/>
  <c r="AH3" i="19"/>
  <c r="J22" i="19"/>
  <c r="J26" i="19"/>
  <c r="J21" i="19"/>
  <c r="AI4" i="19"/>
  <c r="L28" i="19"/>
  <c r="L30" i="19"/>
  <c r="L29" i="19"/>
  <c r="J31" i="19"/>
  <c r="K23" i="19"/>
  <c r="AI3" i="19"/>
  <c r="K22" i="19"/>
  <c r="K27" i="19"/>
  <c r="K21" i="19"/>
  <c r="K26" i="19"/>
  <c r="K25" i="19"/>
  <c r="AJ4" i="19"/>
  <c r="M28" i="19"/>
  <c r="M30" i="19"/>
  <c r="M29" i="19"/>
  <c r="L23" i="19"/>
  <c r="L22" i="19"/>
  <c r="L27" i="19"/>
  <c r="L21" i="19"/>
  <c r="L26" i="19"/>
  <c r="L25" i="19"/>
  <c r="AJ3" i="19"/>
  <c r="AK4" i="19"/>
  <c r="I30" i="9"/>
  <c r="J30" i="9"/>
  <c r="K30" i="9"/>
  <c r="L30" i="9"/>
  <c r="I73" i="9"/>
  <c r="J73" i="9"/>
  <c r="K73" i="9"/>
  <c r="L73" i="9"/>
  <c r="J24" i="12"/>
  <c r="J31" i="12"/>
  <c r="K6" i="12"/>
  <c r="I55" i="9"/>
  <c r="L6" i="12"/>
  <c r="J55" i="9"/>
  <c r="M6" i="12"/>
  <c r="K55" i="9"/>
  <c r="N6" i="12"/>
  <c r="L55" i="9"/>
  <c r="O6" i="12"/>
  <c r="I24" i="12"/>
  <c r="I31" i="12"/>
  <c r="H24" i="12"/>
  <c r="H31" i="12"/>
  <c r="G24" i="12"/>
  <c r="G31" i="12"/>
  <c r="N28" i="19"/>
  <c r="N29" i="19"/>
  <c r="N30" i="19"/>
  <c r="AL4" i="19"/>
  <c r="M23" i="19"/>
  <c r="M22" i="19"/>
  <c r="M27" i="19"/>
  <c r="M25" i="19"/>
  <c r="M21" i="19"/>
  <c r="AK3" i="19"/>
  <c r="L24" i="12"/>
  <c r="L6" i="19"/>
  <c r="O24" i="12"/>
  <c r="O6" i="19"/>
  <c r="K24" i="12"/>
  <c r="K31" i="12"/>
  <c r="K6" i="19"/>
  <c r="N24" i="12"/>
  <c r="N6" i="19"/>
  <c r="N24" i="19"/>
  <c r="M24" i="12"/>
  <c r="M6" i="19"/>
  <c r="O28" i="19"/>
  <c r="O30" i="19"/>
  <c r="O29" i="19"/>
  <c r="K24" i="19"/>
  <c r="T28" i="19"/>
  <c r="T29" i="19"/>
  <c r="AM4" i="19"/>
  <c r="AL3" i="19"/>
  <c r="O24" i="19"/>
  <c r="N23" i="19"/>
  <c r="N25" i="19"/>
  <c r="N22" i="19"/>
  <c r="N27" i="19"/>
  <c r="N21" i="19"/>
  <c r="M24" i="19"/>
  <c r="L24" i="19"/>
  <c r="P28" i="19"/>
  <c r="P29" i="19"/>
  <c r="P30" i="19"/>
  <c r="K31" i="19"/>
  <c r="O23" i="19"/>
  <c r="O22" i="19"/>
  <c r="O27" i="19"/>
  <c r="AM3" i="19"/>
  <c r="O21" i="19"/>
  <c r="O25" i="19"/>
  <c r="L31" i="19"/>
  <c r="U28" i="19"/>
  <c r="U29" i="19"/>
  <c r="AN4" i="19"/>
  <c r="I48" i="19"/>
  <c r="Q28" i="19"/>
  <c r="Q29" i="19"/>
  <c r="Q30" i="19"/>
  <c r="P24" i="19"/>
  <c r="P23" i="19"/>
  <c r="AN3" i="19"/>
  <c r="P22" i="19"/>
  <c r="P25" i="19"/>
  <c r="V28" i="19"/>
  <c r="V29" i="19"/>
  <c r="AO4" i="19"/>
  <c r="H48" i="19"/>
  <c r="R28" i="19"/>
  <c r="R29" i="19"/>
  <c r="R30" i="19"/>
  <c r="W28" i="19"/>
  <c r="W29" i="19"/>
  <c r="AP4" i="19"/>
  <c r="Q24" i="19"/>
  <c r="AO3" i="19"/>
  <c r="Q23" i="19"/>
  <c r="Q22" i="19"/>
  <c r="Q25" i="19"/>
  <c r="S28" i="19"/>
  <c r="S29" i="19"/>
  <c r="S30" i="19"/>
  <c r="R24" i="19"/>
  <c r="AP3" i="19"/>
  <c r="R23" i="19"/>
  <c r="R22" i="19"/>
  <c r="R25" i="19"/>
  <c r="X28" i="19"/>
  <c r="X29" i="19"/>
  <c r="AQ4" i="19"/>
  <c r="AR4" i="19"/>
  <c r="AS4" i="19"/>
  <c r="AT4" i="19"/>
  <c r="AU4" i="19"/>
  <c r="S25" i="19"/>
  <c r="S24" i="19"/>
  <c r="S23" i="19"/>
  <c r="S22" i="19"/>
  <c r="AQ3" i="19"/>
  <c r="T23" i="19"/>
  <c r="T22" i="19"/>
  <c r="T24" i="19"/>
  <c r="T25" i="19"/>
  <c r="AR3" i="19"/>
  <c r="U23" i="19"/>
  <c r="U22" i="19"/>
  <c r="U25" i="19"/>
  <c r="AS3" i="19"/>
  <c r="U24" i="19"/>
  <c r="V23" i="19"/>
  <c r="V22" i="19"/>
  <c r="V25" i="19"/>
  <c r="AT3" i="19"/>
  <c r="V24" i="19"/>
  <c r="W23" i="19"/>
  <c r="W22" i="19"/>
  <c r="W25" i="19"/>
  <c r="AU3" i="19"/>
  <c r="W24" i="19"/>
  <c r="X23" i="19"/>
  <c r="X22" i="19"/>
  <c r="X25" i="19"/>
  <c r="X24" i="19"/>
  <c r="N27" i="9"/>
  <c r="P3" i="12"/>
  <c r="P21" i="12"/>
  <c r="N70" i="9"/>
  <c r="P3" i="19"/>
  <c r="N52" i="9"/>
  <c r="P21" i="19"/>
  <c r="R3" i="12"/>
  <c r="R21" i="12"/>
  <c r="O52" i="9"/>
  <c r="Q3" i="12"/>
  <c r="Q21" i="12"/>
  <c r="Q3" i="19"/>
  <c r="Q21" i="19"/>
  <c r="O70" i="9"/>
  <c r="O27" i="9"/>
  <c r="R3" i="19"/>
  <c r="P70" i="9"/>
  <c r="P27" i="9"/>
  <c r="P52" i="9"/>
  <c r="S3" i="12"/>
  <c r="S21" i="12"/>
  <c r="R21" i="19"/>
  <c r="Q52" i="9"/>
  <c r="R3" i="9"/>
  <c r="T3" i="12"/>
  <c r="T21" i="12"/>
  <c r="Q70" i="9"/>
  <c r="S3" i="19"/>
  <c r="S21" i="19"/>
  <c r="R52" i="9"/>
  <c r="S3" i="9"/>
  <c r="R70" i="9"/>
  <c r="R27" i="9"/>
  <c r="T3" i="19"/>
  <c r="T21" i="19"/>
  <c r="T3" i="9"/>
  <c r="V3" i="12"/>
  <c r="V21" i="12"/>
  <c r="S70" i="9"/>
  <c r="S27" i="9"/>
  <c r="S52" i="9"/>
  <c r="U3" i="19"/>
  <c r="U21" i="19"/>
  <c r="U3" i="12"/>
  <c r="U21" i="12"/>
  <c r="U3" i="9"/>
  <c r="T70" i="9"/>
  <c r="T52" i="9"/>
  <c r="T27" i="9"/>
  <c r="V3" i="19"/>
  <c r="V21" i="19"/>
  <c r="W3" i="19"/>
  <c r="W21" i="19"/>
  <c r="U70" i="9"/>
  <c r="U52" i="9"/>
  <c r="V3" i="9"/>
  <c r="U27" i="9"/>
  <c r="W3" i="12"/>
  <c r="W21" i="12"/>
  <c r="V27" i="9"/>
  <c r="V70" i="9"/>
  <c r="V52" i="9"/>
  <c r="X3" i="12"/>
  <c r="X21" i="12"/>
  <c r="X3" i="19"/>
  <c r="X21" i="19"/>
  <c r="E5" i="21"/>
  <c r="L38" i="16"/>
  <c r="M5" i="21"/>
  <c r="P38" i="16"/>
  <c r="Q5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BW4" i="21"/>
  <c r="BX4" i="21"/>
  <c r="BY4" i="21"/>
  <c r="BZ4" i="21"/>
  <c r="CA4" i="21"/>
  <c r="CB4" i="21"/>
  <c r="CC4" i="21"/>
  <c r="CD4" i="21"/>
  <c r="CE4" i="21"/>
  <c r="CF4" i="21"/>
  <c r="CG4" i="21"/>
  <c r="CH4" i="21"/>
  <c r="CI4" i="21"/>
  <c r="CJ4" i="21"/>
  <c r="CK4" i="21"/>
  <c r="CL4" i="21"/>
  <c r="CM4" i="21"/>
  <c r="CN4" i="21"/>
  <c r="G5" i="21"/>
  <c r="J38" i="16"/>
  <c r="K5" i="21"/>
  <c r="S5" i="21"/>
  <c r="W5" i="21"/>
  <c r="D5" i="21"/>
  <c r="K38" i="16"/>
  <c r="L5" i="21"/>
  <c r="O38" i="16"/>
  <c r="P5" i="21"/>
  <c r="T5" i="21"/>
  <c r="X5" i="21"/>
  <c r="F5" i="21"/>
  <c r="I38" i="16"/>
  <c r="J5" i="21"/>
  <c r="M38" i="16"/>
  <c r="N5" i="21"/>
  <c r="R5" i="21"/>
  <c r="V5" i="21"/>
  <c r="N38" i="16"/>
  <c r="O5" i="21"/>
  <c r="H38" i="16"/>
  <c r="I5" i="21"/>
  <c r="U5" i="21"/>
  <c r="C5" i="21"/>
  <c r="H5" i="21"/>
  <c r="G14" i="12"/>
  <c r="G32" i="12"/>
  <c r="E17" i="9"/>
  <c r="G15" i="12"/>
  <c r="G33" i="12"/>
  <c r="E18" i="9"/>
  <c r="G16" i="12"/>
  <c r="G34" i="12"/>
  <c r="E19" i="9"/>
  <c r="G17" i="12"/>
  <c r="G35" i="12"/>
  <c r="E20" i="9"/>
  <c r="G18" i="12"/>
  <c r="G36" i="12"/>
  <c r="E59" i="9"/>
  <c r="E60" i="9"/>
  <c r="E61" i="9"/>
  <c r="E62" i="9"/>
  <c r="E63" i="9"/>
  <c r="E66" i="9"/>
  <c r="H14" i="12"/>
  <c r="H32" i="12"/>
  <c r="F17" i="9"/>
  <c r="H15" i="12"/>
  <c r="H33" i="12"/>
  <c r="F18" i="9"/>
  <c r="H16" i="12"/>
  <c r="H34" i="12"/>
  <c r="F19" i="9"/>
  <c r="H17" i="12"/>
  <c r="H35" i="12"/>
  <c r="F20" i="9"/>
  <c r="H18" i="12"/>
  <c r="H36" i="12"/>
  <c r="F59" i="9"/>
  <c r="F60" i="9"/>
  <c r="F61" i="9"/>
  <c r="F62" i="9"/>
  <c r="F63" i="9"/>
  <c r="F66" i="9"/>
  <c r="I14" i="12"/>
  <c r="I32" i="12"/>
  <c r="I15" i="12"/>
  <c r="I33" i="12"/>
  <c r="I16" i="12"/>
  <c r="I34" i="12"/>
  <c r="I17" i="12"/>
  <c r="I35" i="12"/>
  <c r="I18" i="12"/>
  <c r="I36" i="12"/>
  <c r="G59" i="9"/>
  <c r="G60" i="9"/>
  <c r="G61" i="9"/>
  <c r="G62" i="9"/>
  <c r="G63" i="9"/>
  <c r="G66" i="9"/>
  <c r="J14" i="12"/>
  <c r="J32" i="12"/>
  <c r="H17" i="9"/>
  <c r="J15" i="12"/>
  <c r="J33" i="12"/>
  <c r="H18" i="9"/>
  <c r="J16" i="12"/>
  <c r="J34" i="12"/>
  <c r="H19" i="9"/>
  <c r="J17" i="12"/>
  <c r="J35" i="12"/>
  <c r="H20" i="9"/>
  <c r="J18" i="12"/>
  <c r="J36" i="12"/>
  <c r="H59" i="9"/>
  <c r="H60" i="9"/>
  <c r="H61" i="9"/>
  <c r="H62" i="9"/>
  <c r="H63" i="9"/>
  <c r="H66" i="9"/>
  <c r="K14" i="12"/>
  <c r="K32" i="12"/>
  <c r="I17" i="9"/>
  <c r="K15" i="12"/>
  <c r="K33" i="12"/>
  <c r="I18" i="9"/>
  <c r="K16" i="12"/>
  <c r="K34" i="12"/>
  <c r="I19" i="9"/>
  <c r="K17" i="12"/>
  <c r="K35" i="12"/>
  <c r="I20" i="9"/>
  <c r="K18" i="12"/>
  <c r="K36" i="12"/>
  <c r="I59" i="9"/>
  <c r="I60" i="9"/>
  <c r="I61" i="9"/>
  <c r="I62" i="9"/>
  <c r="I63" i="9"/>
  <c r="I66" i="9"/>
  <c r="L26" i="12"/>
  <c r="L31" i="12"/>
  <c r="L14" i="12"/>
  <c r="L32" i="12"/>
  <c r="J17" i="9"/>
  <c r="L15" i="12"/>
  <c r="L33" i="12"/>
  <c r="J18" i="9"/>
  <c r="L16" i="12"/>
  <c r="L34" i="12"/>
  <c r="J19" i="9"/>
  <c r="L17" i="12"/>
  <c r="L35" i="12"/>
  <c r="J20" i="9"/>
  <c r="L18" i="12"/>
  <c r="L36" i="12"/>
  <c r="J59" i="9"/>
  <c r="J60" i="9"/>
  <c r="J61" i="9"/>
  <c r="J62" i="9"/>
  <c r="J63" i="9"/>
  <c r="J66" i="9"/>
  <c r="K8" i="9"/>
  <c r="M8" i="12"/>
  <c r="M8" i="19"/>
  <c r="M26" i="12"/>
  <c r="M31" i="12"/>
  <c r="M14" i="12"/>
  <c r="M32" i="12"/>
  <c r="K17" i="9"/>
  <c r="M15" i="12"/>
  <c r="M33" i="12"/>
  <c r="K18" i="9"/>
  <c r="M16" i="12"/>
  <c r="M34" i="12"/>
  <c r="K19" i="9"/>
  <c r="M17" i="12"/>
  <c r="M35" i="12"/>
  <c r="K20" i="9"/>
  <c r="M18" i="12"/>
  <c r="M36" i="12"/>
  <c r="K57" i="9"/>
  <c r="K59" i="9"/>
  <c r="K60" i="9"/>
  <c r="K61" i="9"/>
  <c r="K62" i="9"/>
  <c r="K63" i="9"/>
  <c r="K66" i="9"/>
  <c r="L8" i="9"/>
  <c r="N8" i="12"/>
  <c r="N8" i="19"/>
  <c r="N26" i="19"/>
  <c r="N31" i="19"/>
  <c r="N26" i="12"/>
  <c r="N31" i="12"/>
  <c r="N14" i="12"/>
  <c r="N32" i="12"/>
  <c r="L17" i="9"/>
  <c r="N15" i="12"/>
  <c r="N33" i="12"/>
  <c r="L18" i="9"/>
  <c r="N16" i="12"/>
  <c r="N34" i="12"/>
  <c r="L19" i="9"/>
  <c r="N17" i="12"/>
  <c r="N35" i="12"/>
  <c r="L20" i="9"/>
  <c r="N18" i="12"/>
  <c r="N36" i="12"/>
  <c r="L57" i="9"/>
  <c r="L59" i="9"/>
  <c r="L60" i="9"/>
  <c r="L61" i="9"/>
  <c r="L62" i="9"/>
  <c r="L63" i="9"/>
  <c r="L66" i="9"/>
  <c r="M8" i="9"/>
  <c r="O8" i="12"/>
  <c r="O8" i="19"/>
  <c r="O26" i="19"/>
  <c r="O31" i="19"/>
  <c r="O14" i="12"/>
  <c r="O32" i="12"/>
  <c r="M17" i="9"/>
  <c r="O15" i="12"/>
  <c r="O33" i="12"/>
  <c r="M18" i="9"/>
  <c r="O16" i="12"/>
  <c r="O34" i="12"/>
  <c r="M19" i="9"/>
  <c r="O17" i="12"/>
  <c r="O35" i="12"/>
  <c r="M20" i="9"/>
  <c r="O18" i="12"/>
  <c r="O36" i="12"/>
  <c r="M57" i="9"/>
  <c r="M59" i="9"/>
  <c r="M60" i="9"/>
  <c r="M61" i="9"/>
  <c r="M62" i="9"/>
  <c r="M63" i="9"/>
  <c r="M66" i="9"/>
  <c r="N8" i="9"/>
  <c r="P8" i="12"/>
  <c r="P8" i="19"/>
  <c r="P26" i="19"/>
  <c r="N9" i="9"/>
  <c r="P9" i="12"/>
  <c r="P9" i="19"/>
  <c r="P14" i="12"/>
  <c r="P32" i="12"/>
  <c r="N17" i="9"/>
  <c r="P15" i="12"/>
  <c r="P33" i="12"/>
  <c r="N18" i="9"/>
  <c r="P16" i="12"/>
  <c r="P34" i="12"/>
  <c r="N19" i="9"/>
  <c r="P17" i="12"/>
  <c r="P35" i="12"/>
  <c r="N20" i="9"/>
  <c r="P18" i="12"/>
  <c r="P36" i="12"/>
  <c r="N57" i="9"/>
  <c r="N58" i="9"/>
  <c r="N59" i="9"/>
  <c r="N60" i="9"/>
  <c r="N61" i="9"/>
  <c r="N62" i="9"/>
  <c r="N63" i="9"/>
  <c r="N66" i="9"/>
  <c r="O8" i="9"/>
  <c r="Q8" i="12"/>
  <c r="Q8" i="19"/>
  <c r="Q26" i="19"/>
  <c r="O9" i="9"/>
  <c r="Q9" i="12"/>
  <c r="Q9" i="19"/>
  <c r="Q27" i="19"/>
  <c r="Q14" i="12"/>
  <c r="Q32" i="12"/>
  <c r="O17" i="9"/>
  <c r="Q15" i="12"/>
  <c r="Q33" i="12"/>
  <c r="O18" i="9"/>
  <c r="Q16" i="12"/>
  <c r="Q34" i="12"/>
  <c r="O19" i="9"/>
  <c r="Q17" i="12"/>
  <c r="Q35" i="12"/>
  <c r="O20" i="9"/>
  <c r="Q18" i="12"/>
  <c r="Q36" i="12"/>
  <c r="O57" i="9"/>
  <c r="O58" i="9"/>
  <c r="O59" i="9"/>
  <c r="O60" i="9"/>
  <c r="O61" i="9"/>
  <c r="O62" i="9"/>
  <c r="O63" i="9"/>
  <c r="O66" i="9"/>
  <c r="P8" i="9"/>
  <c r="R8" i="12"/>
  <c r="R8" i="19"/>
  <c r="R26" i="12"/>
  <c r="P9" i="9"/>
  <c r="R9" i="12"/>
  <c r="R9" i="19"/>
  <c r="R27" i="19"/>
  <c r="R14" i="12"/>
  <c r="R32" i="12"/>
  <c r="P17" i="9"/>
  <c r="R15" i="12"/>
  <c r="R33" i="12"/>
  <c r="P18" i="9"/>
  <c r="R16" i="12"/>
  <c r="R34" i="12"/>
  <c r="P19" i="9"/>
  <c r="R17" i="12"/>
  <c r="R35" i="12"/>
  <c r="P20" i="9"/>
  <c r="R18" i="12"/>
  <c r="R36" i="12"/>
  <c r="P57" i="9"/>
  <c r="P58" i="9"/>
  <c r="P59" i="9"/>
  <c r="P60" i="9"/>
  <c r="P61" i="9"/>
  <c r="P62" i="9"/>
  <c r="P63" i="9"/>
  <c r="Q8" i="9"/>
  <c r="S8" i="12"/>
  <c r="S8" i="19"/>
  <c r="Q9" i="9"/>
  <c r="S9" i="12"/>
  <c r="S9" i="19"/>
  <c r="S27" i="19"/>
  <c r="S15" i="12"/>
  <c r="S33" i="12"/>
  <c r="S16" i="12"/>
  <c r="S34" i="12"/>
  <c r="S17" i="12"/>
  <c r="S35" i="12"/>
  <c r="Q20" i="9"/>
  <c r="S18" i="12"/>
  <c r="S36" i="12"/>
  <c r="Q57" i="9"/>
  <c r="Q58" i="9"/>
  <c r="Q63" i="9"/>
  <c r="G14" i="19"/>
  <c r="G32" i="19"/>
  <c r="G15" i="19"/>
  <c r="G33" i="19"/>
  <c r="G16" i="19"/>
  <c r="G34" i="19"/>
  <c r="G17" i="19"/>
  <c r="G35" i="19"/>
  <c r="G18" i="19"/>
  <c r="G36" i="19"/>
  <c r="E38" i="9"/>
  <c r="E39" i="9"/>
  <c r="E40" i="9"/>
  <c r="E41" i="9"/>
  <c r="E42" i="9"/>
  <c r="E47" i="9"/>
  <c r="H14" i="19"/>
  <c r="H32" i="19"/>
  <c r="H15" i="19"/>
  <c r="H33" i="19"/>
  <c r="H16" i="19"/>
  <c r="H34" i="19"/>
  <c r="H17" i="19"/>
  <c r="H35" i="19"/>
  <c r="H18" i="19"/>
  <c r="H36" i="19"/>
  <c r="F38" i="9"/>
  <c r="F39" i="9"/>
  <c r="F40" i="9"/>
  <c r="F41" i="9"/>
  <c r="F42" i="9"/>
  <c r="F47" i="9"/>
  <c r="I14" i="19"/>
  <c r="I15" i="19"/>
  <c r="I33" i="19"/>
  <c r="I16" i="19"/>
  <c r="I34" i="19"/>
  <c r="I17" i="19"/>
  <c r="I35" i="19"/>
  <c r="I18" i="19"/>
  <c r="I36" i="19"/>
  <c r="J14" i="19"/>
  <c r="J32" i="19"/>
  <c r="J15" i="19"/>
  <c r="J33" i="19"/>
  <c r="J16" i="19"/>
  <c r="J34" i="19"/>
  <c r="J17" i="19"/>
  <c r="J35" i="19"/>
  <c r="J18" i="19"/>
  <c r="J36" i="19"/>
  <c r="H10" i="9"/>
  <c r="H34" i="9"/>
  <c r="H38" i="9"/>
  <c r="H39" i="9"/>
  <c r="H40" i="9"/>
  <c r="H41" i="9"/>
  <c r="H42" i="9"/>
  <c r="H47" i="9"/>
  <c r="K14" i="19"/>
  <c r="K32" i="19"/>
  <c r="K15" i="19"/>
  <c r="K33" i="19"/>
  <c r="K16" i="19"/>
  <c r="K34" i="19"/>
  <c r="K17" i="19"/>
  <c r="K35" i="19"/>
  <c r="K18" i="19"/>
  <c r="K36" i="19"/>
  <c r="I10" i="9"/>
  <c r="I34" i="9"/>
  <c r="I38" i="9"/>
  <c r="I39" i="9"/>
  <c r="I40" i="9"/>
  <c r="I41" i="9"/>
  <c r="I42" i="9"/>
  <c r="I47" i="9"/>
  <c r="L14" i="19"/>
  <c r="L32" i="19"/>
  <c r="L15" i="19"/>
  <c r="L33" i="19"/>
  <c r="L16" i="19"/>
  <c r="L34" i="19"/>
  <c r="L17" i="19"/>
  <c r="L35" i="19"/>
  <c r="L18" i="19"/>
  <c r="L36" i="19"/>
  <c r="J10" i="9"/>
  <c r="J34" i="9"/>
  <c r="J38" i="9"/>
  <c r="J39" i="9"/>
  <c r="J40" i="9"/>
  <c r="J41" i="9"/>
  <c r="J42" i="9"/>
  <c r="J47" i="9"/>
  <c r="M26" i="19"/>
  <c r="M31" i="19"/>
  <c r="M14" i="19"/>
  <c r="M32" i="19"/>
  <c r="M15" i="19"/>
  <c r="M33" i="19"/>
  <c r="M16" i="19"/>
  <c r="M34" i="19"/>
  <c r="M17" i="19"/>
  <c r="M35" i="19"/>
  <c r="M18" i="19"/>
  <c r="M36" i="19"/>
  <c r="K32" i="9"/>
  <c r="K10" i="9"/>
  <c r="K34" i="9"/>
  <c r="K38" i="9"/>
  <c r="K39" i="9"/>
  <c r="K40" i="9"/>
  <c r="K41" i="9"/>
  <c r="K42" i="9"/>
  <c r="K47" i="9"/>
  <c r="N14" i="19"/>
  <c r="N32" i="19"/>
  <c r="N15" i="19"/>
  <c r="N33" i="19"/>
  <c r="N16" i="19"/>
  <c r="N34" i="19"/>
  <c r="N17" i="19"/>
  <c r="N35" i="19"/>
  <c r="N18" i="19"/>
  <c r="N36" i="19"/>
  <c r="L32" i="9"/>
  <c r="L10" i="9"/>
  <c r="L34" i="9"/>
  <c r="L38" i="9"/>
  <c r="L39" i="9"/>
  <c r="L40" i="9"/>
  <c r="L41" i="9"/>
  <c r="L42" i="9"/>
  <c r="L47" i="9"/>
  <c r="O14" i="19"/>
  <c r="O32" i="19"/>
  <c r="O15" i="19"/>
  <c r="O33" i="19"/>
  <c r="O16" i="19"/>
  <c r="O34" i="19"/>
  <c r="O17" i="19"/>
  <c r="O35" i="19"/>
  <c r="O18" i="19"/>
  <c r="O36" i="19"/>
  <c r="M32" i="9"/>
  <c r="M10" i="9"/>
  <c r="M34" i="9"/>
  <c r="M38" i="9"/>
  <c r="M39" i="9"/>
  <c r="M40" i="9"/>
  <c r="M41" i="9"/>
  <c r="M42" i="9"/>
  <c r="M47" i="9"/>
  <c r="P27" i="19"/>
  <c r="P14" i="19"/>
  <c r="P32" i="19"/>
  <c r="P15" i="19"/>
  <c r="P33" i="19"/>
  <c r="P16" i="19"/>
  <c r="P34" i="19"/>
  <c r="P17" i="19"/>
  <c r="P35" i="19"/>
  <c r="P18" i="19"/>
  <c r="P36" i="19"/>
  <c r="N32" i="9"/>
  <c r="N33" i="9"/>
  <c r="N10" i="9"/>
  <c r="N34" i="9"/>
  <c r="N38" i="9"/>
  <c r="N39" i="9"/>
  <c r="N40" i="9"/>
  <c r="N41" i="9"/>
  <c r="N42" i="9"/>
  <c r="N47" i="9"/>
  <c r="Q14" i="19"/>
  <c r="Q32" i="19"/>
  <c r="Q15" i="19"/>
  <c r="Q33" i="19"/>
  <c r="Q16" i="19"/>
  <c r="Q34" i="19"/>
  <c r="Q17" i="19"/>
  <c r="Q35" i="19"/>
  <c r="Q18" i="19"/>
  <c r="Q36" i="19"/>
  <c r="O32" i="9"/>
  <c r="O33" i="9"/>
  <c r="O10" i="9"/>
  <c r="O34" i="9"/>
  <c r="O38" i="9"/>
  <c r="O39" i="9"/>
  <c r="O40" i="9"/>
  <c r="O41" i="9"/>
  <c r="O42" i="9"/>
  <c r="O47" i="9"/>
  <c r="R26" i="19"/>
  <c r="R14" i="19"/>
  <c r="R32" i="19"/>
  <c r="R15" i="19"/>
  <c r="R33" i="19"/>
  <c r="R16" i="19"/>
  <c r="R34" i="19"/>
  <c r="R17" i="19"/>
  <c r="R35" i="19"/>
  <c r="R18" i="19"/>
  <c r="R36" i="19"/>
  <c r="P32" i="9"/>
  <c r="P33" i="9"/>
  <c r="P10" i="9"/>
  <c r="P34" i="9"/>
  <c r="P38" i="9"/>
  <c r="P39" i="9"/>
  <c r="P40" i="9"/>
  <c r="P41" i="9"/>
  <c r="P42" i="9"/>
  <c r="S14" i="19"/>
  <c r="S32" i="19"/>
  <c r="S15" i="19"/>
  <c r="S33" i="19"/>
  <c r="S16" i="19"/>
  <c r="S34" i="19"/>
  <c r="S17" i="19"/>
  <c r="S35" i="19"/>
  <c r="S18" i="19"/>
  <c r="S36" i="19"/>
  <c r="Q32" i="9"/>
  <c r="Q33" i="9"/>
  <c r="Q10" i="9"/>
  <c r="Q34" i="9"/>
  <c r="Q38" i="9"/>
  <c r="Q39" i="9"/>
  <c r="Q40" i="9"/>
  <c r="Q41" i="9"/>
  <c r="Q42" i="9"/>
  <c r="R8" i="9"/>
  <c r="T8" i="19"/>
  <c r="T26" i="19"/>
  <c r="R9" i="9"/>
  <c r="T9" i="19"/>
  <c r="T27" i="19"/>
  <c r="T14" i="19"/>
  <c r="T32" i="19"/>
  <c r="R17" i="9"/>
  <c r="T15" i="19"/>
  <c r="T33" i="19"/>
  <c r="R18" i="9"/>
  <c r="T16" i="19"/>
  <c r="T34" i="19"/>
  <c r="R19" i="9"/>
  <c r="T17" i="19"/>
  <c r="T35" i="19"/>
  <c r="R20" i="9"/>
  <c r="T18" i="19"/>
  <c r="T36" i="19"/>
  <c r="R32" i="9"/>
  <c r="R33" i="9"/>
  <c r="R10" i="9"/>
  <c r="R34" i="9"/>
  <c r="R38" i="9"/>
  <c r="R39" i="9"/>
  <c r="R40" i="9"/>
  <c r="R41" i="9"/>
  <c r="R42" i="9"/>
  <c r="R47" i="9"/>
  <c r="S8" i="9"/>
  <c r="U8" i="19"/>
  <c r="U26" i="19"/>
  <c r="S9" i="9"/>
  <c r="U9" i="19"/>
  <c r="U27" i="19"/>
  <c r="U14" i="19"/>
  <c r="U32" i="19"/>
  <c r="S17" i="9"/>
  <c r="U15" i="19"/>
  <c r="U33" i="19"/>
  <c r="S18" i="9"/>
  <c r="U16" i="19"/>
  <c r="U34" i="19"/>
  <c r="S19" i="9"/>
  <c r="U17" i="19"/>
  <c r="U35" i="19"/>
  <c r="S20" i="9"/>
  <c r="U18" i="19"/>
  <c r="U36" i="19"/>
  <c r="S32" i="9"/>
  <c r="S33" i="9"/>
  <c r="S10" i="9"/>
  <c r="S34" i="9"/>
  <c r="S38" i="9"/>
  <c r="S39" i="9"/>
  <c r="S40" i="9"/>
  <c r="S41" i="9"/>
  <c r="S42" i="9"/>
  <c r="S47" i="9"/>
  <c r="T8" i="9"/>
  <c r="V8" i="19"/>
  <c r="V26" i="19"/>
  <c r="T9" i="9"/>
  <c r="V9" i="19"/>
  <c r="V27" i="19"/>
  <c r="V14" i="19"/>
  <c r="V32" i="19"/>
  <c r="T17" i="9"/>
  <c r="V15" i="19"/>
  <c r="V33" i="19"/>
  <c r="T18" i="9"/>
  <c r="V16" i="19"/>
  <c r="V34" i="19"/>
  <c r="T19" i="9"/>
  <c r="V17" i="19"/>
  <c r="V35" i="19"/>
  <c r="T20" i="9"/>
  <c r="V18" i="19"/>
  <c r="V36" i="19"/>
  <c r="T32" i="9"/>
  <c r="T33" i="9"/>
  <c r="T10" i="9"/>
  <c r="T34" i="9"/>
  <c r="T38" i="9"/>
  <c r="T39" i="9"/>
  <c r="T40" i="9"/>
  <c r="T41" i="9"/>
  <c r="T42" i="9"/>
  <c r="T47" i="9"/>
  <c r="U8" i="9"/>
  <c r="W8" i="19"/>
  <c r="W26" i="19"/>
  <c r="U9" i="9"/>
  <c r="W9" i="19"/>
  <c r="W27" i="19"/>
  <c r="W14" i="19"/>
  <c r="W32" i="19"/>
  <c r="U17" i="9"/>
  <c r="W15" i="19"/>
  <c r="W33" i="19"/>
  <c r="U18" i="9"/>
  <c r="W16" i="19"/>
  <c r="W34" i="19"/>
  <c r="U19" i="9"/>
  <c r="W17" i="19"/>
  <c r="W35" i="19"/>
  <c r="U20" i="9"/>
  <c r="W18" i="19"/>
  <c r="W36" i="19"/>
  <c r="U32" i="9"/>
  <c r="U33" i="9"/>
  <c r="U10" i="9"/>
  <c r="U34" i="9"/>
  <c r="U38" i="9"/>
  <c r="U39" i="9"/>
  <c r="U40" i="9"/>
  <c r="U41" i="9"/>
  <c r="U42" i="9"/>
  <c r="U47" i="9"/>
  <c r="V8" i="9"/>
  <c r="X8" i="19"/>
  <c r="X26" i="19"/>
  <c r="V9" i="9"/>
  <c r="X9" i="19"/>
  <c r="X27" i="19"/>
  <c r="X14" i="19"/>
  <c r="X32" i="19"/>
  <c r="V17" i="9"/>
  <c r="X15" i="19"/>
  <c r="X33" i="19"/>
  <c r="V18" i="9"/>
  <c r="X16" i="19"/>
  <c r="X34" i="19"/>
  <c r="V19" i="9"/>
  <c r="X17" i="19"/>
  <c r="X35" i="19"/>
  <c r="X18" i="19"/>
  <c r="X36" i="19"/>
  <c r="V32" i="9"/>
  <c r="V33" i="9"/>
  <c r="V10" i="9"/>
  <c r="V34" i="9"/>
  <c r="V38" i="9"/>
  <c r="V39" i="9"/>
  <c r="V40" i="9"/>
  <c r="V41" i="9"/>
  <c r="V47" i="9"/>
  <c r="E77" i="9"/>
  <c r="E78" i="9"/>
  <c r="E79" i="9"/>
  <c r="E80" i="9"/>
  <c r="E81" i="9"/>
  <c r="E84" i="9"/>
  <c r="F77" i="9"/>
  <c r="F78" i="9"/>
  <c r="F79" i="9"/>
  <c r="F80" i="9"/>
  <c r="F81" i="9"/>
  <c r="F84" i="9"/>
  <c r="G77" i="9"/>
  <c r="G78" i="9"/>
  <c r="G79" i="9"/>
  <c r="G80" i="9"/>
  <c r="G81" i="9"/>
  <c r="G84" i="9"/>
  <c r="H77" i="9"/>
  <c r="H78" i="9"/>
  <c r="H79" i="9"/>
  <c r="H80" i="9"/>
  <c r="H81" i="9"/>
  <c r="H84" i="9"/>
  <c r="I77" i="9"/>
  <c r="I78" i="9"/>
  <c r="I79" i="9"/>
  <c r="I80" i="9"/>
  <c r="I81" i="9"/>
  <c r="I84" i="9"/>
  <c r="J77" i="9"/>
  <c r="J78" i="9"/>
  <c r="J79" i="9"/>
  <c r="J80" i="9"/>
  <c r="J81" i="9"/>
  <c r="J84" i="9"/>
  <c r="K75" i="9"/>
  <c r="K77" i="9"/>
  <c r="K78" i="9"/>
  <c r="K79" i="9"/>
  <c r="K80" i="9"/>
  <c r="K81" i="9"/>
  <c r="K84" i="9"/>
  <c r="L75" i="9"/>
  <c r="L77" i="9"/>
  <c r="L78" i="9"/>
  <c r="L79" i="9"/>
  <c r="L80" i="9"/>
  <c r="L81" i="9"/>
  <c r="L84" i="9"/>
  <c r="M75" i="9"/>
  <c r="M77" i="9"/>
  <c r="M78" i="9"/>
  <c r="M79" i="9"/>
  <c r="M80" i="9"/>
  <c r="M81" i="9"/>
  <c r="M84" i="9"/>
  <c r="N75" i="9"/>
  <c r="N76" i="9"/>
  <c r="N77" i="9"/>
  <c r="N78" i="9"/>
  <c r="N79" i="9"/>
  <c r="N80" i="9"/>
  <c r="N81" i="9"/>
  <c r="N84" i="9"/>
  <c r="O75" i="9"/>
  <c r="O76" i="9"/>
  <c r="O77" i="9"/>
  <c r="O78" i="9"/>
  <c r="O79" i="9"/>
  <c r="O80" i="9"/>
  <c r="O81" i="9"/>
  <c r="O84" i="9"/>
  <c r="P75" i="9"/>
  <c r="P76" i="9"/>
  <c r="P77" i="9"/>
  <c r="P78" i="9"/>
  <c r="P79" i="9"/>
  <c r="P80" i="9"/>
  <c r="P81" i="9"/>
  <c r="P84" i="9"/>
  <c r="Q75" i="9"/>
  <c r="Q76" i="9"/>
  <c r="Q77" i="9"/>
  <c r="Q78" i="9"/>
  <c r="Q79" i="9"/>
  <c r="Q80" i="9"/>
  <c r="Q81" i="9"/>
  <c r="Q84" i="9"/>
  <c r="R75" i="9"/>
  <c r="R76" i="9"/>
  <c r="R77" i="9"/>
  <c r="R78" i="9"/>
  <c r="R79" i="9"/>
  <c r="R80" i="9"/>
  <c r="R81" i="9"/>
  <c r="R84" i="9"/>
  <c r="S75" i="9"/>
  <c r="S76" i="9"/>
  <c r="S77" i="9"/>
  <c r="S78" i="9"/>
  <c r="S79" i="9"/>
  <c r="S80" i="9"/>
  <c r="S81" i="9"/>
  <c r="S84" i="9"/>
  <c r="T75" i="9"/>
  <c r="T76" i="9"/>
  <c r="T77" i="9"/>
  <c r="T78" i="9"/>
  <c r="T79" i="9"/>
  <c r="T80" i="9"/>
  <c r="T81" i="9"/>
  <c r="T84" i="9"/>
  <c r="U75" i="9"/>
  <c r="U76" i="9"/>
  <c r="U77" i="9"/>
  <c r="U78" i="9"/>
  <c r="U79" i="9"/>
  <c r="U80" i="9"/>
  <c r="U81" i="9"/>
  <c r="U84" i="9"/>
  <c r="V75" i="9"/>
  <c r="V76" i="9"/>
  <c r="V77" i="9"/>
  <c r="V78" i="9"/>
  <c r="V79" i="9"/>
  <c r="V80" i="9"/>
  <c r="V81" i="9"/>
  <c r="V84" i="9"/>
  <c r="T8" i="12"/>
  <c r="T26" i="12"/>
  <c r="T9" i="12"/>
  <c r="T27" i="12"/>
  <c r="T31" i="12"/>
  <c r="T14" i="12"/>
  <c r="T32" i="12"/>
  <c r="T15" i="12"/>
  <c r="T33" i="12"/>
  <c r="T16" i="12"/>
  <c r="T34" i="12"/>
  <c r="T17" i="12"/>
  <c r="T35" i="12"/>
  <c r="T18" i="12"/>
  <c r="T36" i="12"/>
  <c r="R57" i="9"/>
  <c r="R58" i="9"/>
  <c r="R59" i="9"/>
  <c r="R60" i="9"/>
  <c r="R61" i="9"/>
  <c r="R62" i="9"/>
  <c r="R63" i="9"/>
  <c r="U8" i="12"/>
  <c r="U26" i="12"/>
  <c r="U9" i="12"/>
  <c r="U27" i="12"/>
  <c r="U31" i="12"/>
  <c r="U14" i="12"/>
  <c r="U32" i="12"/>
  <c r="U15" i="12"/>
  <c r="U33" i="12"/>
  <c r="U16" i="12"/>
  <c r="U34" i="12"/>
  <c r="U17" i="12"/>
  <c r="U35" i="12"/>
  <c r="U18" i="12"/>
  <c r="U36" i="12"/>
  <c r="S57" i="9"/>
  <c r="S58" i="9"/>
  <c r="S59" i="9"/>
  <c r="S60" i="9"/>
  <c r="S61" i="9"/>
  <c r="S62" i="9"/>
  <c r="S63" i="9"/>
  <c r="V8" i="12"/>
  <c r="V26" i="12"/>
  <c r="V9" i="12"/>
  <c r="V27" i="12"/>
  <c r="V31" i="12"/>
  <c r="V14" i="12"/>
  <c r="V32" i="12"/>
  <c r="V15" i="12"/>
  <c r="V33" i="12"/>
  <c r="V16" i="12"/>
  <c r="V34" i="12"/>
  <c r="V17" i="12"/>
  <c r="V35" i="12"/>
  <c r="V18" i="12"/>
  <c r="V36" i="12"/>
  <c r="T57" i="9"/>
  <c r="T58" i="9"/>
  <c r="T59" i="9"/>
  <c r="T60" i="9"/>
  <c r="T61" i="9"/>
  <c r="T62" i="9"/>
  <c r="T63" i="9"/>
  <c r="W8" i="12"/>
  <c r="W26" i="12"/>
  <c r="W9" i="12"/>
  <c r="W27" i="12"/>
  <c r="W31" i="12"/>
  <c r="W14" i="12"/>
  <c r="W32" i="12"/>
  <c r="W15" i="12"/>
  <c r="W33" i="12"/>
  <c r="W16" i="12"/>
  <c r="W34" i="12"/>
  <c r="W17" i="12"/>
  <c r="W35" i="12"/>
  <c r="W18" i="12"/>
  <c r="W36" i="12"/>
  <c r="U57" i="9"/>
  <c r="U58" i="9"/>
  <c r="U59" i="9"/>
  <c r="U60" i="9"/>
  <c r="U61" i="9"/>
  <c r="U62" i="9"/>
  <c r="U63" i="9"/>
  <c r="X8" i="12"/>
  <c r="X26" i="12"/>
  <c r="X9" i="12"/>
  <c r="X27" i="12"/>
  <c r="X31" i="12"/>
  <c r="X14" i="12"/>
  <c r="X32" i="12"/>
  <c r="X15" i="12"/>
  <c r="X33" i="12"/>
  <c r="X16" i="12"/>
  <c r="X34" i="12"/>
  <c r="X17" i="12"/>
  <c r="X35" i="12"/>
  <c r="X18" i="12"/>
  <c r="X36" i="12"/>
  <c r="V57" i="9"/>
  <c r="V58" i="9"/>
  <c r="V59" i="9"/>
  <c r="V60" i="9"/>
  <c r="V61" i="9"/>
  <c r="V62" i="9"/>
  <c r="V63" i="9"/>
  <c r="N19" i="19"/>
  <c r="Q49" i="19"/>
  <c r="R27" i="12"/>
  <c r="R31" i="12"/>
  <c r="P26" i="12"/>
  <c r="P27" i="12"/>
  <c r="P31" i="12"/>
  <c r="V37" i="19"/>
  <c r="J37" i="19"/>
  <c r="J38" i="19"/>
  <c r="W37" i="19"/>
  <c r="P19" i="19"/>
  <c r="S49" i="19"/>
  <c r="O26" i="12"/>
  <c r="O31" i="12"/>
  <c r="R37" i="19"/>
  <c r="Q37" i="19"/>
  <c r="O37" i="19"/>
  <c r="O38" i="19"/>
  <c r="P37" i="19"/>
  <c r="N37" i="19"/>
  <c r="N38" i="19"/>
  <c r="X37" i="19"/>
  <c r="S37" i="19"/>
  <c r="G71" i="44"/>
  <c r="M37" i="19"/>
  <c r="L37" i="19"/>
  <c r="L38" i="19"/>
  <c r="U37" i="19"/>
  <c r="K37" i="19"/>
  <c r="K38" i="19"/>
  <c r="H37" i="19"/>
  <c r="G37" i="19"/>
  <c r="T37" i="19"/>
  <c r="M19" i="19"/>
  <c r="P49" i="19"/>
  <c r="M38" i="19"/>
  <c r="I19" i="19"/>
  <c r="L49" i="19"/>
  <c r="J19" i="19"/>
  <c r="M49" i="19"/>
  <c r="B3" i="44"/>
  <c r="K19" i="19"/>
  <c r="N49" i="19"/>
  <c r="O19" i="19"/>
  <c r="R49" i="19"/>
  <c r="U31" i="19"/>
  <c r="L19" i="19"/>
  <c r="O49" i="19"/>
  <c r="I32" i="19"/>
  <c r="I37" i="19"/>
  <c r="I38" i="19"/>
  <c r="U94" i="9"/>
  <c r="R94" i="9"/>
  <c r="Q93" i="9"/>
  <c r="L94" i="9"/>
  <c r="H94" i="9"/>
  <c r="P37" i="12"/>
  <c r="W31" i="19"/>
  <c r="W38" i="19"/>
  <c r="Z47" i="19"/>
  <c r="T31" i="19"/>
  <c r="Q37" i="12"/>
  <c r="Q26" i="12"/>
  <c r="H37" i="12"/>
  <c r="H39" i="12"/>
  <c r="K48" i="19"/>
  <c r="G37" i="12"/>
  <c r="G39" i="12"/>
  <c r="X31" i="19"/>
  <c r="V31" i="19"/>
  <c r="V38" i="19"/>
  <c r="Q19" i="19"/>
  <c r="T49" i="19"/>
  <c r="X37" i="12"/>
  <c r="X39" i="12"/>
  <c r="AA48" i="19"/>
  <c r="V37" i="12"/>
  <c r="V39" i="12"/>
  <c r="Y48" i="19"/>
  <c r="T37" i="12"/>
  <c r="T39" i="12"/>
  <c r="W48" i="19"/>
  <c r="L37" i="12"/>
  <c r="S37" i="12"/>
  <c r="R37" i="12"/>
  <c r="O37" i="12"/>
  <c r="O39" i="12"/>
  <c r="R48" i="19"/>
  <c r="N37" i="12"/>
  <c r="M37" i="12"/>
  <c r="M39" i="12"/>
  <c r="P48" i="19"/>
  <c r="J37" i="12"/>
  <c r="W37" i="12"/>
  <c r="W39" i="12"/>
  <c r="Z48" i="19"/>
  <c r="U37" i="12"/>
  <c r="U39" i="12"/>
  <c r="X48" i="19"/>
  <c r="K37" i="12"/>
  <c r="I37" i="12"/>
  <c r="I39" i="12"/>
  <c r="S26" i="19"/>
  <c r="S31" i="19"/>
  <c r="S38" i="19"/>
  <c r="S19" i="19"/>
  <c r="V49" i="19"/>
  <c r="R19" i="19"/>
  <c r="U49" i="19"/>
  <c r="S26" i="12"/>
  <c r="S27" i="12"/>
  <c r="S31" i="12"/>
  <c r="S39" i="12"/>
  <c r="V48" i="19"/>
  <c r="Q27" i="12"/>
  <c r="K42" i="19"/>
  <c r="Q31" i="19"/>
  <c r="O92" i="9"/>
  <c r="X92" i="9"/>
  <c r="P31" i="19"/>
  <c r="R31" i="19"/>
  <c r="R38" i="19"/>
  <c r="J93" i="9"/>
  <c r="H93" i="9"/>
  <c r="L93" i="9"/>
  <c r="O93" i="9"/>
  <c r="G94" i="9"/>
  <c r="I94" i="9"/>
  <c r="K94" i="9"/>
  <c r="Q94" i="9"/>
  <c r="J94" i="9"/>
  <c r="M93" i="9"/>
  <c r="T94" i="9"/>
  <c r="K93" i="9"/>
  <c r="N94" i="9"/>
  <c r="P94" i="9"/>
  <c r="N93" i="9"/>
  <c r="S94" i="9"/>
  <c r="X94" i="9"/>
  <c r="O94" i="9"/>
  <c r="M94" i="9"/>
  <c r="G92" i="9"/>
  <c r="G93" i="9"/>
  <c r="V94" i="9"/>
  <c r="W94" i="9"/>
  <c r="P93" i="9"/>
  <c r="I93" i="9"/>
  <c r="J42" i="19"/>
  <c r="O42" i="19"/>
  <c r="V42" i="19"/>
  <c r="Y47" i="19"/>
  <c r="M42" i="19"/>
  <c r="Q92" i="9"/>
  <c r="H92" i="9"/>
  <c r="W92" i="9"/>
  <c r="P92" i="9"/>
  <c r="J92" i="9"/>
  <c r="N92" i="9"/>
  <c r="V92" i="9"/>
  <c r="M92" i="9"/>
  <c r="L92" i="9"/>
  <c r="K92" i="9"/>
  <c r="T92" i="9"/>
  <c r="U92" i="9"/>
  <c r="L166" i="44"/>
  <c r="M105" i="44"/>
  <c r="Q3" i="44"/>
  <c r="R47" i="19"/>
  <c r="M2" i="44"/>
  <c r="N42" i="19"/>
  <c r="Q38" i="19"/>
  <c r="Q31" i="12"/>
  <c r="Q39" i="12"/>
  <c r="T48" i="19"/>
  <c r="P47" i="19"/>
  <c r="K2" i="44"/>
  <c r="G63" i="44"/>
  <c r="G72" i="44"/>
  <c r="L47" i="19"/>
  <c r="L48" i="19"/>
  <c r="H166" i="44"/>
  <c r="H172" i="44"/>
  <c r="M3" i="44"/>
  <c r="F166" i="44"/>
  <c r="F172" i="44"/>
  <c r="K3" i="44"/>
  <c r="V47" i="19"/>
  <c r="L157" i="44"/>
  <c r="L163" i="44"/>
  <c r="P39" i="12"/>
  <c r="S48" i="19"/>
  <c r="H157" i="44"/>
  <c r="H163" i="44"/>
  <c r="C63" i="44"/>
  <c r="Q2" i="44"/>
  <c r="F157" i="44"/>
  <c r="F163" i="44"/>
  <c r="G38" i="19"/>
  <c r="J47" i="19"/>
  <c r="E2" i="44"/>
  <c r="E25" i="44"/>
  <c r="H38" i="19"/>
  <c r="K47" i="19"/>
  <c r="F2" i="44"/>
  <c r="F25" i="44"/>
  <c r="L42" i="19"/>
  <c r="T38" i="19"/>
  <c r="W47" i="19"/>
  <c r="X38" i="19"/>
  <c r="X42" i="19"/>
  <c r="W42" i="19"/>
  <c r="I42" i="19"/>
  <c r="P38" i="19"/>
  <c r="U38" i="19"/>
  <c r="X47" i="19"/>
  <c r="J48" i="19"/>
  <c r="G44" i="12"/>
  <c r="S42" i="19"/>
  <c r="H44" i="12"/>
  <c r="K39" i="12"/>
  <c r="K44" i="12"/>
  <c r="N48" i="19"/>
  <c r="J39" i="12"/>
  <c r="M48" i="19"/>
  <c r="M47" i="19"/>
  <c r="U44" i="12"/>
  <c r="M44" i="12"/>
  <c r="X44" i="12"/>
  <c r="Q42" i="19"/>
  <c r="R39" i="12"/>
  <c r="U48" i="19"/>
  <c r="O44" i="12"/>
  <c r="N39" i="12"/>
  <c r="Q48" i="19"/>
  <c r="V44" i="12"/>
  <c r="W44" i="12"/>
  <c r="T44" i="12"/>
  <c r="L39" i="12"/>
  <c r="R42" i="19"/>
  <c r="H2" i="44"/>
  <c r="C157" i="44"/>
  <c r="C163" i="44"/>
  <c r="G166" i="44"/>
  <c r="G172" i="44"/>
  <c r="L3" i="44"/>
  <c r="J166" i="44"/>
  <c r="J172" i="44"/>
  <c r="O3" i="44"/>
  <c r="L172" i="44"/>
  <c r="N105" i="44"/>
  <c r="M109" i="44"/>
  <c r="K166" i="44"/>
  <c r="K172" i="44"/>
  <c r="P3" i="44"/>
  <c r="D166" i="44"/>
  <c r="D172" i="44"/>
  <c r="I3" i="44"/>
  <c r="Q44" i="12"/>
  <c r="N47" i="19"/>
  <c r="U47" i="19"/>
  <c r="L44" i="12"/>
  <c r="O48" i="19"/>
  <c r="E26" i="44"/>
  <c r="E30" i="44"/>
  <c r="E33" i="44"/>
  <c r="I166" i="44"/>
  <c r="I172" i="44"/>
  <c r="N3" i="44"/>
  <c r="B157" i="44"/>
  <c r="B163" i="44"/>
  <c r="G56" i="44"/>
  <c r="G60" i="44"/>
  <c r="C56" i="44"/>
  <c r="G2" i="44"/>
  <c r="F26" i="44"/>
  <c r="F33" i="44"/>
  <c r="B166" i="44"/>
  <c r="B172" i="44"/>
  <c r="G3" i="44"/>
  <c r="C166" i="44"/>
  <c r="C172" i="44"/>
  <c r="H3" i="44"/>
  <c r="P44" i="12"/>
  <c r="AA47" i="19"/>
  <c r="F5" i="44"/>
  <c r="S47" i="19"/>
  <c r="G42" i="19"/>
  <c r="U42" i="19"/>
  <c r="T47" i="19"/>
  <c r="Q47" i="19"/>
  <c r="C67" i="44"/>
  <c r="G25" i="44"/>
  <c r="G8" i="44"/>
  <c r="P42" i="19"/>
  <c r="H42" i="19"/>
  <c r="T42" i="19"/>
  <c r="I157" i="44"/>
  <c r="I163" i="44"/>
  <c r="N2" i="44"/>
  <c r="F8" i="44"/>
  <c r="F10" i="44"/>
  <c r="E8" i="44"/>
  <c r="E10" i="44"/>
  <c r="R44" i="12"/>
  <c r="S44" i="12"/>
  <c r="J44" i="12"/>
  <c r="N44" i="12"/>
  <c r="I44" i="12"/>
  <c r="P2" i="44"/>
  <c r="K157" i="44"/>
  <c r="K163" i="44"/>
  <c r="C60" i="44"/>
  <c r="D56" i="44"/>
  <c r="G157" i="44"/>
  <c r="G163" i="44"/>
  <c r="L2" i="44"/>
  <c r="G27" i="44"/>
  <c r="G10" i="44"/>
  <c r="E166" i="44"/>
  <c r="E172" i="44"/>
  <c r="J3" i="44"/>
  <c r="O47" i="19"/>
  <c r="O2" i="44"/>
  <c r="J157" i="44"/>
  <c r="J163" i="44"/>
  <c r="E37" i="44"/>
  <c r="E36" i="44"/>
  <c r="I2" i="44"/>
  <c r="D157" i="44"/>
  <c r="D163" i="44"/>
  <c r="D66" i="44"/>
  <c r="D65" i="44"/>
  <c r="D64" i="44"/>
  <c r="D63" i="44"/>
  <c r="G16" i="44"/>
  <c r="G26" i="44"/>
  <c r="B241" i="44"/>
  <c r="B243" i="44"/>
  <c r="H25" i="44"/>
  <c r="H16" i="44"/>
  <c r="G33" i="44"/>
  <c r="E38" i="44"/>
  <c r="G12" i="44"/>
  <c r="J2" i="44"/>
  <c r="E157" i="44"/>
  <c r="E163" i="44"/>
  <c r="G28" i="44"/>
  <c r="G34" i="44"/>
  <c r="H27" i="44"/>
  <c r="D58" i="44"/>
  <c r="D59" i="44"/>
  <c r="D57" i="44"/>
  <c r="N160" i="44"/>
  <c r="N158" i="44"/>
  <c r="N162" i="44"/>
  <c r="N157" i="44"/>
  <c r="G9" i="44"/>
  <c r="N159" i="44"/>
  <c r="N161" i="44"/>
  <c r="G30" i="44"/>
  <c r="H26" i="44"/>
  <c r="H8" i="44"/>
  <c r="E5" i="44"/>
  <c r="I25" i="44"/>
  <c r="I16" i="44"/>
  <c r="H33" i="44"/>
  <c r="N166" i="44"/>
  <c r="N171" i="44"/>
  <c r="N170" i="44"/>
  <c r="G32" i="44"/>
  <c r="G31" i="44"/>
  <c r="N169" i="44"/>
  <c r="N168" i="44"/>
  <c r="N167" i="44"/>
  <c r="G35" i="44"/>
  <c r="G11" i="44"/>
  <c r="H34" i="44"/>
  <c r="I27" i="44"/>
  <c r="H28" i="44"/>
  <c r="H10" i="44"/>
  <c r="H9" i="44"/>
  <c r="H30" i="44"/>
  <c r="I26" i="44"/>
  <c r="I8" i="44"/>
  <c r="J25" i="44"/>
  <c r="J16" i="44"/>
  <c r="I33" i="44"/>
  <c r="G37" i="44"/>
  <c r="G36" i="44"/>
  <c r="H32" i="44"/>
  <c r="H31" i="44"/>
  <c r="H35" i="44"/>
  <c r="H11" i="44"/>
  <c r="G39" i="44"/>
  <c r="G40" i="44"/>
  <c r="J27" i="44"/>
  <c r="I34" i="44"/>
  <c r="I28" i="44"/>
  <c r="I10" i="44"/>
  <c r="I9" i="44"/>
  <c r="I30" i="44"/>
  <c r="J26" i="44"/>
  <c r="J8" i="44"/>
  <c r="K25" i="44"/>
  <c r="K16" i="44"/>
  <c r="J33" i="44"/>
  <c r="G38" i="44"/>
  <c r="H36" i="44"/>
  <c r="H37" i="44"/>
  <c r="H40" i="44"/>
  <c r="H39" i="44"/>
  <c r="J34" i="44"/>
  <c r="K27" i="44"/>
  <c r="J28" i="44"/>
  <c r="J10" i="44"/>
  <c r="G41" i="44"/>
  <c r="I31" i="44"/>
  <c r="I35" i="44"/>
  <c r="I32" i="44"/>
  <c r="I11" i="44"/>
  <c r="J9" i="44"/>
  <c r="J30" i="44"/>
  <c r="K26" i="44"/>
  <c r="K8" i="44"/>
  <c r="G5" i="44"/>
  <c r="H38" i="44"/>
  <c r="H5" i="44"/>
  <c r="K33" i="44"/>
  <c r="L25" i="44"/>
  <c r="L16" i="44"/>
  <c r="I37" i="44"/>
  <c r="I36" i="44"/>
  <c r="H41" i="44"/>
  <c r="H6" i="44"/>
  <c r="J35" i="44"/>
  <c r="J32" i="44"/>
  <c r="J31" i="44"/>
  <c r="J11" i="44"/>
  <c r="I39" i="44"/>
  <c r="I40" i="44"/>
  <c r="I41" i="44"/>
  <c r="I6" i="44"/>
  <c r="K28" i="44"/>
  <c r="K34" i="44"/>
  <c r="L27" i="44"/>
  <c r="K10" i="44"/>
  <c r="G6" i="44"/>
  <c r="K9" i="44"/>
  <c r="K30" i="44"/>
  <c r="L26" i="44"/>
  <c r="L8" i="44"/>
  <c r="H58" i="44"/>
  <c r="J37" i="44"/>
  <c r="J36" i="44"/>
  <c r="L33" i="44"/>
  <c r="M25" i="44"/>
  <c r="M16" i="44"/>
  <c r="I38" i="44"/>
  <c r="I5" i="44"/>
  <c r="K32" i="44"/>
  <c r="K31" i="44"/>
  <c r="K35" i="44"/>
  <c r="K11" i="44"/>
  <c r="J39" i="44"/>
  <c r="J40" i="44"/>
  <c r="J41" i="44"/>
  <c r="J6" i="44"/>
  <c r="L28" i="44"/>
  <c r="M27" i="44"/>
  <c r="L34" i="44"/>
  <c r="L10" i="44"/>
  <c r="L9" i="44"/>
  <c r="L30" i="44"/>
  <c r="M26" i="44"/>
  <c r="M8" i="44"/>
  <c r="J38" i="44"/>
  <c r="J5" i="44"/>
  <c r="H56" i="44"/>
  <c r="H57" i="44"/>
  <c r="N16" i="44"/>
  <c r="M33" i="44"/>
  <c r="N25" i="44"/>
  <c r="K37" i="44"/>
  <c r="K36" i="44"/>
  <c r="H59" i="44"/>
  <c r="K39" i="44"/>
  <c r="K40" i="44"/>
  <c r="K41" i="44"/>
  <c r="K6" i="44"/>
  <c r="L31" i="44"/>
  <c r="L32" i="44"/>
  <c r="L35" i="44"/>
  <c r="L11" i="44"/>
  <c r="M28" i="44"/>
  <c r="N27" i="44"/>
  <c r="M34" i="44"/>
  <c r="M10" i="44"/>
  <c r="M9" i="44"/>
  <c r="M30" i="44"/>
  <c r="N26" i="44"/>
  <c r="N8" i="44"/>
  <c r="N33" i="44"/>
  <c r="O16" i="44"/>
  <c r="O25" i="44"/>
  <c r="K38" i="44"/>
  <c r="K5" i="44"/>
  <c r="L37" i="44"/>
  <c r="L36" i="44"/>
  <c r="M32" i="44"/>
  <c r="M31" i="44"/>
  <c r="M35" i="44"/>
  <c r="M11" i="44"/>
  <c r="L40" i="44"/>
  <c r="L39" i="44"/>
  <c r="N34" i="44"/>
  <c r="O27" i="44"/>
  <c r="N28" i="44"/>
  <c r="N10" i="44"/>
  <c r="N9" i="44"/>
  <c r="N30" i="44"/>
  <c r="O26" i="44"/>
  <c r="O8" i="44"/>
  <c r="L38" i="44"/>
  <c r="L5" i="44"/>
  <c r="M36" i="44"/>
  <c r="M37" i="44"/>
  <c r="O33" i="44"/>
  <c r="P16" i="44"/>
  <c r="M39" i="44"/>
  <c r="M40" i="44"/>
  <c r="M41" i="44"/>
  <c r="M6" i="44"/>
  <c r="L41" i="44"/>
  <c r="L6" i="44"/>
  <c r="N32" i="44"/>
  <c r="N31" i="44"/>
  <c r="N35" i="44"/>
  <c r="N11" i="44"/>
  <c r="O28" i="44"/>
  <c r="P27" i="44"/>
  <c r="O34" i="44"/>
  <c r="O10" i="44"/>
  <c r="O9" i="44"/>
  <c r="O30" i="44"/>
  <c r="M38" i="44"/>
  <c r="M5" i="44"/>
  <c r="N36" i="44"/>
  <c r="N37" i="44"/>
  <c r="P10" i="44"/>
  <c r="Q27" i="44"/>
  <c r="P28" i="44"/>
  <c r="P34" i="44"/>
  <c r="N39" i="44"/>
  <c r="N40" i="44"/>
  <c r="N41" i="44"/>
  <c r="N6" i="44"/>
  <c r="O31" i="44"/>
  <c r="O32" i="44"/>
  <c r="O35" i="44"/>
  <c r="O11" i="44"/>
  <c r="N38" i="44"/>
  <c r="N5" i="44"/>
  <c r="O36" i="44"/>
  <c r="O37" i="44"/>
  <c r="Q34" i="44"/>
  <c r="Q28" i="44"/>
  <c r="Q10" i="44"/>
  <c r="O40" i="44"/>
  <c r="O39" i="44"/>
  <c r="P35" i="44"/>
  <c r="P31" i="44"/>
  <c r="P32" i="44"/>
  <c r="P11" i="44"/>
  <c r="O38" i="44"/>
  <c r="O5" i="44"/>
  <c r="O41" i="44"/>
  <c r="O6" i="44"/>
  <c r="O167" i="44"/>
  <c r="Q32" i="44"/>
  <c r="O169" i="44"/>
  <c r="O170" i="44"/>
  <c r="Q35" i="44"/>
  <c r="O168" i="44"/>
  <c r="Q31" i="44"/>
  <c r="O171" i="44"/>
  <c r="O166" i="44"/>
  <c r="Q11" i="44"/>
  <c r="P39" i="44"/>
  <c r="P40" i="44"/>
  <c r="J232" i="14"/>
  <c r="J233" i="14"/>
  <c r="I232" i="14"/>
  <c r="H232" i="14"/>
  <c r="G232" i="14"/>
  <c r="S230" i="14"/>
  <c r="U118" i="14"/>
  <c r="S231" i="14"/>
  <c r="U120" i="14"/>
  <c r="S232" i="14"/>
  <c r="U122" i="14"/>
  <c r="U124" i="14"/>
  <c r="AN103" i="14"/>
  <c r="T230" i="14"/>
  <c r="T231" i="14"/>
  <c r="T233" i="14"/>
  <c r="V124" i="14"/>
  <c r="T234" i="14"/>
  <c r="W118" i="14"/>
  <c r="U231" i="14"/>
  <c r="W122" i="14"/>
  <c r="U233" i="14"/>
  <c r="X118" i="14"/>
  <c r="V231" i="14"/>
  <c r="Y118" i="14"/>
  <c r="W231" i="14"/>
  <c r="Y122" i="14"/>
  <c r="W233" i="14"/>
  <c r="Z118" i="14"/>
  <c r="X231" i="14"/>
  <c r="Z122" i="14"/>
  <c r="X233" i="14"/>
  <c r="AA118" i="14"/>
  <c r="Y231" i="14"/>
  <c r="AA122" i="14"/>
  <c r="Y233" i="14"/>
  <c r="S233" i="14"/>
  <c r="R233" i="14"/>
  <c r="Q233" i="14"/>
  <c r="P233" i="14"/>
  <c r="O233" i="14"/>
  <c r="N233" i="14"/>
  <c r="M233" i="14"/>
  <c r="L233" i="14"/>
  <c r="K233" i="14"/>
  <c r="I233" i="14"/>
  <c r="H233" i="14"/>
  <c r="R231" i="14"/>
  <c r="Q231" i="14"/>
  <c r="P231" i="14"/>
  <c r="O231" i="14"/>
  <c r="N231" i="14"/>
  <c r="M231" i="14"/>
  <c r="L231" i="14"/>
  <c r="K231" i="14"/>
  <c r="T232" i="14"/>
  <c r="R232" i="14"/>
  <c r="Q232" i="14"/>
  <c r="P232" i="14"/>
  <c r="O232" i="14"/>
  <c r="N232" i="14"/>
  <c r="M232" i="14"/>
  <c r="L232" i="14"/>
  <c r="K232" i="14"/>
  <c r="S82" i="14"/>
  <c r="R82" i="14"/>
  <c r="Q82" i="14"/>
  <c r="AN99" i="14"/>
  <c r="Q39" i="44"/>
  <c r="Q40" i="44"/>
  <c r="Q41" i="44"/>
  <c r="Q6" i="44"/>
  <c r="P41" i="44"/>
  <c r="P6" i="44"/>
  <c r="S234" i="14"/>
  <c r="AO99" i="14"/>
  <c r="AQ99" i="14"/>
  <c r="AB124" i="14"/>
  <c r="AO103" i="14"/>
  <c r="AQ103" i="14"/>
  <c r="T236" i="14"/>
  <c r="X122" i="14"/>
  <c r="V233" i="14"/>
  <c r="AA120" i="14"/>
  <c r="Y232" i="14"/>
  <c r="Z120" i="14"/>
  <c r="X232" i="14"/>
  <c r="Y120" i="14"/>
  <c r="W232" i="14"/>
  <c r="X120" i="14"/>
  <c r="V232" i="14"/>
  <c r="W120" i="14"/>
  <c r="U232" i="14"/>
  <c r="AA124" i="14"/>
  <c r="Y234" i="14"/>
  <c r="Z124" i="14"/>
  <c r="X234" i="14"/>
  <c r="Y124" i="14"/>
  <c r="W234" i="14"/>
  <c r="X124" i="14"/>
  <c r="V234" i="14"/>
  <c r="W124" i="14"/>
  <c r="U234" i="14"/>
  <c r="Q47" i="9"/>
  <c r="U82" i="14"/>
  <c r="U230" i="14"/>
  <c r="W230" i="14"/>
  <c r="Y230" i="14"/>
  <c r="V230" i="14"/>
  <c r="X230" i="14"/>
  <c r="T82" i="14"/>
  <c r="S236" i="14"/>
  <c r="S92" i="9"/>
  <c r="Q64" i="9"/>
  <c r="Q66" i="9"/>
  <c r="X130" i="14"/>
  <c r="W82" i="14"/>
  <c r="X82" i="14"/>
  <c r="Y130" i="14"/>
  <c r="P47" i="9"/>
  <c r="P64" i="9"/>
  <c r="P66" i="9"/>
  <c r="V82" i="14"/>
  <c r="W130" i="14"/>
  <c r="Y82" i="14"/>
  <c r="Z130" i="14"/>
  <c r="Z82" i="14"/>
  <c r="AA130" i="14"/>
  <c r="S93" i="9"/>
  <c r="U64" i="9"/>
  <c r="U66" i="9"/>
  <c r="R92" i="9"/>
  <c r="T64" i="9"/>
  <c r="T66" i="9"/>
  <c r="S64" i="9"/>
  <c r="S66" i="9"/>
  <c r="R64" i="9"/>
  <c r="R66" i="9"/>
  <c r="V64" i="9"/>
  <c r="V66" i="9"/>
  <c r="R93" i="9"/>
  <c r="P25" i="44"/>
  <c r="Q16" i="44"/>
  <c r="X93" i="9"/>
  <c r="T93" i="9"/>
  <c r="W93" i="9"/>
  <c r="U93" i="9"/>
  <c r="V93" i="9"/>
  <c r="P26" i="44"/>
  <c r="Q25" i="44"/>
  <c r="P8" i="44"/>
  <c r="P33" i="44"/>
  <c r="P9" i="44"/>
  <c r="P30" i="44"/>
  <c r="Q26" i="44"/>
  <c r="Q8" i="44"/>
  <c r="Q33" i="44"/>
  <c r="O161" i="44"/>
  <c r="O160" i="44"/>
  <c r="O157" i="44"/>
  <c r="O159" i="44"/>
  <c r="O158" i="44"/>
  <c r="O162" i="44"/>
  <c r="Q9" i="44"/>
  <c r="Q30" i="44"/>
  <c r="P37" i="44"/>
  <c r="P36" i="44"/>
  <c r="Q36" i="44"/>
  <c r="Q37" i="44"/>
  <c r="P38" i="44"/>
  <c r="P5" i="44"/>
  <c r="Q38" i="44"/>
  <c r="Q5" i="44"/>
  <c r="H71" i="44"/>
  <c r="H66" i="44"/>
  <c r="H64" i="44"/>
  <c r="H65" i="44"/>
  <c r="H69" i="44"/>
  <c r="H70" i="44"/>
  <c r="H68" i="44"/>
  <c r="H63" i="44"/>
  <c r="H67" i="44"/>
  <c r="B8" i="44"/>
  <c r="B10" i="44"/>
  <c r="B9" i="44"/>
  <c r="B11" i="44"/>
  <c r="B5" i="44"/>
  <c r="C46" i="44"/>
  <c r="B49" i="44"/>
  <c r="C50" i="44"/>
  <c r="C49" i="44"/>
  <c r="D46" i="44"/>
  <c r="B6" i="44"/>
  <c r="B50" i="44"/>
  <c r="D50" i="44"/>
  <c r="D49" i="44"/>
  <c r="E46" i="44"/>
  <c r="E49" i="44"/>
  <c r="F46" i="44"/>
  <c r="G46" i="44"/>
  <c r="G50" i="44"/>
  <c r="E50" i="44"/>
  <c r="G49" i="44"/>
  <c r="F49" i="44"/>
  <c r="F50" i="44"/>
  <c r="H46" i="44"/>
  <c r="H49" i="44"/>
  <c r="H50" i="44"/>
  <c r="I46" i="44"/>
  <c r="I49" i="44"/>
  <c r="J46" i="44"/>
  <c r="J50" i="44"/>
  <c r="I50" i="44"/>
  <c r="J49" i="44"/>
  <c r="K46" i="44"/>
  <c r="K49" i="44"/>
  <c r="L46" i="44"/>
  <c r="K50" i="44"/>
  <c r="L49" i="44"/>
  <c r="M46" i="44"/>
  <c r="L50" i="44"/>
  <c r="M49" i="44"/>
  <c r="M50" i="44"/>
  <c r="N46" i="44"/>
  <c r="O46" i="44"/>
  <c r="N49" i="44"/>
  <c r="N50" i="44"/>
  <c r="O49" i="44"/>
  <c r="O50" i="44"/>
  <c r="P46" i="44"/>
  <c r="Q46" i="44"/>
  <c r="Q50" i="44"/>
  <c r="Q49" i="44"/>
  <c r="P50" i="44"/>
  <c r="P49" i="44"/>
  <c r="J234" i="14"/>
  <c r="J234" i="47"/>
</calcChain>
</file>

<file path=xl/comments1.xml><?xml version="1.0" encoding="utf-8"?>
<comments xmlns="http://schemas.openxmlformats.org/spreadsheetml/2006/main">
  <authors>
    <author>Anders Andrae, Huawei</author>
    <author>Anders Andrae</author>
  </authors>
  <commentList>
    <comment ref="AA3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Decline DESKOPS 2015 2025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Anders Andrae: [66]</t>
        </r>
        <r>
          <rPr>
            <sz val="9"/>
            <color indexed="81"/>
            <rFont val="Tahoma"/>
            <family val="2"/>
          </rPr>
          <t xml:space="preserve">
http://www.gartner.com/newsroom/id/2791017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214 million GARTNER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Matrix -1 around 3.35 kgCO2/p.  Life Cycle 12.15 kg CO2/p (Assembly, Distribution, Disposal)</t>
        </r>
      </text>
    </comment>
    <comment ref="AA16" authorId="1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[68]</t>
        </r>
      </text>
    </comment>
  </commentList>
</comments>
</file>

<file path=xl/comments10.xml><?xml version="1.0" encoding="utf-8"?>
<comments xmlns="http://schemas.openxmlformats.org/spreadsheetml/2006/main">
  <authors>
    <author>Anders Andrae</author>
  </authors>
  <commentList>
    <comment ref="L5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Ericsson 9.1</t>
        </r>
      </text>
    </comment>
  </commentList>
</comments>
</file>

<file path=xl/comments2.xml><?xml version="1.0" encoding="utf-8"?>
<comments xmlns="http://schemas.openxmlformats.org/spreadsheetml/2006/main">
  <authors>
    <author>Anders Andrae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amount voice constant 2010-2020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Ericsson mobility report [105]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CISCO VNI 2013, 2010-2017.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[107] Cisco Visual Networking Index: Global Mobile Data Traffic Forecast Update, 2014–2019, page 2(42)</t>
        </r>
      </text>
    </comment>
    <comment ref="C105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voice TWh/EB, Huawei measurements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2G TWh/EB, Huawei measurements</t>
        </r>
      </text>
    </comment>
    <comment ref="C107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3G TWh/EB, Huawei measurements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4G TWH/EB, Huawei measurements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30 % improvement year by year of energy efficiency from 2012 until 2021. </t>
        </r>
      </text>
    </comment>
    <comment ref="C109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5G TWh/EB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Anders Andrae:
Voice TWh/EB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2G data TWh/EB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3G data TWh/EB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4G data TWh/EB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5G data TWh/EB</t>
        </r>
      </text>
    </comment>
    <comment ref="D135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22 % improvement year by year of energy efficiency from 2012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10 % improvement year by year of energy efficiency from 2012</t>
        </r>
      </text>
    </comment>
    <comment ref="I171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[41]: 350 TWh-CPE (51.2) = 298 TWh.
298 TWh - Office (42) = 256. Fixed was 60% of the 256 TWH = 154 TWh. Fixed + Office = 154 + 42 =196 TWh</t>
        </r>
      </text>
    </comment>
    <comment ref="I174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[41]: 350 TWh-CPE (51.2) = 298 TWh.
298 TWh - Office (42) = 256. Fixed was 60% of the 256 TWH = 154 TWh. Fixed + Office = 154 + 42 =196 TWh</t>
        </r>
      </text>
    </comment>
    <comment ref="I179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[41]: 350 TWh-CPE (51.2) = 298 TWh.
298 TWh - Office (42) = 256. Fixed was 60% of the 256 TWH = 154 TWh. Fixed + Office = 154 + 42 =196 TWh</t>
        </r>
      </text>
    </comment>
    <comment ref="I189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for  CPE</t>
        </r>
      </text>
    </comment>
    <comment ref="I192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 CPE</t>
        </r>
      </text>
    </comment>
    <comment ref="I197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for Office networks and CPE</t>
        </r>
      </text>
    </comment>
    <comment ref="I205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for  CPE</t>
        </r>
      </text>
    </comment>
    <comment ref="I206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 CPE</t>
        </r>
      </text>
    </comment>
    <comment ref="I207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for Office networks and CPE</t>
        </r>
      </text>
    </comment>
  </commentList>
</comments>
</file>

<file path=xl/comments3.xml><?xml version="1.0" encoding="utf-8"?>
<comments xmlns="http://schemas.openxmlformats.org/spreadsheetml/2006/main">
  <authors>
    <author>Anders Andrae, Huawei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15% in previous study in 2015</t>
        </r>
      </text>
    </comment>
  </commentList>
</comments>
</file>

<file path=xl/comments4.xml><?xml version="1.0" encoding="utf-8"?>
<comments xmlns="http://schemas.openxmlformats.org/spreadsheetml/2006/main">
  <authors>
    <author>Anders Andrae, Huawei</author>
    <author>Anders Andrae</author>
  </authors>
  <commentList>
    <comment ref="O5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Ericsson Mobility report  2017/2/12: 110 EB/månad --&gt; 1320 EB/år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Greentouch 2013: 14266 PB/month--&gt;167 EB/year.68% lower than us</t>
        </r>
      </text>
    </comment>
    <comment ref="A12" authorId="1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[88] http://newsroom.cisco.com/release/1197391/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Around 10 GB/capita/month</t>
        </r>
      </text>
    </comment>
    <comment ref="L26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Around 30 GB/capita/month</t>
        </r>
      </text>
    </comment>
  </commentList>
</comments>
</file>

<file path=xl/comments5.xml><?xml version="1.0" encoding="utf-8"?>
<comments xmlns="http://schemas.openxmlformats.org/spreadsheetml/2006/main">
  <authors>
    <author>Anders Andrae</author>
    <author>Anders Andrae, Huawei</author>
  </authors>
  <commentList>
    <comment ref="E6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amount voice constant 2010-2020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Ericsson mobility report [105]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CISCO VNI 2013, 2010-2017.</t>
        </r>
      </text>
    </comment>
    <comment ref="I38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[107] Cisco Visual Networking Index: Global Mobile Data Traffic Forecast Update, 2014–2019, page 2(42)</t>
        </r>
      </text>
    </comment>
    <comment ref="C105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voice TWh/EB, Huawei measurements</t>
        </r>
      </text>
    </comment>
    <comment ref="C106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2G TWh/EB, Huawei measurements</t>
        </r>
      </text>
    </comment>
    <comment ref="C107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3G TWh/EB, Huawei measurements</t>
        </r>
      </text>
    </comment>
    <comment ref="C108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4G TWH/EB, Huawei measurements</t>
        </r>
      </text>
    </comment>
    <comment ref="F108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30 % improvement year by year of energy efficiency from 2012 until 2021. </t>
        </r>
      </text>
    </comment>
    <comment ref="C109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5G TWh/EB</t>
        </r>
      </text>
    </comment>
    <comment ref="C129" authorId="0">
      <text>
        <r>
          <rPr>
            <b/>
            <sz val="9"/>
            <color indexed="81"/>
            <rFont val="Tahoma"/>
            <family val="2"/>
          </rPr>
          <t>Anders Andrae:
Voice TWh/EB</t>
        </r>
      </text>
    </comment>
    <comment ref="C130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2G data TWh/EB</t>
        </r>
      </text>
    </comment>
    <comment ref="C131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3G data TWh/EB</t>
        </r>
      </text>
    </comment>
    <comment ref="C132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4G data TWh/EB</t>
        </r>
      </text>
    </comment>
    <comment ref="C133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5G data TWh/EB</t>
        </r>
      </text>
    </comment>
    <comment ref="D135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22 % improvement year by year of energy efficiency from 2012</t>
        </r>
      </text>
    </comment>
    <comment ref="F155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10 % improvement year by year of energy efficiency from 2012</t>
        </r>
      </text>
    </comment>
    <comment ref="I171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[41]: 350 TWh-CPE (51.2) = 298 TWh.
298 TWh - Office (42) = 256. Fixed was 60% of the 256 TWH = 154 TWh. Fixed + Office = 154 + 42 =196 TWh</t>
        </r>
      </text>
    </comment>
    <comment ref="L172" authorId="1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Data centers 0.04. </t>
        </r>
      </text>
    </comment>
    <comment ref="V172" authorId="1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similar to Data Center Expected, 0.02</t>
        </r>
      </text>
    </comment>
    <comment ref="E174" authorId="1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same as for Data Centers for consistency</t>
        </r>
      </text>
    </comment>
    <comment ref="I174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[41]: 350 TWh-CPE (51.2) = 298 TWh.
298 TWh - Office (42) = 256. Fixed was 60% of the 256 TWH = 154 TWh. Fixed + Office = 154 + 42 =196 TWh</t>
        </r>
      </text>
    </comment>
    <comment ref="I179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[41]: 350 TWh-CPE (51.2) = 298 TWh.
298 TWh - Office (42) = 256. Fixed was 60% of the 256 TWH = 154 TWh. Fixed + Office = 154 + 42 =196 TWh</t>
        </r>
      </text>
    </comment>
    <comment ref="I189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for  CPE</t>
        </r>
      </text>
    </comment>
    <comment ref="I192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 CPE</t>
        </r>
      </text>
    </comment>
    <comment ref="I197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for Office networks and CPE</t>
        </r>
      </text>
    </comment>
    <comment ref="I205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for  CPE</t>
        </r>
      </text>
    </comment>
    <comment ref="I206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 CPE</t>
        </r>
      </text>
    </comment>
    <comment ref="I207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Lambert 2012 [41] for Office networks and CPE</t>
        </r>
      </text>
    </comment>
  </commentList>
</comments>
</file>

<file path=xl/comments6.xml><?xml version="1.0" encoding="utf-8"?>
<comments xmlns="http://schemas.openxmlformats.org/spreadsheetml/2006/main">
  <authors>
    <author>Anders Andrae, Huawei</author>
  </authors>
  <commentList>
    <comment ref="E7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15% in previous study in 2015. 22.5% is consistent with KPN data centers increase from 2010 to 2016.
30% p.a. would lead to a decrease 2010-2016, and that is inconsistent with e.g. KPN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ca 1% of global electricity</t>
        </r>
      </text>
    </comment>
  </commentList>
</comments>
</file>

<file path=xl/comments7.xml><?xml version="1.0" encoding="utf-8"?>
<comments xmlns="http://schemas.openxmlformats.org/spreadsheetml/2006/main">
  <authors>
    <author>Anders Andrae</author>
  </authors>
  <commentList>
    <comment ref="D3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5 year lifetime. 5*146=730M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LCA. 5 years earlier annual production</t>
        </r>
      </text>
    </comment>
    <comment ref="D5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3 yrs lifetime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Anders Andrae:</t>
        </r>
        <r>
          <rPr>
            <sz val="9"/>
            <color indexed="81"/>
            <rFont val="Tahoma"/>
            <family val="2"/>
          </rPr>
          <t xml:space="preserve">
http://etc-digital.org/digital-trends/mobile-devices/mobile-smartphones/  4550</t>
        </r>
      </text>
    </comment>
  </commentList>
</comments>
</file>

<file path=xl/comments8.xml><?xml version="1.0" encoding="utf-8"?>
<comments xmlns="http://schemas.openxmlformats.org/spreadsheetml/2006/main">
  <authors>
    <author>Anders Andrae, Huawei</author>
    <author>Anders Andrae</author>
  </authors>
  <commentList>
    <comment ref="AA3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Decline DESKOPS 2015 2025</t>
        </r>
      </text>
    </comment>
    <comment ref="E7" authorId="1">
      <text>
        <r>
          <rPr>
            <b/>
            <sz val="9"/>
            <color indexed="81"/>
            <rFont val="Tahoma"/>
            <family val="2"/>
          </rPr>
          <t>Anders Andrae: [66]</t>
        </r>
        <r>
          <rPr>
            <sz val="9"/>
            <color indexed="81"/>
            <rFont val="Tahoma"/>
            <family val="2"/>
          </rPr>
          <t xml:space="preserve">
http://www.gartner.com/newsroom/id/2791017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214 million GARTNER</t>
        </r>
      </text>
    </comment>
  </commentList>
</comments>
</file>

<file path=xl/comments9.xml><?xml version="1.0" encoding="utf-8"?>
<comments xmlns="http://schemas.openxmlformats.org/spreadsheetml/2006/main">
  <authors>
    <author>Anders Andrae, Huawei</author>
  </authors>
  <commentList>
    <comment ref="A17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420 TWh in 2015, 420*11 = 4620 TWh in 2025</t>
        </r>
      </text>
    </comment>
    <comment ref="A23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Growth rate of enabling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expected</t>
        </r>
      </text>
    </comment>
    <comment ref="M106" authorId="0">
      <text>
        <r>
          <rPr>
            <b/>
            <sz val="9"/>
            <color indexed="81"/>
            <rFont val="Tahoma"/>
            <family val="2"/>
          </rPr>
          <t>Anders Andrae, Huawei:</t>
        </r>
        <r>
          <rPr>
            <sz val="9"/>
            <color indexed="81"/>
            <rFont val="Tahoma"/>
            <family val="2"/>
          </rPr>
          <t xml:space="preserve">
expected</t>
        </r>
      </text>
    </comment>
  </commentList>
</comments>
</file>

<file path=xl/sharedStrings.xml><?xml version="1.0" encoding="utf-8"?>
<sst xmlns="http://schemas.openxmlformats.org/spreadsheetml/2006/main" count="1098" uniqueCount="386">
  <si>
    <t xml:space="preserve"> </t>
    <phoneticPr fontId="6" type="noConversion"/>
  </si>
  <si>
    <t>Desktops</t>
    <phoneticPr fontId="6" type="noConversion"/>
  </si>
  <si>
    <t>Monitors</t>
    <phoneticPr fontId="6" type="noConversion"/>
  </si>
  <si>
    <t>Laptops</t>
    <phoneticPr fontId="6" type="noConversion"/>
  </si>
  <si>
    <t>Smartphones</t>
    <phoneticPr fontId="6" type="noConversion"/>
  </si>
  <si>
    <t>Tablets</t>
    <phoneticPr fontId="6" type="noConversion"/>
  </si>
  <si>
    <t>TV</t>
    <phoneticPr fontId="6" type="noConversion"/>
  </si>
  <si>
    <t>TV STB</t>
    <phoneticPr fontId="6" type="noConversion"/>
  </si>
  <si>
    <t>TV GC</t>
    <phoneticPr fontId="6" type="noConversion"/>
  </si>
  <si>
    <t>TWhr/year</t>
    <phoneticPr fontId="6" type="noConversion"/>
  </si>
  <si>
    <t>KWhr/year (2010)</t>
    <phoneticPr fontId="6" type="noConversion"/>
  </si>
  <si>
    <t>Efficiency Factor</t>
    <phoneticPr fontId="6" type="noConversion"/>
  </si>
  <si>
    <t>A/V Receiver</t>
    <phoneticPr fontId="6" type="noConversion"/>
  </si>
  <si>
    <t>DVD/Blueray</t>
    <phoneticPr fontId="6" type="noConversion"/>
  </si>
  <si>
    <t xml:space="preserve"> </t>
  </si>
  <si>
    <t>Best Case</t>
  </si>
  <si>
    <t>Expected</t>
  </si>
  <si>
    <t>TWhr/year</t>
  </si>
  <si>
    <t>Desktops</t>
  </si>
  <si>
    <t>Monitors</t>
  </si>
  <si>
    <t>Laptops</t>
  </si>
  <si>
    <t>Smartphones</t>
  </si>
  <si>
    <t>Tablets</t>
  </si>
  <si>
    <t>TV</t>
  </si>
  <si>
    <t>TV STB</t>
  </si>
  <si>
    <t>TV GC</t>
  </si>
  <si>
    <t>A/V Receiver</t>
  </si>
  <si>
    <t>DVD/Blueray</t>
  </si>
  <si>
    <t>Networks eq</t>
  </si>
  <si>
    <t>Data center eq</t>
  </si>
  <si>
    <t>Total</t>
  </si>
  <si>
    <t>EXPECTED</t>
  </si>
  <si>
    <t>WORST</t>
  </si>
  <si>
    <t> BEST</t>
  </si>
  <si>
    <t>Numbers</t>
    <phoneticPr fontId="6" type="noConversion"/>
  </si>
  <si>
    <t># per TV set</t>
    <phoneticPr fontId="6" type="noConversion"/>
  </si>
  <si>
    <t># per Desktop</t>
    <phoneticPr fontId="6" type="noConversion"/>
  </si>
  <si>
    <t>Ordinary phones</t>
  </si>
  <si>
    <t>Ord phones</t>
  </si>
  <si>
    <t>Ord ph</t>
  </si>
  <si>
    <t>Annual</t>
  </si>
  <si>
    <t>EB/year</t>
  </si>
  <si>
    <t>EB</t>
  </si>
  <si>
    <t>TWh/EB</t>
  </si>
  <si>
    <t>Data Centers Use</t>
  </si>
  <si>
    <t xml:space="preserve">Voice </t>
  </si>
  <si>
    <t>Wireless TOTAL</t>
  </si>
  <si>
    <t>Fixed TOTAL</t>
  </si>
  <si>
    <t>Share voice 2010</t>
  </si>
  <si>
    <t>LTE power ratio</t>
  </si>
  <si>
    <t>TWhr/EB</t>
  </si>
  <si>
    <t>Share of total global electricity</t>
  </si>
  <si>
    <t>TWh/year</t>
  </si>
  <si>
    <t>CO2e Best, Gt</t>
  </si>
  <si>
    <t>CO2e Expected, Gt</t>
  </si>
  <si>
    <t>Best</t>
  </si>
  <si>
    <t>Worst</t>
  </si>
  <si>
    <t>LTE/4G DT</t>
  </si>
  <si>
    <t xml:space="preserve">5G </t>
  </si>
  <si>
    <t>TOTAL Networks</t>
  </si>
  <si>
    <t>Phablets</t>
  </si>
  <si>
    <t>KWhr/unit (2010), expected</t>
  </si>
  <si>
    <t>Monitors 3</t>
  </si>
  <si>
    <t>Laptops 3</t>
  </si>
  <si>
    <t>Smartphones 1</t>
  </si>
  <si>
    <t>Tablets 2</t>
  </si>
  <si>
    <t>Phablets 1</t>
  </si>
  <si>
    <t>TV 8</t>
  </si>
  <si>
    <t>A/V Receivers 8</t>
  </si>
  <si>
    <t>DVD/Bluerays 8</t>
  </si>
  <si>
    <t>EB/yr</t>
  </si>
  <si>
    <t>Desktops 5</t>
  </si>
  <si>
    <t>Monitors 5</t>
  </si>
  <si>
    <t>Laptops 5</t>
  </si>
  <si>
    <t>Smartphones 2</t>
  </si>
  <si>
    <t>Phablets 2</t>
  </si>
  <si>
    <t>TV 10</t>
  </si>
  <si>
    <t>TV STB 10</t>
  </si>
  <si>
    <t>TV GC 10</t>
  </si>
  <si>
    <t>A/V Receiver 10</t>
  </si>
  <si>
    <t>DVD/Blueray 10</t>
  </si>
  <si>
    <t>Devices in use at the same time (millions), short lifetime and low average power consumption</t>
  </si>
  <si>
    <t>Networks Use</t>
  </si>
  <si>
    <t>Production</t>
  </si>
  <si>
    <t>Fixed</t>
  </si>
  <si>
    <t>TOTAL Data Center traffic</t>
  </si>
  <si>
    <t>Devices in use at the same time (millions), expected lifetime and average expected power consumption</t>
  </si>
  <si>
    <t>Best 2020-2030</t>
  </si>
  <si>
    <t>Expec- 2020-2030</t>
  </si>
  <si>
    <t>Mobile Broadband Modems</t>
  </si>
  <si>
    <t>TWh</t>
  </si>
  <si>
    <t>EB/YEAR</t>
  </si>
  <si>
    <t>( Annual % Efficiency Improvem't s 15%,10%, 5%)</t>
  </si>
  <si>
    <t>http://www.theguardian.com/environment/2014/sep/18/world-population-new-study-11bn-2100</t>
  </si>
  <si>
    <t>Global population (billions)</t>
  </si>
  <si>
    <t>CAGR</t>
  </si>
  <si>
    <t>Penetration = consumers</t>
  </si>
  <si>
    <t>Tablets 1</t>
  </si>
  <si>
    <t>Worst- 2020-2030</t>
  </si>
  <si>
    <t>LTE Electr.</t>
  </si>
  <si>
    <t>5G Electr.</t>
  </si>
  <si>
    <t>3G Electr.</t>
  </si>
  <si>
    <t>LTE Electr</t>
  </si>
  <si>
    <t>3G DT</t>
  </si>
  <si>
    <t>2G DT</t>
  </si>
  <si>
    <t>2G Electr.</t>
  </si>
  <si>
    <t>EE in year</t>
  </si>
  <si>
    <t>Best (Lowest data growth, best annual EE, lowest TWh/EB)</t>
  </si>
  <si>
    <t>Worst (Highest data growth, worst annual EE, highest TWh/EB)</t>
  </si>
  <si>
    <t>Expected (Expected data growth,
 expected annual EE, expected TWh/EB)</t>
  </si>
  <si>
    <t>,</t>
  </si>
  <si>
    <t>TWh/EB, voice</t>
  </si>
  <si>
    <t>TWh/EB, 2G data</t>
  </si>
  <si>
    <t>TWh/EB, 3G data</t>
  </si>
  <si>
    <t>TWh/EB, 4G data</t>
  </si>
  <si>
    <t>TWh/EB, 5G data</t>
  </si>
  <si>
    <t>Year</t>
  </si>
  <si>
    <t>Shares of total wireless traffic</t>
  </si>
  <si>
    <t>%Voice</t>
  </si>
  <si>
    <t>Shares of mobile data traffic</t>
  </si>
  <si>
    <t>% 2G data</t>
  </si>
  <si>
    <t>% 3G data</t>
  </si>
  <si>
    <t>% LTE/4G data</t>
  </si>
  <si>
    <t>% 5G data</t>
  </si>
  <si>
    <t>EB/year
 [Global Data Center IP Traffic]</t>
  </si>
  <si>
    <t>ZettaBytes</t>
  </si>
  <si>
    <t>BASELINE</t>
  </si>
  <si>
    <t>WIRELESS</t>
  </si>
  <si>
    <t>ELECTRICITY WIRELESS</t>
  </si>
  <si>
    <t>Best Scenario</t>
  </si>
  <si>
    <t>Expected Scenario</t>
  </si>
  <si>
    <t>Worst Scenario</t>
  </si>
  <si>
    <t>ExaBytes</t>
  </si>
  <si>
    <t xml:space="preserve">Best </t>
  </si>
  <si>
    <t>Best CAGR 2020-2030</t>
  </si>
  <si>
    <t>Expected CAGR 2020-2030</t>
  </si>
  <si>
    <t>Worst CAGR 2020-2030</t>
  </si>
  <si>
    <t>Baseline CAGR 2018-2030</t>
  </si>
  <si>
    <t>Best, Fixed 13%CAGR+WiFi 25%CAGR growths,
 15%CAGR improvement of EE</t>
  </si>
  <si>
    <t>Worst, Fixed 15%CAGR+WiFi 35%CAGR growths, 5%CAGR improvement of EE</t>
  </si>
  <si>
    <t>Expected,
Fixed 14%CAGR+WiFi 30%CAGR growths, 10%CAGR improvement of EE</t>
  </si>
  <si>
    <t>ZetaBytes</t>
  </si>
  <si>
    <t>Millions of units produced per year</t>
  </si>
  <si>
    <t>Annual EE improvement from 2013</t>
  </si>
  <si>
    <t>2G</t>
  </si>
  <si>
    <t>3G</t>
  </si>
  <si>
    <t>4G</t>
  </si>
  <si>
    <t>5G</t>
  </si>
  <si>
    <t>Voice</t>
  </si>
  <si>
    <t>Baseline</t>
  </si>
  <si>
    <t>Data Centers Best</t>
  </si>
  <si>
    <t>Data Centers Expected</t>
  </si>
  <si>
    <t>Data Centers Worst</t>
  </si>
  <si>
    <t>Production Best</t>
  </si>
  <si>
    <t>Production Expected</t>
  </si>
  <si>
    <t>Production Worst</t>
  </si>
  <si>
    <t>Share renewable, best</t>
  </si>
  <si>
    <t>Share renewable, expected</t>
  </si>
  <si>
    <t>Share renewable, worst</t>
  </si>
  <si>
    <t>CO2e intensity of non-renewable, best</t>
  </si>
  <si>
    <t>CO2e intensity of renewable, best</t>
  </si>
  <si>
    <t>CO2 intensity of "global" mix, best</t>
  </si>
  <si>
    <t>CO2e intensity of non-renewable, expected</t>
  </si>
  <si>
    <t>CO2e intensity of renewable, expected</t>
  </si>
  <si>
    <t>CO2 intensity of "global" mix, expected</t>
  </si>
  <si>
    <t>Share non-renewable electricity, best</t>
  </si>
  <si>
    <t>Share non-renewable electricity, expected</t>
  </si>
  <si>
    <t>Share non-renewable electricity, worst</t>
  </si>
  <si>
    <t>Renewable (TWh)</t>
  </si>
  <si>
    <t>2G data traffic constant
 from 2021</t>
  </si>
  <si>
    <t>k</t>
  </si>
  <si>
    <t>M</t>
  </si>
  <si>
    <t>G</t>
  </si>
  <si>
    <t>T</t>
  </si>
  <si>
    <t>P</t>
  </si>
  <si>
    <t>E</t>
  </si>
  <si>
    <t>1 bit</t>
  </si>
  <si>
    <t>1 joule</t>
  </si>
  <si>
    <t>1 ExaByte</t>
  </si>
  <si>
    <t>1 TWh</t>
  </si>
  <si>
    <t>ExaByte</t>
  </si>
  <si>
    <t>TWH/EB</t>
  </si>
  <si>
    <t>EB/TWH</t>
  </si>
  <si>
    <t>1 KWh</t>
  </si>
  <si>
    <t>TB</t>
  </si>
  <si>
    <t>Total (TWh)</t>
  </si>
  <si>
    <t>Share of total globally released greenhous gases</t>
  </si>
  <si>
    <t>Consumer devices use</t>
  </si>
  <si>
    <t>2G data</t>
  </si>
  <si>
    <t>3G data</t>
  </si>
  <si>
    <t>4G data</t>
  </si>
  <si>
    <t>5G data</t>
  </si>
  <si>
    <t>Consumer devices Use Best</t>
  </si>
  <si>
    <t>Consumer devices Use Expected</t>
  </si>
  <si>
    <t>TV GameConsole 8</t>
  </si>
  <si>
    <t>TV SetTopBox 8</t>
  </si>
  <si>
    <t>TOTAL MOBILE DATA TRAFFIC</t>
  </si>
  <si>
    <t>2G/3G voice</t>
  </si>
  <si>
    <t>Wireless networks access use</t>
  </si>
  <si>
    <t>Data centers use</t>
  </si>
  <si>
    <t>%</t>
  </si>
  <si>
    <t>Global greenhouse gas emissions, Gigatonnes</t>
  </si>
  <si>
    <t>Mobile Data traffic (EB/year), best</t>
  </si>
  <si>
    <t>Mobile Data traffic (EB/year), expected</t>
  </si>
  <si>
    <t>Mobile Data traffic (EB/year), worst</t>
  </si>
  <si>
    <t>Fixed total best (EB/year)</t>
  </si>
  <si>
    <t>Fixed total expected (EB/year)</t>
  </si>
  <si>
    <t>Fixed total worst (EB/year)</t>
  </si>
  <si>
    <t>Access (“Data-center-to-user”), best, (EB/year)</t>
  </si>
  <si>
    <t>Global Data Center IP Traffic, best, (EB/year)</t>
  </si>
  <si>
    <t>Global Data Center IP Traffic, exp, (EB/year)</t>
  </si>
  <si>
    <t>Global Data Center IP Traffic, worst, (EB/year)</t>
  </si>
  <si>
    <t>Growth rate renewable electricity</t>
  </si>
  <si>
    <t>Electricity efficiency</t>
  </si>
  <si>
    <t>Access (“Data-center-to-user”), worst, (EB/year)</t>
  </si>
  <si>
    <t>Access (“Data-center-to-user”), expexted, (EB/year)</t>
  </si>
  <si>
    <t>Within and between Data centers, (EB/year)</t>
  </si>
  <si>
    <t>2G/3G mobile voice traffic (EB/year)</t>
  </si>
  <si>
    <r>
      <rPr>
        <b/>
        <i/>
        <sz val="10"/>
        <color rgb="FF0070C0"/>
        <rFont val="Verdana"/>
        <family val="2"/>
      </rPr>
      <t xml:space="preserve">Monthly TOTAL Mobile </t>
    </r>
    <r>
      <rPr>
        <b/>
        <i/>
        <sz val="10"/>
        <rFont val="Verdana"/>
        <family val="2"/>
      </rPr>
      <t>Data Traffic, EB</t>
    </r>
  </si>
  <si>
    <r>
      <rPr>
        <b/>
        <sz val="10"/>
        <color rgb="FF0070C0"/>
        <rFont val="Verdana"/>
        <family val="2"/>
      </rPr>
      <t xml:space="preserve">Monthly 5G Mobile </t>
    </r>
    <r>
      <rPr>
        <b/>
        <sz val="10"/>
        <rFont val="Verdana"/>
        <family val="2"/>
      </rPr>
      <t>Data Traffic, EB</t>
    </r>
  </si>
  <si>
    <r>
      <rPr>
        <b/>
        <sz val="10"/>
        <color rgb="FF0070C0"/>
        <rFont val="Verdana"/>
        <family val="2"/>
      </rPr>
      <t xml:space="preserve">Monthly 4G Mobile </t>
    </r>
    <r>
      <rPr>
        <b/>
        <sz val="10"/>
        <rFont val="Verdana"/>
        <family val="2"/>
      </rPr>
      <t>Data Traffic, EB</t>
    </r>
  </si>
  <si>
    <r>
      <rPr>
        <b/>
        <sz val="10"/>
        <color rgb="FF0070C0"/>
        <rFont val="Verdana"/>
        <family val="2"/>
      </rPr>
      <t xml:space="preserve">Monthly 3G Mobile </t>
    </r>
    <r>
      <rPr>
        <b/>
        <sz val="10"/>
        <rFont val="Verdana"/>
        <family val="2"/>
      </rPr>
      <t>Data Traffic, EB</t>
    </r>
  </si>
  <si>
    <r>
      <rPr>
        <b/>
        <sz val="10"/>
        <color rgb="FF0070C0"/>
        <rFont val="Verdana"/>
        <family val="2"/>
      </rPr>
      <t xml:space="preserve">Monthly 2G Mobile </t>
    </r>
    <r>
      <rPr>
        <b/>
        <sz val="10"/>
        <rFont val="Verdana"/>
        <family val="2"/>
      </rPr>
      <t>Data Traffic, EB</t>
    </r>
  </si>
  <si>
    <r>
      <rPr>
        <b/>
        <sz val="10"/>
        <color rgb="FF0070C0"/>
        <rFont val="Verdana"/>
        <family val="2"/>
      </rPr>
      <t>Monthly 2G/3G mobile v</t>
    </r>
    <r>
      <rPr>
        <b/>
        <sz val="10"/>
        <rFont val="Verdana"/>
        <family val="2"/>
      </rPr>
      <t>oice Traffic, EB</t>
    </r>
  </si>
  <si>
    <t>2G/3G mobile voice traffic</t>
  </si>
  <si>
    <t>2G mobile data traffic</t>
  </si>
  <si>
    <t>3G mobile data traffic</t>
  </si>
  <si>
    <t>4G mobile data traffic</t>
  </si>
  <si>
    <t>5G mobile data traffic</t>
  </si>
  <si>
    <t>2G/3G Voice Electricity usage</t>
  </si>
  <si>
    <t xml:space="preserve">Fixed access traffic EB </t>
  </si>
  <si>
    <t>Fixed access electricity usage, TWh</t>
  </si>
  <si>
    <t>Electricity usages for Data Centers;
0.135 TWh/EB to 0.142 TWh/EB.</t>
  </si>
  <si>
    <t>( Annual % Efficiency Improvements 15%,10%, 5%)</t>
  </si>
  <si>
    <t>Growth rate global greenhouse gas emissions</t>
  </si>
  <si>
    <t>Figure 5</t>
  </si>
  <si>
    <t>Figure 1</t>
  </si>
  <si>
    <t>Figure 9a</t>
  </si>
  <si>
    <t>Figure 9c</t>
  </si>
  <si>
    <t>Figure 9b</t>
  </si>
  <si>
    <t>Figure 3a</t>
  </si>
  <si>
    <t>Figure 3b</t>
  </si>
  <si>
    <t>Figure 3c</t>
  </si>
  <si>
    <t>Figure 4</t>
  </si>
  <si>
    <t>Table 2</t>
  </si>
  <si>
    <t>Fixed access WiFi use</t>
  </si>
  <si>
    <t>Fixed access wired use</t>
  </si>
  <si>
    <t>Fixed access wired Best</t>
  </si>
  <si>
    <t>Fixed access wired Expected</t>
  </si>
  <si>
    <t>Fixed access wired Worst</t>
  </si>
  <si>
    <t>Fixed access WiFi Best</t>
  </si>
  <si>
    <t>Fixed access WiFi Expected</t>
  </si>
  <si>
    <t>Fixed access WiFi Worst</t>
  </si>
  <si>
    <t>Figure 2a</t>
  </si>
  <si>
    <t>ELECTRICITY FIXED ACCESS WIRED</t>
  </si>
  <si>
    <t>http://www.convergedigest.com/2012/10/cisco-global-data-center-traffic.html</t>
  </si>
  <si>
    <t>Source: Cisco Global Cloud Index: Forecast and Methodology, 2011–2016</t>
  </si>
  <si>
    <t xml:space="preserve">Wi-Fi traffic EB </t>
  </si>
  <si>
    <t>Wi-Fi electricity usage, TWh</t>
  </si>
  <si>
    <t>ELECTRICITY FIXED ACCESS Wi-Fi</t>
  </si>
  <si>
    <t>Expected 2020-2030</t>
  </si>
  <si>
    <t>Worst 2020-2030</t>
  </si>
  <si>
    <t>Fixed Access Wired Data traffic (EB/year), best, 13%CAGR</t>
  </si>
  <si>
    <t>Fixed Access Wi-Fi Data Traffic (EB/year), best, 25%CAGR</t>
  </si>
  <si>
    <t>Fixed Access Wired Data traffic (EB/year), expected 14% CAGR</t>
  </si>
  <si>
    <t>Fixed Access Wired Data traffic (EB/year), worst, 15%CAGR</t>
  </si>
  <si>
    <t>Fixed Access Wi-Fi Data Traffic (EB/year), expected, 30% CAGR</t>
  </si>
  <si>
    <t>Fixed Access Wi-Fi Data Traffic (EB/year), worst,  35%CAGR</t>
  </si>
  <si>
    <t>Ordinary mobile phones</t>
  </si>
  <si>
    <t>Ord mobile phones 1</t>
  </si>
  <si>
    <t>Ord mobile phones 2</t>
  </si>
  <si>
    <t>Share TV&amp;peripherals</t>
  </si>
  <si>
    <t>Global Data Center IP Traffic [138]</t>
  </si>
  <si>
    <t>2011-2016</t>
  </si>
  <si>
    <t>2012-2017</t>
  </si>
  <si>
    <t>Electricity efficiency overall WAN</t>
  </si>
  <si>
    <t>EE, TWh/EB, Table 2</t>
  </si>
  <si>
    <t>[201]</t>
  </si>
  <si>
    <t>Smarthome devices</t>
  </si>
  <si>
    <t>ARVR devices</t>
  </si>
  <si>
    <t>Wearable devices</t>
  </si>
  <si>
    <t>Smarthome devices 3</t>
  </si>
  <si>
    <t>Wearable devices 1</t>
  </si>
  <si>
    <t>ARVR devices 1</t>
  </si>
  <si>
    <t>Growth rate non-ICT electricity</t>
  </si>
  <si>
    <t>Energy saving by ICT (TWh)</t>
  </si>
  <si>
    <t>Necessary EE (TWh/EB) in 2025 in order to use as little as in 2015:</t>
  </si>
  <si>
    <t>Mbits/J</t>
  </si>
  <si>
    <t>Necessary EE (TWh/EB = kWh/GB) in 2025 in order to use as little Power as in 2015:</t>
  </si>
  <si>
    <t>J/bit</t>
  </si>
  <si>
    <t>Total global CO2e (Gt) without ICT enabling</t>
  </si>
  <si>
    <t>Non-ICT electricity use (TWh)</t>
  </si>
  <si>
    <t>Exa</t>
  </si>
  <si>
    <t>Peta</t>
  </si>
  <si>
    <t>Tera</t>
  </si>
  <si>
    <t>Giga</t>
  </si>
  <si>
    <t>2^10</t>
  </si>
  <si>
    <t>2^20</t>
  </si>
  <si>
    <t>2^30</t>
  </si>
  <si>
    <t xml:space="preserve">Foreseen development </t>
  </si>
  <si>
    <t>necessary for zero power growth</t>
  </si>
  <si>
    <t>predicted development</t>
  </si>
  <si>
    <t>Annual improvement</t>
  </si>
  <si>
    <t>CAGR improvement</t>
  </si>
  <si>
    <t>Smartphones use</t>
  </si>
  <si>
    <t>TVs and peripherals use</t>
  </si>
  <si>
    <t>Smartphone production</t>
  </si>
  <si>
    <t>Production others</t>
  </si>
  <si>
    <t>Consumer devices use, others</t>
  </si>
  <si>
    <t>TV and peripherals production</t>
  </si>
  <si>
    <t>Wearable device production</t>
  </si>
  <si>
    <t>2^40</t>
  </si>
  <si>
    <t>2^50</t>
  </si>
  <si>
    <t>2^60</t>
  </si>
  <si>
    <t>Voicwe</t>
  </si>
  <si>
    <t>Koomeys law</t>
  </si>
  <si>
    <t>Agrell</t>
  </si>
  <si>
    <t>b/J doubles every 1.57 years</t>
  </si>
  <si>
    <t>data generated doubles every 1.5 yers</t>
  </si>
  <si>
    <t>Total global CO2e (Gt) WITH ICT enabling</t>
  </si>
  <si>
    <t>0.78^5=0.2887</t>
  </si>
  <si>
    <t>Million devices in use, *100</t>
  </si>
  <si>
    <r>
      <t>Million produced consumer electronic devices</t>
    </r>
    <r>
      <rPr>
        <sz val="10"/>
        <rFont val="Calibri"/>
        <family val="2"/>
      </rPr>
      <t>×</t>
    </r>
    <r>
      <rPr>
        <sz val="10"/>
        <rFont val="Verdana"/>
      </rPr>
      <t>100</t>
    </r>
  </si>
  <si>
    <r>
      <t>Average traffic (ExaBytes/year)</t>
    </r>
    <r>
      <rPr>
        <sz val="10"/>
        <rFont val="Calibri"/>
        <family val="2"/>
      </rPr>
      <t>×</t>
    </r>
    <r>
      <rPr>
        <sz val="10"/>
        <rFont val="Verdana"/>
      </rPr>
      <t>10</t>
    </r>
  </si>
  <si>
    <r>
      <t xml:space="preserve">Average Wi-Fi traffic (ExaBytes/year) </t>
    </r>
    <r>
      <rPr>
        <sz val="10"/>
        <rFont val="Calibri"/>
        <family val="2"/>
      </rPr>
      <t>×10</t>
    </r>
  </si>
  <si>
    <t>Average Global Data Center IP Traffic (ZettaBytes/year)</t>
  </si>
  <si>
    <t>43% KPN</t>
  </si>
  <si>
    <t xml:space="preserve"> helt digital 58%</t>
  </si>
  <si>
    <t>Average voice traffic (EB/year)</t>
  </si>
  <si>
    <t>Average 2G data traffic (EB/year)</t>
  </si>
  <si>
    <t>Average 3G data traffic (EB/year)</t>
  </si>
  <si>
    <t>Wireless (TWh) access Expected</t>
  </si>
  <si>
    <r>
      <t>Average 4G data traffic (EB/year)</t>
    </r>
    <r>
      <rPr>
        <b/>
        <sz val="10"/>
        <rFont val="Calibri"/>
        <family val="2"/>
      </rPr>
      <t>×10</t>
    </r>
  </si>
  <si>
    <t>Average 5G data traffic (EB/year)×10</t>
  </si>
  <si>
    <t>Share 4G of Wireless TWh, %</t>
  </si>
  <si>
    <t>Share 5G of Wireless TWh, %</t>
  </si>
  <si>
    <t>Energy eff</t>
  </si>
  <si>
    <t>Share of global electricity
 usage in 2015</t>
  </si>
  <si>
    <t>Share of global 
electricity usage in 2025</t>
  </si>
  <si>
    <t>2012 Corcoran</t>
  </si>
  <si>
    <t>2017 Corcoran Best</t>
  </si>
  <si>
    <t>2017 Corcoran Expected</t>
  </si>
  <si>
    <t>2015-2020</t>
  </si>
  <si>
    <t>https://www.cisco.com/c/dam/en/us/solutions/collateral/service-provider/global-cloud-index-gci/white-paper-c11-738085.pdf</t>
  </si>
  <si>
    <t>1 kWh = 3.6 MJ</t>
  </si>
  <si>
    <t>1 TWh = 1e9 kWH</t>
  </si>
  <si>
    <t>bits</t>
  </si>
  <si>
    <t>5300 ExaByte</t>
  </si>
  <si>
    <t>Joules/bit</t>
  </si>
  <si>
    <t>Byte</t>
  </si>
  <si>
    <t>1 Joule</t>
  </si>
  <si>
    <t>1e-6 MJ</t>
  </si>
  <si>
    <t>0.125 Byte</t>
  </si>
  <si>
    <t>Exabyte</t>
  </si>
  <si>
    <t>Joules/electricity, global</t>
  </si>
  <si>
    <t>Joules/year, ICT</t>
  </si>
  <si>
    <t>J/b</t>
  </si>
  <si>
    <t>Expected Case</t>
  </si>
  <si>
    <t>2 billion households</t>
  </si>
  <si>
    <t>1  modem each</t>
  </si>
  <si>
    <t>3 W</t>
  </si>
  <si>
    <t>kWh</t>
  </si>
  <si>
    <t>EI</t>
  </si>
  <si>
    <t>Total Global Electricity Usage (TWh), Best "without" EE</t>
  </si>
  <si>
    <t>Total Global Electricity Usage (TWh), Expected "without" EE</t>
  </si>
  <si>
    <t>Total Global Electricity Usage (TWh), Expected "with" EE</t>
  </si>
  <si>
    <t>Expected Case "without" EE</t>
  </si>
  <si>
    <t>Best Case "without" considerable general energy efficiency gains</t>
  </si>
  <si>
    <t>Expected Case "with" EE</t>
  </si>
  <si>
    <t>Best case "with" EE, 420 TWhrs saved in 2015, 840 in 2016..and 4620 TWh in 2025</t>
  </si>
  <si>
    <t>Total Global Electricity Usage (TWh), Best "with" EE</t>
  </si>
  <si>
    <t>TWh/ExaByte</t>
  </si>
  <si>
    <t>Expected Case without CO2e enabling</t>
  </si>
  <si>
    <t>Best Case without CO2e enabling</t>
  </si>
  <si>
    <t>Expected case</t>
  </si>
  <si>
    <t>Best case</t>
  </si>
  <si>
    <t>Growth rates</t>
  </si>
  <si>
    <t>Desktops 3 years lifetime</t>
  </si>
  <si>
    <t>Efficiency Factor</t>
  </si>
  <si>
    <t># per TV set</t>
  </si>
  <si>
    <r>
      <rPr>
        <b/>
        <i/>
        <sz val="8"/>
        <color rgb="FF0070C0"/>
        <rFont val="Verdana"/>
        <family val="2"/>
      </rPr>
      <t xml:space="preserve">Monthly TOTAL Mobile </t>
    </r>
    <r>
      <rPr>
        <b/>
        <i/>
        <sz val="8"/>
        <rFont val="Verdana"/>
        <family val="2"/>
      </rPr>
      <t>Data Traffic, EB</t>
    </r>
  </si>
  <si>
    <r>
      <rPr>
        <b/>
        <i/>
        <sz val="8"/>
        <color rgb="FF0070C0"/>
        <rFont val="Verdana"/>
        <family val="2"/>
      </rPr>
      <t>Monthly 2G/3G mobile v</t>
    </r>
    <r>
      <rPr>
        <b/>
        <i/>
        <sz val="8"/>
        <rFont val="Verdana"/>
        <family val="2"/>
      </rPr>
      <t>oice Traffic, EB</t>
    </r>
  </si>
  <si>
    <r>
      <rPr>
        <b/>
        <i/>
        <sz val="8"/>
        <color rgb="FF0070C0"/>
        <rFont val="Verdana"/>
        <family val="2"/>
      </rPr>
      <t xml:space="preserve">Monthly 2G Mobile </t>
    </r>
    <r>
      <rPr>
        <b/>
        <i/>
        <sz val="8"/>
        <rFont val="Verdana"/>
        <family val="2"/>
      </rPr>
      <t>Data Traffic, EB</t>
    </r>
  </si>
  <si>
    <r>
      <rPr>
        <b/>
        <i/>
        <sz val="8"/>
        <color rgb="FF0070C0"/>
        <rFont val="Verdana"/>
        <family val="2"/>
      </rPr>
      <t xml:space="preserve">Monthly 3G Mobile </t>
    </r>
    <r>
      <rPr>
        <b/>
        <i/>
        <sz val="8"/>
        <rFont val="Verdana"/>
        <family val="2"/>
      </rPr>
      <t>Data Traffic, EB</t>
    </r>
  </si>
  <si>
    <r>
      <rPr>
        <b/>
        <i/>
        <sz val="8"/>
        <color rgb="FF0070C0"/>
        <rFont val="Verdana"/>
        <family val="2"/>
      </rPr>
      <t xml:space="preserve">Monthly 4G Mobile </t>
    </r>
    <r>
      <rPr>
        <b/>
        <i/>
        <sz val="8"/>
        <rFont val="Verdana"/>
        <family val="2"/>
      </rPr>
      <t>Data Traffic, EB</t>
    </r>
  </si>
  <si>
    <r>
      <rPr>
        <b/>
        <i/>
        <sz val="8"/>
        <color rgb="FF0070C0"/>
        <rFont val="Verdana"/>
        <family val="2"/>
      </rPr>
      <t xml:space="preserve">Monthly 5G Mobile </t>
    </r>
    <r>
      <rPr>
        <b/>
        <i/>
        <sz val="8"/>
        <rFont val="Verdana"/>
        <family val="2"/>
      </rPr>
      <t>Data Traffic, EB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</si>
</sst>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"/>
    <numFmt numFmtId="165" formatCode="0.0"/>
    <numFmt numFmtId="166" formatCode="0.0%"/>
    <numFmt numFmtId="167" formatCode="0.000"/>
    <numFmt numFmtId="168" formatCode="0.E+00"/>
    <numFmt numFmtId="169" formatCode="0.0E+00"/>
    <numFmt numFmtId="170" formatCode="0.000E+00"/>
    <numFmt numFmtId="171" formatCode="0.0000"/>
  </numFmts>
  <fonts count="98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9"/>
      <name val="Verdana"/>
      <family val="2"/>
    </font>
    <font>
      <i/>
      <sz val="9"/>
      <name val="Verdana"/>
      <family val="2"/>
    </font>
    <font>
      <b/>
      <i/>
      <sz val="9"/>
      <name val="Verdana"/>
      <family val="2"/>
    </font>
    <font>
      <sz val="10"/>
      <name val="Arial"/>
      <family val="2"/>
    </font>
    <font>
      <b/>
      <sz val="11"/>
      <name val="Arial"/>
      <family val="2"/>
    </font>
    <font>
      <sz val="13"/>
      <color indexed="20"/>
      <name val="Arial"/>
      <family val="2"/>
    </font>
    <font>
      <b/>
      <sz val="13"/>
      <color indexed="20"/>
      <name val="Arial"/>
      <family val="2"/>
    </font>
    <font>
      <b/>
      <sz val="10"/>
      <color indexed="20"/>
      <name val="Verdana"/>
      <family val="2"/>
    </font>
    <font>
      <b/>
      <sz val="11"/>
      <color indexed="62"/>
      <name val="Calibri"/>
      <family val="2"/>
    </font>
    <font>
      <sz val="10"/>
      <color rgb="FFFF0000"/>
      <name val="Verdana"/>
      <family val="2"/>
    </font>
    <font>
      <b/>
      <sz val="10"/>
      <color rgb="FFFF0000"/>
      <name val="Verdana"/>
      <family val="2"/>
    </font>
    <font>
      <sz val="11"/>
      <name val="Arial"/>
      <family val="2"/>
    </font>
    <font>
      <sz val="12"/>
      <name val="Verdana"/>
      <family val="2"/>
    </font>
    <font>
      <b/>
      <sz val="12"/>
      <name val="Verdana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name val="Verdana"/>
      <family val="2"/>
    </font>
    <font>
      <b/>
      <sz val="10"/>
      <color rgb="FF00B050"/>
      <name val="Verdana"/>
      <family val="2"/>
    </font>
    <font>
      <i/>
      <sz val="11"/>
      <name val="Calibri"/>
      <family val="2"/>
    </font>
    <font>
      <i/>
      <sz val="10"/>
      <name val="Arial"/>
      <family val="2"/>
    </font>
    <font>
      <b/>
      <sz val="12"/>
      <color indexed="8"/>
      <name val="Verdana"/>
      <family val="2"/>
    </font>
    <font>
      <b/>
      <sz val="10"/>
      <color rgb="FF0070C0"/>
      <name val="Verdana"/>
      <family val="2"/>
    </font>
    <font>
      <b/>
      <i/>
      <sz val="10"/>
      <name val="Verdana"/>
      <family val="2"/>
    </font>
    <font>
      <b/>
      <i/>
      <sz val="10"/>
      <color rgb="FF0070C0"/>
      <name val="Verdana"/>
      <family val="2"/>
    </font>
    <font>
      <b/>
      <sz val="10"/>
      <color rgb="FF00B0F0"/>
      <name val="Verdana"/>
      <family val="2"/>
    </font>
    <font>
      <sz val="10"/>
      <color rgb="FFFF0000"/>
      <name val="Arial"/>
      <family val="2"/>
    </font>
    <font>
      <i/>
      <sz val="10"/>
      <color rgb="FFFF0000"/>
      <name val="Verdana"/>
      <family val="2"/>
    </font>
    <font>
      <u/>
      <sz val="10"/>
      <color theme="10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24"/>
      <name val="Verdana"/>
      <family val="2"/>
    </font>
    <font>
      <b/>
      <sz val="26"/>
      <name val="Verdana"/>
      <family val="2"/>
    </font>
    <font>
      <b/>
      <sz val="9"/>
      <color rgb="FFFF0000"/>
      <name val="Verdana"/>
      <family val="2"/>
    </font>
    <font>
      <sz val="12"/>
      <color rgb="FF9C65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name val="Verdana"/>
      <family val="2"/>
    </font>
    <font>
      <sz val="14"/>
      <color rgb="FF9C65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rgb="FF00B050"/>
      <name val="Verdana"/>
      <family val="2"/>
    </font>
    <font>
      <b/>
      <sz val="14"/>
      <name val="Verdana"/>
      <family val="2"/>
    </font>
    <font>
      <b/>
      <i/>
      <sz val="8"/>
      <name val="Verdana"/>
      <family val="2"/>
    </font>
    <font>
      <i/>
      <sz val="8"/>
      <color rgb="FF006100"/>
      <name val="Calibri"/>
      <family val="2"/>
      <scheme val="minor"/>
    </font>
    <font>
      <i/>
      <sz val="8"/>
      <name val="Verdana"/>
      <family val="2"/>
    </font>
    <font>
      <i/>
      <sz val="8"/>
      <color indexed="62"/>
      <name val="Calibri"/>
      <family val="2"/>
    </font>
    <font>
      <i/>
      <sz val="8"/>
      <color indexed="20"/>
      <name val="Verdana"/>
      <family val="2"/>
    </font>
    <font>
      <i/>
      <sz val="8"/>
      <color rgb="FF9C6500"/>
      <name val="Calibri"/>
      <family val="2"/>
      <scheme val="minor"/>
    </font>
    <font>
      <i/>
      <sz val="8"/>
      <color indexed="10"/>
      <name val="Verdana"/>
      <family val="2"/>
    </font>
    <font>
      <b/>
      <i/>
      <sz val="8"/>
      <name val="Calibri"/>
      <family val="2"/>
      <scheme val="minor"/>
    </font>
    <font>
      <i/>
      <sz val="8"/>
      <color rgb="FF9C0006"/>
      <name val="Calibri"/>
      <family val="2"/>
      <scheme val="minor"/>
    </font>
    <font>
      <b/>
      <i/>
      <sz val="8"/>
      <color indexed="8"/>
      <name val="Verdana"/>
      <family val="2"/>
    </font>
    <font>
      <b/>
      <i/>
      <sz val="10"/>
      <color rgb="FF00B050"/>
      <name val="Verdana"/>
      <family val="2"/>
    </font>
    <font>
      <i/>
      <sz val="8"/>
      <name val="Arial"/>
      <family val="2"/>
    </font>
    <font>
      <b/>
      <i/>
      <sz val="8"/>
      <color rgb="FF9C6500"/>
      <name val="Calibri"/>
      <family val="2"/>
      <scheme val="minor"/>
    </font>
    <font>
      <b/>
      <sz val="12"/>
      <color rgb="FFFF0000"/>
      <name val="Verdana"/>
      <family val="2"/>
    </font>
    <font>
      <b/>
      <i/>
      <sz val="12"/>
      <name val="Verdana"/>
      <family val="2"/>
    </font>
    <font>
      <b/>
      <sz val="11"/>
      <color rgb="FFFF0000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6"/>
      <color rgb="FF006100"/>
      <name val="Calibri"/>
      <family val="2"/>
      <scheme val="minor"/>
    </font>
    <font>
      <b/>
      <i/>
      <sz val="16"/>
      <color rgb="FF006100"/>
      <name val="Calibri"/>
      <family val="2"/>
      <scheme val="minor"/>
    </font>
    <font>
      <sz val="16"/>
      <name val="Verdana"/>
      <family val="2"/>
    </font>
    <font>
      <b/>
      <sz val="16"/>
      <name val="Arial"/>
      <family val="2"/>
    </font>
    <font>
      <b/>
      <sz val="16"/>
      <name val="Verdana"/>
      <family val="2"/>
    </font>
    <font>
      <sz val="14"/>
      <color rgb="FFFF000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sz val="11"/>
      <color rgb="FFFF0000"/>
      <name val="Calibri"/>
      <family val="2"/>
      <scheme val="minor"/>
    </font>
    <font>
      <sz val="20"/>
      <color rgb="FFFF0000"/>
      <name val="Verdana"/>
      <family val="2"/>
    </font>
    <font>
      <b/>
      <i/>
      <sz val="8"/>
      <color rgb="FFFF0000"/>
      <name val="Calibri"/>
      <family val="2"/>
      <scheme val="minor"/>
    </font>
    <font>
      <b/>
      <i/>
      <sz val="8"/>
      <name val="Arial"/>
      <family val="2"/>
    </font>
    <font>
      <sz val="10"/>
      <color rgb="FF9C6500"/>
      <name val="Calibri"/>
      <family val="2"/>
      <scheme val="minor"/>
    </font>
    <font>
      <b/>
      <sz val="10"/>
      <name val="Calibri"/>
      <family val="2"/>
      <scheme val="minor"/>
    </font>
    <font>
      <i/>
      <sz val="8"/>
      <color indexed="8"/>
      <name val="Verdana"/>
      <family val="2"/>
    </font>
    <font>
      <i/>
      <sz val="8"/>
      <color indexed="8"/>
      <name val="Arial"/>
      <family val="2"/>
    </font>
    <font>
      <b/>
      <i/>
      <sz val="8"/>
      <color rgb="FF00B050"/>
      <name val="Verdana"/>
      <family val="2"/>
    </font>
    <font>
      <i/>
      <sz val="8"/>
      <color rgb="FFFF0000"/>
      <name val="Verdana"/>
      <family val="2"/>
    </font>
    <font>
      <b/>
      <i/>
      <sz val="8"/>
      <color rgb="FFFF0000"/>
      <name val="Verdana"/>
      <family val="2"/>
    </font>
    <font>
      <i/>
      <sz val="8"/>
      <color indexed="20"/>
      <name val="Arial"/>
      <family val="2"/>
    </font>
    <font>
      <b/>
      <i/>
      <sz val="8"/>
      <color indexed="20"/>
      <name val="Arial"/>
      <family val="2"/>
    </font>
    <font>
      <b/>
      <i/>
      <sz val="8"/>
      <color indexed="62"/>
      <name val="Calibri"/>
      <family val="2"/>
    </font>
    <font>
      <b/>
      <i/>
      <sz val="8"/>
      <color indexed="20"/>
      <name val="Verdana"/>
      <family val="2"/>
    </font>
    <font>
      <b/>
      <i/>
      <sz val="8"/>
      <color rgb="FF0070C0"/>
      <name val="Verdana"/>
      <family val="2"/>
    </font>
    <font>
      <b/>
      <i/>
      <sz val="8"/>
      <color rgb="FF00B0F0"/>
      <name val="Verdana"/>
      <family val="2"/>
    </font>
    <font>
      <b/>
      <i/>
      <sz val="8"/>
      <color rgb="FF006100"/>
      <name val="Calibri"/>
      <family val="2"/>
      <scheme val="minor"/>
    </font>
    <font>
      <b/>
      <i/>
      <sz val="8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46"/>
      </patternFill>
    </fill>
    <fill>
      <patternFill patternType="solid">
        <fgColor rgb="FFE6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10" fillId="0" borderId="0"/>
    <xf numFmtId="0" fontId="2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0" applyNumberFormat="0" applyBorder="0" applyAlignment="0" applyProtection="0"/>
  </cellStyleXfs>
  <cellXfs count="893">
    <xf numFmtId="0" fontId="0" fillId="0" borderId="0" xfId="0"/>
    <xf numFmtId="0" fontId="7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164" fontId="6" fillId="0" borderId="0" xfId="0" applyNumberFormat="1" applyFont="1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4" fillId="0" borderId="0" xfId="0" applyFont="1"/>
    <xf numFmtId="0" fontId="5" fillId="0" borderId="0" xfId="0" applyFont="1" applyAlignment="1">
      <alignment horizontal="right" wrapText="1"/>
    </xf>
    <xf numFmtId="0" fontId="8" fillId="2" borderId="0" xfId="0" applyFont="1" applyFill="1" applyAlignment="1">
      <alignment wrapText="1"/>
    </xf>
    <xf numFmtId="0" fontId="3" fillId="0" borderId="0" xfId="0" applyFont="1"/>
    <xf numFmtId="1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0" fontId="1" fillId="0" borderId="0" xfId="0" applyFont="1"/>
    <xf numFmtId="1" fontId="0" fillId="5" borderId="0" xfId="0" applyNumberFormat="1" applyFill="1"/>
    <xf numFmtId="4" fontId="0" fillId="0" borderId="0" xfId="0" applyNumberFormat="1"/>
    <xf numFmtId="1" fontId="0" fillId="0" borderId="0" xfId="0" applyNumberFormat="1"/>
    <xf numFmtId="0" fontId="4" fillId="6" borderId="0" xfId="0" applyFont="1" applyFill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0" fontId="12" fillId="3" borderId="0" xfId="0" applyFont="1" applyFill="1"/>
    <xf numFmtId="0" fontId="14" fillId="3" borderId="0" xfId="0" applyFont="1" applyFill="1"/>
    <xf numFmtId="0" fontId="15" fillId="0" borderId="0" xfId="0" applyFont="1" applyAlignment="1">
      <alignment wrapText="1"/>
    </xf>
    <xf numFmtId="0" fontId="13" fillId="3" borderId="0" xfId="0" applyFont="1" applyFill="1"/>
    <xf numFmtId="1" fontId="9" fillId="2" borderId="0" xfId="0" applyNumberFormat="1" applyFont="1" applyFill="1" applyAlignment="1">
      <alignment wrapText="1"/>
    </xf>
    <xf numFmtId="0" fontId="18" fillId="7" borderId="0" xfId="0" applyFont="1" applyFill="1" applyBorder="1" applyAlignment="1">
      <alignment wrapText="1"/>
    </xf>
    <xf numFmtId="0" fontId="2" fillId="0" borderId="0" xfId="0" applyFont="1"/>
    <xf numFmtId="0" fontId="10" fillId="0" borderId="0" xfId="2" applyFont="1"/>
    <xf numFmtId="0" fontId="2" fillId="0" borderId="0" xfId="2" applyFont="1"/>
    <xf numFmtId="167" fontId="20" fillId="8" borderId="0" xfId="0" applyNumberFormat="1" applyFont="1" applyFill="1" applyBorder="1"/>
    <xf numFmtId="9" fontId="0" fillId="5" borderId="0" xfId="0" applyNumberFormat="1" applyFill="1"/>
    <xf numFmtId="0" fontId="24" fillId="0" borderId="0" xfId="2" applyFont="1"/>
    <xf numFmtId="0" fontId="10" fillId="0" borderId="0" xfId="1"/>
    <xf numFmtId="2" fontId="10" fillId="0" borderId="0" xfId="1" applyNumberFormat="1"/>
    <xf numFmtId="1" fontId="10" fillId="0" borderId="0" xfId="1" applyNumberFormat="1"/>
    <xf numFmtId="0" fontId="21" fillId="0" borderId="0" xfId="1" applyFont="1"/>
    <xf numFmtId="0" fontId="17" fillId="0" borderId="0" xfId="0" applyFont="1"/>
    <xf numFmtId="0" fontId="25" fillId="0" borderId="0" xfId="0" applyFont="1"/>
    <xf numFmtId="0" fontId="2" fillId="0" borderId="0" xfId="0" applyFont="1" applyFill="1" applyBorder="1"/>
    <xf numFmtId="0" fontId="2" fillId="0" borderId="0" xfId="2" applyFont="1" applyAlignment="1">
      <alignment wrapText="1"/>
    </xf>
    <xf numFmtId="164" fontId="2" fillId="0" borderId="0" xfId="2" applyNumberFormat="1" applyFont="1" applyAlignment="1">
      <alignment wrapText="1"/>
    </xf>
    <xf numFmtId="0" fontId="2" fillId="0" borderId="0" xfId="2" applyFont="1" applyAlignment="1">
      <alignment horizontal="right" wrapText="1"/>
    </xf>
    <xf numFmtId="1" fontId="10" fillId="0" borderId="0" xfId="1" applyNumberFormat="1" applyFill="1"/>
    <xf numFmtId="0" fontId="10" fillId="0" borderId="0" xfId="1" applyFill="1"/>
    <xf numFmtId="2" fontId="2" fillId="0" borderId="0" xfId="2" applyNumberFormat="1" applyFont="1" applyAlignment="1">
      <alignment wrapText="1"/>
    </xf>
    <xf numFmtId="0" fontId="1" fillId="0" borderId="0" xfId="2" applyFont="1" applyAlignment="1">
      <alignment wrapText="1"/>
    </xf>
    <xf numFmtId="2" fontId="2" fillId="0" borderId="0" xfId="2" applyNumberFormat="1" applyFont="1" applyAlignment="1">
      <alignment horizontal="right" wrapText="1"/>
    </xf>
    <xf numFmtId="2" fontId="2" fillId="0" borderId="0" xfId="2" applyNumberFormat="1" applyFont="1"/>
    <xf numFmtId="0" fontId="26" fillId="0" borderId="0" xfId="1" applyFont="1"/>
    <xf numFmtId="1" fontId="27" fillId="0" borderId="0" xfId="1" applyNumberFormat="1" applyFont="1"/>
    <xf numFmtId="0" fontId="27" fillId="0" borderId="0" xfId="1" applyFont="1"/>
    <xf numFmtId="1" fontId="3" fillId="0" borderId="0" xfId="0" applyNumberFormat="1" applyFont="1"/>
    <xf numFmtId="1" fontId="11" fillId="0" borderId="0" xfId="1" applyNumberFormat="1" applyFont="1"/>
    <xf numFmtId="0" fontId="2" fillId="0" borderId="0" xfId="0" applyFont="1" applyAlignment="1">
      <alignment horizontal="right" wrapText="1"/>
    </xf>
    <xf numFmtId="0" fontId="19" fillId="0" borderId="0" xfId="0" applyFont="1"/>
    <xf numFmtId="1" fontId="28" fillId="0" borderId="0" xfId="0" applyNumberFormat="1" applyFont="1"/>
    <xf numFmtId="1" fontId="19" fillId="0" borderId="0" xfId="0" applyNumberFormat="1" applyFont="1"/>
    <xf numFmtId="0" fontId="20" fillId="0" borderId="0" xfId="0" applyFont="1"/>
    <xf numFmtId="1" fontId="20" fillId="0" borderId="0" xfId="0" applyNumberFormat="1" applyFont="1"/>
    <xf numFmtId="165" fontId="2" fillId="0" borderId="0" xfId="2" applyNumberFormat="1" applyFont="1" applyAlignment="1">
      <alignment wrapText="1"/>
    </xf>
    <xf numFmtId="0" fontId="1" fillId="0" borderId="0" xfId="2" applyFont="1" applyAlignment="1">
      <alignment horizontal="center"/>
    </xf>
    <xf numFmtId="0" fontId="10" fillId="0" borderId="0" xfId="2" applyFont="1" applyAlignment="1">
      <alignment wrapText="1"/>
    </xf>
    <xf numFmtId="10" fontId="10" fillId="0" borderId="0" xfId="2" applyNumberFormat="1" applyFont="1" applyAlignment="1">
      <alignment wrapText="1"/>
    </xf>
    <xf numFmtId="0" fontId="24" fillId="0" borderId="0" xfId="2" applyFont="1" applyAlignment="1">
      <alignment wrapText="1"/>
    </xf>
    <xf numFmtId="0" fontId="30" fillId="0" borderId="0" xfId="2" applyFont="1" applyAlignment="1">
      <alignment wrapText="1"/>
    </xf>
    <xf numFmtId="165" fontId="24" fillId="0" borderId="0" xfId="2" applyNumberFormat="1" applyFont="1" applyAlignment="1">
      <alignment wrapText="1"/>
    </xf>
    <xf numFmtId="165" fontId="24" fillId="0" borderId="0" xfId="2" applyNumberFormat="1" applyFont="1"/>
    <xf numFmtId="0" fontId="16" fillId="0" borderId="0" xfId="2" applyFont="1" applyAlignment="1">
      <alignment wrapText="1"/>
    </xf>
    <xf numFmtId="0" fontId="32" fillId="0" borderId="0" xfId="2" applyFont="1" applyAlignment="1">
      <alignment wrapText="1"/>
    </xf>
    <xf numFmtId="165" fontId="16" fillId="0" borderId="0" xfId="2" applyNumberFormat="1" applyFont="1" applyAlignment="1">
      <alignment wrapText="1"/>
    </xf>
    <xf numFmtId="0" fontId="2" fillId="0" borderId="2" xfId="2" applyFont="1" applyBorder="1" applyAlignment="1">
      <alignment wrapText="1"/>
    </xf>
    <xf numFmtId="0" fontId="2" fillId="0" borderId="0" xfId="2" applyFont="1" applyFill="1" applyAlignment="1">
      <alignment wrapText="1"/>
    </xf>
    <xf numFmtId="0" fontId="2" fillId="0" borderId="0" xfId="2" applyFont="1" applyFill="1" applyBorder="1" applyAlignment="1">
      <alignment wrapText="1"/>
    </xf>
    <xf numFmtId="0" fontId="2" fillId="0" borderId="0" xfId="2" applyFont="1" applyFill="1" applyBorder="1"/>
    <xf numFmtId="0" fontId="2" fillId="0" borderId="0" xfId="2" applyFont="1" applyFill="1"/>
    <xf numFmtId="0" fontId="2" fillId="3" borderId="0" xfId="2" applyFont="1" applyFill="1" applyBorder="1" applyAlignment="1">
      <alignment wrapText="1"/>
    </xf>
    <xf numFmtId="1" fontId="2" fillId="3" borderId="0" xfId="2" applyNumberFormat="1" applyFont="1" applyFill="1" applyBorder="1" applyAlignment="1">
      <alignment wrapText="1"/>
    </xf>
    <xf numFmtId="1" fontId="2" fillId="0" borderId="0" xfId="2" applyNumberFormat="1" applyFont="1" applyAlignment="1">
      <alignment wrapText="1"/>
    </xf>
    <xf numFmtId="1" fontId="1" fillId="0" borderId="0" xfId="2" applyNumberFormat="1" applyFont="1" applyFill="1" applyAlignment="1">
      <alignment wrapText="1"/>
    </xf>
    <xf numFmtId="1" fontId="2" fillId="0" borderId="0" xfId="2" applyNumberFormat="1" applyFont="1"/>
    <xf numFmtId="0" fontId="1" fillId="4" borderId="3" xfId="2" applyFont="1" applyFill="1" applyBorder="1" applyAlignment="1">
      <alignment horizontal="right" wrapText="1"/>
    </xf>
    <xf numFmtId="0" fontId="1" fillId="4" borderId="1" xfId="2" applyFont="1" applyFill="1" applyBorder="1" applyAlignment="1">
      <alignment horizontal="right" wrapText="1"/>
    </xf>
    <xf numFmtId="0" fontId="2" fillId="4" borderId="0" xfId="2" applyFont="1" applyFill="1" applyBorder="1" applyAlignment="1">
      <alignment wrapText="1"/>
    </xf>
    <xf numFmtId="0" fontId="2" fillId="4" borderId="1" xfId="2" applyFont="1" applyFill="1" applyBorder="1" applyAlignment="1">
      <alignment wrapText="1"/>
    </xf>
    <xf numFmtId="0" fontId="2" fillId="4" borderId="5" xfId="2" applyFont="1" applyFill="1" applyBorder="1" applyAlignment="1">
      <alignment wrapText="1"/>
    </xf>
    <xf numFmtId="0" fontId="2" fillId="0" borderId="0" xfId="2" applyFont="1" applyBorder="1" applyAlignment="1">
      <alignment wrapText="1"/>
    </xf>
    <xf numFmtId="0" fontId="1" fillId="0" borderId="0" xfId="2" applyFont="1" applyAlignment="1">
      <alignment horizontal="right" wrapText="1"/>
    </xf>
    <xf numFmtId="164" fontId="2" fillId="0" borderId="0" xfId="2" applyNumberFormat="1" applyFont="1"/>
    <xf numFmtId="0" fontId="1" fillId="0" borderId="0" xfId="2" applyFont="1" applyAlignment="1">
      <alignment horizontal="right"/>
    </xf>
    <xf numFmtId="0" fontId="21" fillId="0" borderId="0" xfId="2" applyFont="1" applyAlignment="1">
      <alignment horizontal="center" wrapText="1"/>
    </xf>
    <xf numFmtId="0" fontId="1" fillId="0" borderId="0" xfId="0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16" fillId="0" borderId="0" xfId="0" applyFont="1"/>
    <xf numFmtId="1" fontId="21" fillId="0" borderId="0" xfId="1" applyNumberFormat="1" applyFont="1"/>
    <xf numFmtId="165" fontId="34" fillId="0" borderId="0" xfId="2" applyNumberFormat="1" applyFont="1" applyAlignment="1">
      <alignment wrapText="1"/>
    </xf>
    <xf numFmtId="1" fontId="24" fillId="0" borderId="0" xfId="2" applyNumberFormat="1" applyFont="1"/>
    <xf numFmtId="1" fontId="34" fillId="0" borderId="0" xfId="2" applyNumberFormat="1" applyFont="1"/>
    <xf numFmtId="9" fontId="2" fillId="0" borderId="0" xfId="2" applyNumberFormat="1" applyFont="1" applyAlignment="1">
      <alignment wrapText="1"/>
    </xf>
    <xf numFmtId="9" fontId="2" fillId="0" borderId="0" xfId="2" applyNumberFormat="1" applyFont="1"/>
    <xf numFmtId="0" fontId="27" fillId="0" borderId="0" xfId="1" applyFont="1" applyFill="1"/>
    <xf numFmtId="0" fontId="33" fillId="0" borderId="0" xfId="1" applyFont="1"/>
    <xf numFmtId="1" fontId="1" fillId="0" borderId="0" xfId="2" applyNumberFormat="1" applyFont="1"/>
    <xf numFmtId="0" fontId="17" fillId="0" borderId="0" xfId="2" applyFont="1" applyAlignment="1">
      <alignment horizontal="center"/>
    </xf>
    <xf numFmtId="0" fontId="35" fillId="0" borderId="0" xfId="3" applyAlignment="1" applyProtection="1"/>
    <xf numFmtId="2" fontId="33" fillId="0" borderId="0" xfId="1" applyNumberFormat="1" applyFont="1"/>
    <xf numFmtId="11" fontId="10" fillId="0" borderId="0" xfId="1" applyNumberFormat="1"/>
    <xf numFmtId="1" fontId="24" fillId="0" borderId="0" xfId="0" applyNumberFormat="1" applyFont="1"/>
    <xf numFmtId="1" fontId="1" fillId="0" borderId="0" xfId="2" applyNumberFormat="1" applyFont="1" applyAlignment="1">
      <alignment wrapText="1"/>
    </xf>
    <xf numFmtId="1" fontId="1" fillId="3" borderId="0" xfId="2" applyNumberFormat="1" applyFont="1" applyFill="1" applyBorder="1" applyAlignment="1">
      <alignment wrapText="1"/>
    </xf>
    <xf numFmtId="0" fontId="30" fillId="0" borderId="0" xfId="2" applyFont="1" applyAlignment="1">
      <alignment horizontal="center"/>
    </xf>
    <xf numFmtId="0" fontId="1" fillId="0" borderId="0" xfId="2" applyFont="1"/>
    <xf numFmtId="167" fontId="20" fillId="0" borderId="0" xfId="0" applyNumberFormat="1" applyFont="1" applyFill="1" applyBorder="1"/>
    <xf numFmtId="165" fontId="20" fillId="0" borderId="0" xfId="0" applyNumberFormat="1" applyFont="1" applyFill="1" applyBorder="1"/>
    <xf numFmtId="0" fontId="39" fillId="0" borderId="0" xfId="2" applyFont="1"/>
    <xf numFmtId="0" fontId="40" fillId="0" borderId="0" xfId="2" applyFont="1" applyAlignment="1">
      <alignment horizontal="center"/>
    </xf>
    <xf numFmtId="1" fontId="16" fillId="0" borderId="0" xfId="2" applyNumberFormat="1" applyFont="1" applyAlignment="1">
      <alignment wrapText="1"/>
    </xf>
    <xf numFmtId="0" fontId="41" fillId="0" borderId="0" xfId="0" applyFont="1" applyAlignment="1">
      <alignment horizontal="center"/>
    </xf>
    <xf numFmtId="0" fontId="21" fillId="0" borderId="0" xfId="1" applyFont="1" applyFill="1"/>
    <xf numFmtId="0" fontId="33" fillId="0" borderId="0" xfId="1" applyFont="1" applyFill="1"/>
    <xf numFmtId="1" fontId="27" fillId="0" borderId="0" xfId="1" applyNumberFormat="1" applyFont="1" applyFill="1"/>
    <xf numFmtId="0" fontId="36" fillId="9" borderId="0" xfId="4"/>
    <xf numFmtId="1" fontId="36" fillId="9" borderId="0" xfId="4" applyNumberFormat="1"/>
    <xf numFmtId="1" fontId="37" fillId="10" borderId="0" xfId="5" applyNumberFormat="1"/>
    <xf numFmtId="0" fontId="37" fillId="10" borderId="0" xfId="5"/>
    <xf numFmtId="0" fontId="38" fillId="11" borderId="0" xfId="6"/>
    <xf numFmtId="1" fontId="38" fillId="11" borderId="0" xfId="6" applyNumberFormat="1"/>
    <xf numFmtId="0" fontId="0" fillId="0" borderId="0" xfId="0" applyFill="1"/>
    <xf numFmtId="0" fontId="36" fillId="9" borderId="0" xfId="4" quotePrefix="1"/>
    <xf numFmtId="0" fontId="36" fillId="9" borderId="0" xfId="4" applyBorder="1"/>
    <xf numFmtId="0" fontId="38" fillId="11" borderId="0" xfId="6" applyBorder="1"/>
    <xf numFmtId="0" fontId="37" fillId="10" borderId="0" xfId="5" applyBorder="1"/>
    <xf numFmtId="1" fontId="38" fillId="11" borderId="0" xfId="6" applyNumberFormat="1" applyBorder="1"/>
    <xf numFmtId="0" fontId="45" fillId="9" borderId="0" xfId="4" applyFont="1" applyBorder="1"/>
    <xf numFmtId="0" fontId="46" fillId="0" borderId="0" xfId="0" applyFont="1" applyBorder="1"/>
    <xf numFmtId="0" fontId="47" fillId="11" borderId="0" xfId="6" applyFont="1" applyBorder="1"/>
    <xf numFmtId="166" fontId="47" fillId="11" borderId="0" xfId="6" applyNumberFormat="1" applyFont="1" applyBorder="1"/>
    <xf numFmtId="1" fontId="45" fillId="9" borderId="0" xfId="4" applyNumberFormat="1" applyFont="1" applyBorder="1"/>
    <xf numFmtId="166" fontId="45" fillId="9" borderId="0" xfId="4" applyNumberFormat="1" applyFont="1" applyBorder="1"/>
    <xf numFmtId="1" fontId="47" fillId="11" borderId="0" xfId="6" applyNumberFormat="1" applyFont="1" applyBorder="1"/>
    <xf numFmtId="1" fontId="48" fillId="9" borderId="0" xfId="4" applyNumberFormat="1" applyFont="1" applyBorder="1"/>
    <xf numFmtId="165" fontId="45" fillId="9" borderId="0" xfId="4" applyNumberFormat="1" applyFont="1" applyBorder="1"/>
    <xf numFmtId="165" fontId="47" fillId="11" borderId="0" xfId="6" applyNumberFormat="1" applyFont="1" applyBorder="1"/>
    <xf numFmtId="1" fontId="49" fillId="11" borderId="0" xfId="6" applyNumberFormat="1" applyFont="1" applyBorder="1"/>
    <xf numFmtId="0" fontId="43" fillId="9" borderId="0" xfId="4" applyFont="1"/>
    <xf numFmtId="166" fontId="43" fillId="9" borderId="0" xfId="4" applyNumberFormat="1" applyFont="1"/>
    <xf numFmtId="166" fontId="42" fillId="11" borderId="0" xfId="6" applyNumberFormat="1" applyFont="1"/>
    <xf numFmtId="0" fontId="5" fillId="0" borderId="0" xfId="0" applyFont="1" applyFill="1" applyBorder="1" applyAlignment="1">
      <alignment horizontal="right" wrapText="1"/>
    </xf>
    <xf numFmtId="1" fontId="0" fillId="0" borderId="0" xfId="0" applyNumberFormat="1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10" fillId="0" borderId="0" xfId="0" applyNumberFormat="1" applyFont="1" applyFill="1" applyBorder="1" applyAlignment="1">
      <alignment horizontal="right" indent="2"/>
    </xf>
    <xf numFmtId="9" fontId="0" fillId="0" borderId="0" xfId="0" applyNumberFormat="1" applyFill="1" applyBorder="1"/>
    <xf numFmtId="1" fontId="1" fillId="0" borderId="0" xfId="0" applyNumberFormat="1" applyFont="1" applyFill="1" applyBorder="1"/>
    <xf numFmtId="0" fontId="8" fillId="0" borderId="0" xfId="0" applyFont="1" applyFill="1" applyBorder="1" applyAlignment="1">
      <alignment wrapText="1"/>
    </xf>
    <xf numFmtId="164" fontId="2" fillId="0" borderId="0" xfId="2" applyNumberFormat="1" applyFont="1" applyFill="1"/>
    <xf numFmtId="0" fontId="1" fillId="0" borderId="0" xfId="2" applyFont="1" applyFill="1" applyAlignment="1">
      <alignment horizontal="right" wrapText="1"/>
    </xf>
    <xf numFmtId="166" fontId="2" fillId="0" borderId="0" xfId="2" applyNumberFormat="1" applyFont="1" applyFill="1" applyBorder="1"/>
    <xf numFmtId="2" fontId="2" fillId="0" borderId="0" xfId="2" applyNumberFormat="1" applyFont="1" applyFill="1" applyBorder="1"/>
    <xf numFmtId="0" fontId="6" fillId="0" borderId="0" xfId="0" applyFont="1" applyFill="1" applyAlignment="1">
      <alignment wrapText="1"/>
    </xf>
    <xf numFmtId="0" fontId="36" fillId="9" borderId="8" xfId="4" applyBorder="1" applyAlignment="1">
      <alignment wrapText="1"/>
    </xf>
    <xf numFmtId="166" fontId="36" fillId="9" borderId="9" xfId="4" applyNumberFormat="1" applyBorder="1" applyAlignment="1">
      <alignment wrapText="1"/>
    </xf>
    <xf numFmtId="0" fontId="38" fillId="11" borderId="8" xfId="6" applyBorder="1"/>
    <xf numFmtId="166" fontId="38" fillId="11" borderId="9" xfId="6" applyNumberFormat="1" applyBorder="1"/>
    <xf numFmtId="0" fontId="37" fillId="10" borderId="8" xfId="5" applyBorder="1"/>
    <xf numFmtId="166" fontId="37" fillId="10" borderId="9" xfId="5" applyNumberFormat="1" applyBorder="1"/>
    <xf numFmtId="1" fontId="36" fillId="9" borderId="0" xfId="4" applyNumberFormat="1" applyAlignment="1">
      <alignment wrapText="1"/>
    </xf>
    <xf numFmtId="1" fontId="38" fillId="11" borderId="0" xfId="6" applyNumberFormat="1" applyAlignment="1">
      <alignment wrapText="1"/>
    </xf>
    <xf numFmtId="1" fontId="37" fillId="10" borderId="0" xfId="5" applyNumberFormat="1" applyAlignment="1">
      <alignment wrapText="1"/>
    </xf>
    <xf numFmtId="1" fontId="36" fillId="9" borderId="12" xfId="4" applyNumberFormat="1" applyBorder="1" applyAlignment="1">
      <alignment wrapText="1"/>
    </xf>
    <xf numFmtId="1" fontId="38" fillId="11" borderId="12" xfId="6" applyNumberFormat="1" applyBorder="1" applyAlignment="1">
      <alignment wrapText="1"/>
    </xf>
    <xf numFmtId="1" fontId="37" fillId="10" borderId="12" xfId="5" applyNumberFormat="1" applyBorder="1"/>
    <xf numFmtId="1" fontId="37" fillId="10" borderId="12" xfId="5" applyNumberFormat="1" applyBorder="1" applyAlignment="1">
      <alignment wrapText="1"/>
    </xf>
    <xf numFmtId="0" fontId="36" fillId="9" borderId="4" xfId="4" applyBorder="1" applyAlignment="1">
      <alignment wrapText="1"/>
    </xf>
    <xf numFmtId="0" fontId="36" fillId="9" borderId="4" xfId="4" quotePrefix="1" applyBorder="1" applyAlignment="1">
      <alignment wrapText="1"/>
    </xf>
    <xf numFmtId="1" fontId="36" fillId="9" borderId="4" xfId="4" quotePrefix="1" applyNumberFormat="1" applyBorder="1" applyAlignment="1">
      <alignment wrapText="1"/>
    </xf>
    <xf numFmtId="0" fontId="36" fillId="9" borderId="0" xfId="4" applyBorder="1" applyAlignment="1">
      <alignment wrapText="1"/>
    </xf>
    <xf numFmtId="0" fontId="36" fillId="9" borderId="0" xfId="4" quotePrefix="1" applyBorder="1" applyAlignment="1">
      <alignment wrapText="1"/>
    </xf>
    <xf numFmtId="1" fontId="36" fillId="9" borderId="0" xfId="4" quotePrefix="1" applyNumberFormat="1" applyBorder="1" applyAlignment="1">
      <alignment wrapText="1"/>
    </xf>
    <xf numFmtId="1" fontId="36" fillId="9" borderId="0" xfId="4" applyNumberFormat="1" applyBorder="1" applyAlignment="1">
      <alignment wrapText="1"/>
    </xf>
    <xf numFmtId="0" fontId="36" fillId="9" borderId="2" xfId="4" applyBorder="1"/>
    <xf numFmtId="0" fontId="36" fillId="9" borderId="6" xfId="4" applyBorder="1" applyAlignment="1">
      <alignment wrapText="1"/>
    </xf>
    <xf numFmtId="167" fontId="36" fillId="9" borderId="6" xfId="4" applyNumberFormat="1" applyBorder="1" applyAlignment="1">
      <alignment wrapText="1"/>
    </xf>
    <xf numFmtId="167" fontId="36" fillId="9" borderId="7" xfId="4" applyNumberFormat="1" applyBorder="1"/>
    <xf numFmtId="0" fontId="36" fillId="9" borderId="7" xfId="4" applyBorder="1"/>
    <xf numFmtId="0" fontId="44" fillId="9" borderId="0" xfId="4" applyFont="1" applyBorder="1" applyAlignment="1">
      <alignment wrapText="1"/>
    </xf>
    <xf numFmtId="1" fontId="44" fillId="9" borderId="0" xfId="4" applyNumberFormat="1" applyFont="1" applyBorder="1" applyAlignment="1">
      <alignment wrapText="1"/>
    </xf>
    <xf numFmtId="0" fontId="38" fillId="11" borderId="4" xfId="6" applyBorder="1" applyAlignment="1">
      <alignment wrapText="1"/>
    </xf>
    <xf numFmtId="1" fontId="38" fillId="11" borderId="4" xfId="6" quotePrefix="1" applyNumberFormat="1" applyBorder="1" applyAlignment="1">
      <alignment wrapText="1"/>
    </xf>
    <xf numFmtId="0" fontId="38" fillId="11" borderId="0" xfId="6" applyBorder="1" applyAlignment="1">
      <alignment wrapText="1"/>
    </xf>
    <xf numFmtId="1" fontId="38" fillId="11" borderId="0" xfId="6" applyNumberFormat="1" applyBorder="1" applyAlignment="1">
      <alignment wrapText="1"/>
    </xf>
    <xf numFmtId="0" fontId="38" fillId="11" borderId="6" xfId="6" applyBorder="1" applyAlignment="1">
      <alignment wrapText="1"/>
    </xf>
    <xf numFmtId="0" fontId="50" fillId="11" borderId="4" xfId="6" applyFont="1" applyBorder="1" applyAlignment="1">
      <alignment wrapText="1"/>
    </xf>
    <xf numFmtId="1" fontId="50" fillId="11" borderId="0" xfId="6" applyNumberFormat="1" applyFont="1" applyBorder="1" applyAlignment="1">
      <alignment wrapText="1"/>
    </xf>
    <xf numFmtId="0" fontId="37" fillId="10" borderId="4" xfId="5" applyBorder="1" applyAlignment="1">
      <alignment wrapText="1"/>
    </xf>
    <xf numFmtId="0" fontId="37" fillId="10" borderId="4" xfId="5" quotePrefix="1" applyBorder="1" applyAlignment="1">
      <alignment wrapText="1"/>
    </xf>
    <xf numFmtId="1" fontId="37" fillId="10" borderId="4" xfId="5" quotePrefix="1" applyNumberFormat="1" applyBorder="1" applyAlignment="1">
      <alignment wrapText="1"/>
    </xf>
    <xf numFmtId="0" fontId="37" fillId="10" borderId="0" xfId="5" applyBorder="1" applyAlignment="1">
      <alignment wrapText="1"/>
    </xf>
    <xf numFmtId="1" fontId="37" fillId="10" borderId="0" xfId="5" quotePrefix="1" applyNumberFormat="1" applyBorder="1" applyAlignment="1">
      <alignment wrapText="1"/>
    </xf>
    <xf numFmtId="1" fontId="37" fillId="10" borderId="0" xfId="5" applyNumberFormat="1" applyBorder="1" applyAlignment="1">
      <alignment wrapText="1"/>
    </xf>
    <xf numFmtId="0" fontId="37" fillId="10" borderId="2" xfId="5" applyBorder="1"/>
    <xf numFmtId="0" fontId="37" fillId="10" borderId="6" xfId="5" applyBorder="1" applyAlignment="1">
      <alignment wrapText="1"/>
    </xf>
    <xf numFmtId="167" fontId="37" fillId="10" borderId="6" xfId="5" applyNumberFormat="1" applyBorder="1" applyAlignment="1">
      <alignment wrapText="1"/>
    </xf>
    <xf numFmtId="1" fontId="51" fillId="10" borderId="0" xfId="5" applyNumberFormat="1" applyFont="1" applyBorder="1" applyAlignment="1">
      <alignment wrapText="1"/>
    </xf>
    <xf numFmtId="165" fontId="38" fillId="11" borderId="0" xfId="6" applyNumberFormat="1" applyAlignment="1">
      <alignment wrapText="1"/>
    </xf>
    <xf numFmtId="0" fontId="38" fillId="11" borderId="0" xfId="6" applyAlignment="1">
      <alignment wrapText="1"/>
    </xf>
    <xf numFmtId="165" fontId="36" fillId="9" borderId="0" xfId="4" applyNumberFormat="1" applyAlignment="1">
      <alignment wrapText="1"/>
    </xf>
    <xf numFmtId="0" fontId="36" fillId="9" borderId="0" xfId="4" applyAlignment="1">
      <alignment wrapText="1"/>
    </xf>
    <xf numFmtId="165" fontId="37" fillId="10" borderId="0" xfId="5" applyNumberFormat="1" applyAlignment="1">
      <alignment wrapText="1"/>
    </xf>
    <xf numFmtId="0" fontId="37" fillId="10" borderId="0" xfId="5" applyAlignment="1">
      <alignment wrapText="1"/>
    </xf>
    <xf numFmtId="1" fontId="37" fillId="0" borderId="0" xfId="5" applyNumberFormat="1" applyFill="1"/>
    <xf numFmtId="0" fontId="37" fillId="0" borderId="0" xfId="5" applyFill="1"/>
    <xf numFmtId="0" fontId="38" fillId="0" borderId="11" xfId="6" applyFill="1" applyBorder="1"/>
    <xf numFmtId="166" fontId="38" fillId="0" borderId="0" xfId="6" applyNumberFormat="1" applyFill="1" applyBorder="1"/>
    <xf numFmtId="0" fontId="38" fillId="0" borderId="0" xfId="6" applyFill="1"/>
    <xf numFmtId="0" fontId="37" fillId="0" borderId="11" xfId="5" applyFill="1" applyBorder="1"/>
    <xf numFmtId="166" fontId="37" fillId="0" borderId="0" xfId="5" applyNumberFormat="1" applyFill="1" applyBorder="1"/>
    <xf numFmtId="0" fontId="36" fillId="0" borderId="11" xfId="4" applyFill="1" applyBorder="1"/>
    <xf numFmtId="1" fontId="36" fillId="0" borderId="0" xfId="4" applyNumberFormat="1" applyFill="1" applyBorder="1"/>
    <xf numFmtId="0" fontId="36" fillId="0" borderId="0" xfId="4" applyFill="1"/>
    <xf numFmtId="1" fontId="38" fillId="0" borderId="0" xfId="6" applyNumberFormat="1" applyFill="1" applyBorder="1"/>
    <xf numFmtId="1" fontId="37" fillId="0" borderId="0" xfId="5" applyNumberFormat="1" applyFill="1" applyBorder="1"/>
    <xf numFmtId="167" fontId="36" fillId="0" borderId="11" xfId="4" applyNumberFormat="1" applyFill="1" applyBorder="1"/>
    <xf numFmtId="167" fontId="36" fillId="0" borderId="0" xfId="4" applyNumberFormat="1" applyFill="1"/>
    <xf numFmtId="2" fontId="36" fillId="0" borderId="0" xfId="4" applyNumberFormat="1" applyFill="1" applyBorder="1"/>
    <xf numFmtId="2" fontId="38" fillId="0" borderId="0" xfId="6" applyNumberFormat="1" applyFill="1" applyBorder="1"/>
    <xf numFmtId="0" fontId="50" fillId="0" borderId="11" xfId="6" applyFont="1" applyFill="1" applyBorder="1"/>
    <xf numFmtId="2" fontId="50" fillId="0" borderId="0" xfId="6" applyNumberFormat="1" applyFont="1" applyFill="1" applyBorder="1"/>
    <xf numFmtId="2" fontId="36" fillId="9" borderId="0" xfId="4" applyNumberFormat="1" applyAlignment="1">
      <alignment wrapText="1"/>
    </xf>
    <xf numFmtId="2" fontId="38" fillId="11" borderId="0" xfId="6" applyNumberFormat="1" applyAlignment="1">
      <alignment wrapText="1"/>
    </xf>
    <xf numFmtId="2" fontId="37" fillId="10" borderId="0" xfId="5" applyNumberFormat="1" applyAlignment="1">
      <alignment wrapText="1"/>
    </xf>
    <xf numFmtId="10" fontId="2" fillId="0" borderId="0" xfId="2" applyNumberFormat="1" applyFont="1"/>
    <xf numFmtId="168" fontId="2" fillId="0" borderId="0" xfId="2" applyNumberFormat="1" applyFont="1"/>
    <xf numFmtId="169" fontId="2" fillId="0" borderId="0" xfId="2" applyNumberFormat="1" applyFont="1"/>
    <xf numFmtId="9" fontId="1" fillId="8" borderId="0" xfId="2" applyNumberFormat="1" applyFont="1" applyFill="1"/>
    <xf numFmtId="166" fontId="16" fillId="0" borderId="0" xfId="2" applyNumberFormat="1" applyFont="1" applyAlignment="1">
      <alignment wrapText="1"/>
    </xf>
    <xf numFmtId="1" fontId="16" fillId="0" borderId="0" xfId="2" applyNumberFormat="1" applyFont="1"/>
    <xf numFmtId="11" fontId="2" fillId="0" borderId="0" xfId="2" applyNumberFormat="1" applyFont="1"/>
    <xf numFmtId="11" fontId="36" fillId="9" borderId="0" xfId="4" applyNumberFormat="1" applyAlignment="1">
      <alignment wrapText="1"/>
    </xf>
    <xf numFmtId="11" fontId="38" fillId="11" borderId="0" xfId="6" applyNumberFormat="1" applyAlignment="1">
      <alignment wrapText="1"/>
    </xf>
    <xf numFmtId="169" fontId="37" fillId="10" borderId="0" xfId="5" applyNumberFormat="1" applyAlignment="1">
      <alignment wrapText="1"/>
    </xf>
    <xf numFmtId="167" fontId="2" fillId="0" borderId="0" xfId="2" applyNumberFormat="1" applyFont="1"/>
    <xf numFmtId="3" fontId="36" fillId="9" borderId="10" xfId="4" applyNumberFormat="1" applyBorder="1"/>
    <xf numFmtId="0" fontId="17" fillId="0" borderId="0" xfId="0" applyFont="1" applyBorder="1"/>
    <xf numFmtId="0" fontId="52" fillId="0" borderId="0" xfId="0" applyFont="1" applyBorder="1"/>
    <xf numFmtId="0" fontId="24" fillId="0" borderId="0" xfId="0" applyFont="1" applyBorder="1"/>
    <xf numFmtId="0" fontId="0" fillId="0" borderId="0" xfId="0" applyBorder="1"/>
    <xf numFmtId="0" fontId="1" fillId="0" borderId="0" xfId="0" applyFont="1" applyBorder="1"/>
    <xf numFmtId="0" fontId="7" fillId="0" borderId="0" xfId="0" applyFont="1" applyBorder="1" applyAlignment="1">
      <alignment horizontal="center"/>
    </xf>
    <xf numFmtId="3" fontId="36" fillId="9" borderId="0" xfId="4" applyNumberFormat="1" applyBorder="1"/>
    <xf numFmtId="3" fontId="38" fillId="11" borderId="0" xfId="6" applyNumberFormat="1" applyBorder="1"/>
    <xf numFmtId="3" fontId="2" fillId="0" borderId="0" xfId="5" applyNumberFormat="1" applyFont="1" applyFill="1" applyBorder="1"/>
    <xf numFmtId="3" fontId="53" fillId="0" borderId="0" xfId="5" applyNumberFormat="1" applyFont="1" applyFill="1" applyBorder="1"/>
    <xf numFmtId="167" fontId="0" fillId="0" borderId="0" xfId="0" applyNumberFormat="1"/>
    <xf numFmtId="167" fontId="36" fillId="9" borderId="0" xfId="4" applyNumberFormat="1" applyAlignment="1">
      <alignment wrapText="1"/>
    </xf>
    <xf numFmtId="0" fontId="2" fillId="0" borderId="0" xfId="0" applyFont="1" applyAlignment="1">
      <alignment wrapText="1"/>
    </xf>
    <xf numFmtId="9" fontId="0" fillId="0" borderId="0" xfId="0" applyNumberFormat="1"/>
    <xf numFmtId="167" fontId="0" fillId="8" borderId="0" xfId="0" applyNumberFormat="1" applyFill="1"/>
    <xf numFmtId="0" fontId="2" fillId="8" borderId="0" xfId="2" applyFont="1" applyFill="1"/>
    <xf numFmtId="11" fontId="2" fillId="8" borderId="0" xfId="2" applyNumberFormat="1" applyFont="1" applyFill="1"/>
    <xf numFmtId="0" fontId="2" fillId="0" borderId="0" xfId="0" applyFont="1" applyAlignment="1">
      <alignment horizontal="right"/>
    </xf>
    <xf numFmtId="0" fontId="34" fillId="0" borderId="0" xfId="0" applyFont="1"/>
    <xf numFmtId="167" fontId="16" fillId="0" borderId="0" xfId="2" applyNumberFormat="1" applyFont="1"/>
    <xf numFmtId="0" fontId="16" fillId="0" borderId="0" xfId="2" applyFont="1"/>
    <xf numFmtId="1" fontId="0" fillId="8" borderId="0" xfId="0" applyNumberFormat="1" applyFill="1" applyBorder="1"/>
    <xf numFmtId="2" fontId="0" fillId="0" borderId="0" xfId="0" applyNumberFormat="1" applyFill="1"/>
    <xf numFmtId="2" fontId="33" fillId="8" borderId="0" xfId="1" applyNumberFormat="1" applyFont="1" applyFill="1"/>
    <xf numFmtId="165" fontId="0" fillId="0" borderId="0" xfId="0" applyNumberFormat="1" applyFill="1" applyBorder="1"/>
    <xf numFmtId="167" fontId="0" fillId="0" borderId="0" xfId="0" applyNumberFormat="1" applyFill="1" applyBorder="1"/>
    <xf numFmtId="2" fontId="17" fillId="0" borderId="0" xfId="0" applyNumberFormat="1" applyFont="1" applyFill="1" applyBorder="1"/>
    <xf numFmtId="165" fontId="17" fillId="0" borderId="0" xfId="0" applyNumberFormat="1" applyFont="1" applyFill="1" applyBorder="1"/>
    <xf numFmtId="0" fontId="21" fillId="0" borderId="13" xfId="1" applyFont="1" applyFill="1" applyBorder="1"/>
    <xf numFmtId="0" fontId="21" fillId="0" borderId="10" xfId="1" applyFont="1" applyFill="1" applyBorder="1"/>
    <xf numFmtId="0" fontId="21" fillId="0" borderId="14" xfId="1" applyFont="1" applyFill="1" applyBorder="1"/>
    <xf numFmtId="1" fontId="10" fillId="0" borderId="11" xfId="1" applyNumberFormat="1" applyFill="1" applyBorder="1"/>
    <xf numFmtId="1" fontId="10" fillId="0" borderId="0" xfId="1" applyNumberFormat="1" applyFill="1" applyBorder="1"/>
    <xf numFmtId="1" fontId="10" fillId="0" borderId="15" xfId="1" applyNumberFormat="1" applyFill="1" applyBorder="1"/>
    <xf numFmtId="1" fontId="27" fillId="0" borderId="11" xfId="1" applyNumberFormat="1" applyFont="1" applyFill="1" applyBorder="1"/>
    <xf numFmtId="1" fontId="27" fillId="0" borderId="0" xfId="1" applyNumberFormat="1" applyFont="1" applyFill="1" applyBorder="1"/>
    <xf numFmtId="1" fontId="27" fillId="0" borderId="15" xfId="1" applyNumberFormat="1" applyFont="1" applyFill="1" applyBorder="1"/>
    <xf numFmtId="1" fontId="36" fillId="9" borderId="11" xfId="4" applyNumberFormat="1" applyBorder="1"/>
    <xf numFmtId="1" fontId="36" fillId="9" borderId="0" xfId="4" applyNumberFormat="1" applyBorder="1"/>
    <xf numFmtId="1" fontId="36" fillId="9" borderId="15" xfId="4" applyNumberFormat="1" applyBorder="1"/>
    <xf numFmtId="0" fontId="27" fillId="0" borderId="11" xfId="1" applyFont="1" applyFill="1" applyBorder="1"/>
    <xf numFmtId="0" fontId="27" fillId="0" borderId="0" xfId="1" applyFont="1" applyFill="1" applyBorder="1"/>
    <xf numFmtId="0" fontId="27" fillId="0" borderId="15" xfId="1" applyFont="1" applyFill="1" applyBorder="1"/>
    <xf numFmtId="1" fontId="38" fillId="11" borderId="11" xfId="6" applyNumberFormat="1" applyBorder="1"/>
    <xf numFmtId="1" fontId="38" fillId="11" borderId="15" xfId="6" applyNumberFormat="1" applyBorder="1"/>
    <xf numFmtId="1" fontId="37" fillId="10" borderId="11" xfId="5" applyNumberFormat="1" applyBorder="1"/>
    <xf numFmtId="1" fontId="37" fillId="10" borderId="0" xfId="5" applyNumberFormat="1" applyBorder="1"/>
    <xf numFmtId="1" fontId="37" fillId="10" borderId="15" xfId="5" applyNumberFormat="1" applyBorder="1"/>
    <xf numFmtId="0" fontId="21" fillId="0" borderId="11" xfId="1" applyFont="1" applyBorder="1"/>
    <xf numFmtId="0" fontId="21" fillId="0" borderId="0" xfId="1" applyFont="1" applyBorder="1"/>
    <xf numFmtId="0" fontId="21" fillId="0" borderId="15" xfId="1" applyFont="1" applyBorder="1"/>
    <xf numFmtId="1" fontId="27" fillId="0" borderId="11" xfId="1" applyNumberFormat="1" applyFont="1" applyBorder="1"/>
    <xf numFmtId="1" fontId="27" fillId="0" borderId="0" xfId="1" applyNumberFormat="1" applyFont="1" applyBorder="1"/>
    <xf numFmtId="1" fontId="27" fillId="0" borderId="15" xfId="1" applyNumberFormat="1" applyFont="1" applyBorder="1"/>
    <xf numFmtId="1" fontId="10" fillId="0" borderId="11" xfId="1" applyNumberFormat="1" applyBorder="1"/>
    <xf numFmtId="1" fontId="10" fillId="0" borderId="0" xfId="1" applyNumberFormat="1" applyBorder="1"/>
    <xf numFmtId="1" fontId="10" fillId="0" borderId="15" xfId="1" applyNumberFormat="1" applyBorder="1"/>
    <xf numFmtId="0" fontId="10" fillId="0" borderId="11" xfId="1" applyBorder="1"/>
    <xf numFmtId="0" fontId="10" fillId="0" borderId="0" xfId="1" applyBorder="1"/>
    <xf numFmtId="0" fontId="10" fillId="0" borderId="15" xfId="1" applyBorder="1"/>
    <xf numFmtId="1" fontId="37" fillId="10" borderId="16" xfId="5" applyNumberFormat="1" applyBorder="1"/>
    <xf numFmtId="1" fontId="37" fillId="10" borderId="17" xfId="5" applyNumberFormat="1" applyBorder="1"/>
    <xf numFmtId="1" fontId="37" fillId="10" borderId="18" xfId="5" applyNumberFormat="1" applyBorder="1"/>
    <xf numFmtId="0" fontId="1" fillId="0" borderId="13" xfId="2" applyFont="1" applyBorder="1" applyAlignment="1">
      <alignment horizontal="center"/>
    </xf>
    <xf numFmtId="0" fontId="1" fillId="0" borderId="10" xfId="2" applyFont="1" applyBorder="1" applyAlignment="1">
      <alignment horizontal="center"/>
    </xf>
    <xf numFmtId="0" fontId="1" fillId="0" borderId="14" xfId="2" applyFont="1" applyBorder="1" applyAlignment="1">
      <alignment horizontal="center"/>
    </xf>
    <xf numFmtId="1" fontId="36" fillId="9" borderId="8" xfId="4" applyNumberFormat="1" applyBorder="1" applyAlignment="1">
      <alignment wrapText="1"/>
    </xf>
    <xf numFmtId="1" fontId="36" fillId="9" borderId="20" xfId="4" applyNumberFormat="1" applyBorder="1" applyAlignment="1">
      <alignment wrapText="1"/>
    </xf>
    <xf numFmtId="1" fontId="38" fillId="11" borderId="21" xfId="6" applyNumberFormat="1" applyBorder="1" applyAlignment="1">
      <alignment wrapText="1"/>
    </xf>
    <xf numFmtId="1" fontId="36" fillId="9" borderId="22" xfId="4" applyNumberFormat="1" applyBorder="1" applyAlignment="1">
      <alignment wrapText="1"/>
    </xf>
    <xf numFmtId="1" fontId="36" fillId="9" borderId="23" xfId="4" applyNumberFormat="1" applyBorder="1" applyAlignment="1">
      <alignment wrapText="1"/>
    </xf>
    <xf numFmtId="1" fontId="36" fillId="9" borderId="24" xfId="4" applyNumberFormat="1" applyBorder="1" applyAlignment="1">
      <alignment wrapText="1"/>
    </xf>
    <xf numFmtId="0" fontId="45" fillId="9" borderId="13" xfId="4" applyFont="1" applyBorder="1"/>
    <xf numFmtId="0" fontId="45" fillId="9" borderId="10" xfId="4" applyFont="1" applyBorder="1"/>
    <xf numFmtId="0" fontId="45" fillId="9" borderId="14" xfId="4" applyFont="1" applyBorder="1"/>
    <xf numFmtId="0" fontId="45" fillId="9" borderId="11" xfId="4" applyFont="1" applyBorder="1"/>
    <xf numFmtId="9" fontId="45" fillId="9" borderId="15" xfId="4" applyNumberFormat="1" applyFont="1" applyBorder="1"/>
    <xf numFmtId="0" fontId="45" fillId="9" borderId="15" xfId="4" applyFont="1" applyBorder="1"/>
    <xf numFmtId="166" fontId="45" fillId="9" borderId="16" xfId="4" applyNumberFormat="1" applyFont="1" applyBorder="1"/>
    <xf numFmtId="1" fontId="48" fillId="9" borderId="17" xfId="4" applyNumberFormat="1" applyFont="1" applyBorder="1"/>
    <xf numFmtId="0" fontId="45" fillId="9" borderId="18" xfId="4" applyFont="1" applyBorder="1"/>
    <xf numFmtId="0" fontId="16" fillId="0" borderId="0" xfId="0" applyFont="1" applyAlignment="1">
      <alignment horizontal="right"/>
    </xf>
    <xf numFmtId="0" fontId="7" fillId="0" borderId="13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3" fontId="38" fillId="11" borderId="11" xfId="6" applyNumberFormat="1" applyBorder="1"/>
    <xf numFmtId="3" fontId="38" fillId="11" borderId="15" xfId="6" applyNumberFormat="1" applyBorder="1"/>
    <xf numFmtId="3" fontId="37" fillId="10" borderId="11" xfId="5" applyNumberFormat="1" applyBorder="1"/>
    <xf numFmtId="0" fontId="4" fillId="0" borderId="10" xfId="0" applyFont="1" applyBorder="1"/>
    <xf numFmtId="0" fontId="4" fillId="0" borderId="14" xfId="0" applyFont="1" applyBorder="1"/>
    <xf numFmtId="1" fontId="43" fillId="9" borderId="11" xfId="4" applyNumberFormat="1" applyFont="1" applyBorder="1"/>
    <xf numFmtId="1" fontId="43" fillId="9" borderId="0" xfId="4" applyNumberFormat="1" applyFont="1" applyBorder="1"/>
    <xf numFmtId="1" fontId="43" fillId="9" borderId="15" xfId="4" applyNumberFormat="1" applyFont="1" applyBorder="1"/>
    <xf numFmtId="2" fontId="43" fillId="9" borderId="11" xfId="4" applyNumberFormat="1" applyFont="1" applyBorder="1"/>
    <xf numFmtId="2" fontId="43" fillId="9" borderId="0" xfId="4" applyNumberFormat="1" applyFont="1" applyBorder="1"/>
    <xf numFmtId="2" fontId="43" fillId="9" borderId="15" xfId="4" applyNumberFormat="1" applyFont="1" applyBorder="1"/>
    <xf numFmtId="1" fontId="0" fillId="0" borderId="11" xfId="0" applyNumberFormat="1" applyFill="1" applyBorder="1"/>
    <xf numFmtId="1" fontId="0" fillId="0" borderId="0" xfId="0" applyNumberFormat="1" applyBorder="1"/>
    <xf numFmtId="1" fontId="0" fillId="0" borderId="15" xfId="0" applyNumberFormat="1" applyBorder="1"/>
    <xf numFmtId="1" fontId="20" fillId="0" borderId="16" xfId="0" applyNumberFormat="1" applyFont="1" applyBorder="1"/>
    <xf numFmtId="0" fontId="54" fillId="0" borderId="0" xfId="0" applyFont="1"/>
    <xf numFmtId="1" fontId="55" fillId="9" borderId="0" xfId="4" applyNumberFormat="1" applyFont="1"/>
    <xf numFmtId="2" fontId="55" fillId="9" borderId="0" xfId="4" applyNumberFormat="1" applyFont="1"/>
    <xf numFmtId="1" fontId="56" fillId="0" borderId="0" xfId="0" applyNumberFormat="1" applyFont="1"/>
    <xf numFmtId="1" fontId="54" fillId="0" borderId="0" xfId="0" applyNumberFormat="1" applyFont="1"/>
    <xf numFmtId="0" fontId="57" fillId="0" borderId="0" xfId="0" applyFont="1" applyAlignment="1">
      <alignment wrapText="1"/>
    </xf>
    <xf numFmtId="0" fontId="56" fillId="0" borderId="0" xfId="0" applyFont="1"/>
    <xf numFmtId="0" fontId="56" fillId="0" borderId="0" xfId="0" applyFont="1" applyFill="1"/>
    <xf numFmtId="0" fontId="58" fillId="3" borderId="0" xfId="0" applyFont="1" applyFill="1"/>
    <xf numFmtId="1" fontId="59" fillId="11" borderId="0" xfId="6" applyNumberFormat="1" applyFont="1" applyAlignment="1">
      <alignment horizontal="right"/>
    </xf>
    <xf numFmtId="0" fontId="60" fillId="3" borderId="0" xfId="0" applyFont="1" applyFill="1"/>
    <xf numFmtId="0" fontId="54" fillId="3" borderId="0" xfId="0" applyFont="1" applyFill="1"/>
    <xf numFmtId="1" fontId="61" fillId="11" borderId="0" xfId="6" applyNumberFormat="1" applyFont="1" applyAlignment="1">
      <alignment horizontal="right"/>
    </xf>
    <xf numFmtId="1" fontId="62" fillId="10" borderId="0" xfId="5" applyNumberFormat="1" applyFont="1"/>
    <xf numFmtId="1" fontId="63" fillId="0" borderId="0" xfId="0" applyNumberFormat="1" applyFont="1"/>
    <xf numFmtId="1" fontId="56" fillId="0" borderId="0" xfId="0" applyNumberFormat="1" applyFont="1" applyFill="1"/>
    <xf numFmtId="1" fontId="0" fillId="0" borderId="16" xfId="0" applyNumberFormat="1" applyBorder="1"/>
    <xf numFmtId="1" fontId="0" fillId="0" borderId="17" xfId="0" applyNumberFormat="1" applyBorder="1"/>
    <xf numFmtId="1" fontId="0" fillId="0" borderId="18" xfId="0" applyNumberFormat="1" applyBorder="1"/>
    <xf numFmtId="0" fontId="1" fillId="0" borderId="13" xfId="0" applyFont="1" applyFill="1" applyBorder="1"/>
    <xf numFmtId="0" fontId="1" fillId="0" borderId="10" xfId="0" applyFont="1" applyBorder="1"/>
    <xf numFmtId="0" fontId="1" fillId="0" borderId="10" xfId="0" applyFont="1" applyFill="1" applyBorder="1"/>
    <xf numFmtId="0" fontId="20" fillId="0" borderId="13" xfId="0" applyFont="1" applyFill="1" applyBorder="1"/>
    <xf numFmtId="0" fontId="20" fillId="0" borderId="10" xfId="0" applyFont="1" applyFill="1" applyBorder="1"/>
    <xf numFmtId="0" fontId="20" fillId="0" borderId="10" xfId="0" applyFont="1" applyBorder="1"/>
    <xf numFmtId="0" fontId="20" fillId="0" borderId="14" xfId="0" applyFont="1" applyBorder="1"/>
    <xf numFmtId="0" fontId="17" fillId="0" borderId="13" xfId="0" applyFont="1" applyBorder="1"/>
    <xf numFmtId="0" fontId="17" fillId="0" borderId="10" xfId="0" applyFont="1" applyBorder="1"/>
    <xf numFmtId="0" fontId="25" fillId="0" borderId="10" xfId="0" applyFont="1" applyBorder="1"/>
    <xf numFmtId="0" fontId="25" fillId="0" borderId="14" xfId="0" applyFont="1" applyBorder="1"/>
    <xf numFmtId="1" fontId="0" fillId="0" borderId="11" xfId="0" applyNumberFormat="1" applyBorder="1"/>
    <xf numFmtId="1" fontId="10" fillId="0" borderId="11" xfId="0" applyNumberFormat="1" applyFont="1" applyFill="1" applyBorder="1" applyAlignment="1">
      <alignment horizontal="right" indent="2"/>
    </xf>
    <xf numFmtId="1" fontId="21" fillId="0" borderId="15" xfId="0" applyNumberFormat="1" applyFont="1" applyFill="1" applyBorder="1" applyAlignment="1">
      <alignment horizontal="right" indent="2"/>
    </xf>
    <xf numFmtId="0" fontId="64" fillId="0" borderId="0" xfId="0" applyFont="1"/>
    <xf numFmtId="0" fontId="24" fillId="0" borderId="0" xfId="0" applyFont="1" applyAlignment="1">
      <alignment horizontal="right" wrapText="1"/>
    </xf>
    <xf numFmtId="1" fontId="27" fillId="0" borderId="0" xfId="0" applyNumberFormat="1" applyFont="1" applyFill="1" applyBorder="1" applyAlignment="1">
      <alignment horizontal="right" indent="2"/>
    </xf>
    <xf numFmtId="0" fontId="4" fillId="0" borderId="13" xfId="0" applyFont="1" applyFill="1" applyBorder="1"/>
    <xf numFmtId="0" fontId="4" fillId="0" borderId="10" xfId="0" applyFont="1" applyFill="1" applyBorder="1"/>
    <xf numFmtId="0" fontId="4" fillId="0" borderId="14" xfId="0" applyFont="1" applyFill="1" applyBorder="1"/>
    <xf numFmtId="1" fontId="10" fillId="0" borderId="15" xfId="0" applyNumberFormat="1" applyFont="1" applyFill="1" applyBorder="1" applyAlignment="1">
      <alignment horizontal="right" indent="2"/>
    </xf>
    <xf numFmtId="1" fontId="21" fillId="8" borderId="15" xfId="0" applyNumberFormat="1" applyFont="1" applyFill="1" applyBorder="1" applyAlignment="1">
      <alignment horizontal="right" indent="2"/>
    </xf>
    <xf numFmtId="1" fontId="10" fillId="8" borderId="15" xfId="0" applyNumberFormat="1" applyFont="1" applyFill="1" applyBorder="1" applyAlignment="1">
      <alignment horizontal="right" indent="2"/>
    </xf>
    <xf numFmtId="0" fontId="0" fillId="0" borderId="11" xfId="0" applyFill="1" applyBorder="1"/>
    <xf numFmtId="0" fontId="0" fillId="0" borderId="15" xfId="0" applyFill="1" applyBorder="1"/>
    <xf numFmtId="1" fontId="0" fillId="0" borderId="15" xfId="0" applyNumberFormat="1" applyFill="1" applyBorder="1"/>
    <xf numFmtId="2" fontId="0" fillId="8" borderId="15" xfId="0" applyNumberFormat="1" applyFill="1" applyBorder="1"/>
    <xf numFmtId="167" fontId="0" fillId="0" borderId="11" xfId="0" applyNumberFormat="1" applyFill="1" applyBorder="1"/>
    <xf numFmtId="165" fontId="0" fillId="0" borderId="15" xfId="0" applyNumberFormat="1" applyFill="1" applyBorder="1"/>
    <xf numFmtId="1" fontId="1" fillId="0" borderId="11" xfId="0" applyNumberFormat="1" applyFont="1" applyFill="1" applyBorder="1"/>
    <xf numFmtId="1" fontId="1" fillId="0" borderId="15" xfId="0" applyNumberFormat="1" applyFont="1" applyFill="1" applyBorder="1"/>
    <xf numFmtId="3" fontId="53" fillId="0" borderId="16" xfId="5" applyNumberFormat="1" applyFont="1" applyFill="1" applyBorder="1"/>
    <xf numFmtId="0" fontId="54" fillId="0" borderId="0" xfId="0" applyFont="1" applyFill="1" applyBorder="1"/>
    <xf numFmtId="1" fontId="65" fillId="0" borderId="0" xfId="0" applyNumberFormat="1" applyFont="1" applyFill="1" applyBorder="1" applyAlignment="1">
      <alignment horizontal="right" indent="2"/>
    </xf>
    <xf numFmtId="1" fontId="65" fillId="8" borderId="0" xfId="0" applyNumberFormat="1" applyFont="1" applyFill="1" applyBorder="1" applyAlignment="1">
      <alignment horizontal="right" indent="2"/>
    </xf>
    <xf numFmtId="0" fontId="56" fillId="0" borderId="0" xfId="0" applyFont="1" applyFill="1" applyBorder="1"/>
    <xf numFmtId="1" fontId="56" fillId="0" borderId="0" xfId="0" applyNumberFormat="1" applyFont="1" applyFill="1" applyBorder="1"/>
    <xf numFmtId="165" fontId="56" fillId="0" borderId="0" xfId="0" applyNumberFormat="1" applyFont="1" applyFill="1" applyBorder="1"/>
    <xf numFmtId="167" fontId="56" fillId="0" borderId="0" xfId="0" applyNumberFormat="1" applyFont="1" applyFill="1" applyBorder="1"/>
    <xf numFmtId="1" fontId="54" fillId="0" borderId="0" xfId="0" applyNumberFormat="1" applyFont="1" applyFill="1" applyBorder="1"/>
    <xf numFmtId="3" fontId="54" fillId="0" borderId="0" xfId="5" applyNumberFormat="1" applyFont="1" applyFill="1" applyBorder="1"/>
    <xf numFmtId="2" fontId="56" fillId="0" borderId="0" xfId="0" applyNumberFormat="1" applyFont="1" applyFill="1" applyBorder="1"/>
    <xf numFmtId="0" fontId="54" fillId="0" borderId="0" xfId="0" applyFont="1" applyBorder="1"/>
    <xf numFmtId="0" fontId="54" fillId="0" borderId="0" xfId="0" applyFont="1" applyBorder="1" applyAlignment="1">
      <alignment horizontal="center"/>
    </xf>
    <xf numFmtId="166" fontId="59" fillId="0" borderId="0" xfId="6" applyNumberFormat="1" applyFont="1" applyFill="1" applyBorder="1"/>
    <xf numFmtId="166" fontId="62" fillId="0" borderId="0" xfId="5" applyNumberFormat="1" applyFont="1" applyFill="1" applyBorder="1"/>
    <xf numFmtId="1" fontId="55" fillId="0" borderId="0" xfId="4" applyNumberFormat="1" applyFont="1" applyFill="1" applyBorder="1"/>
    <xf numFmtId="1" fontId="59" fillId="0" borderId="0" xfId="6" applyNumberFormat="1" applyFont="1" applyFill="1" applyBorder="1"/>
    <xf numFmtId="1" fontId="62" fillId="0" borderId="0" xfId="5" applyNumberFormat="1" applyFont="1" applyFill="1" applyBorder="1"/>
    <xf numFmtId="2" fontId="55" fillId="0" borderId="0" xfId="4" applyNumberFormat="1" applyFont="1" applyFill="1" applyBorder="1"/>
    <xf numFmtId="2" fontId="59" fillId="0" borderId="0" xfId="6" applyNumberFormat="1" applyFont="1" applyFill="1" applyBorder="1"/>
    <xf numFmtId="2" fontId="66" fillId="0" borderId="0" xfId="6" applyNumberFormat="1" applyFont="1" applyFill="1" applyBorder="1"/>
    <xf numFmtId="1" fontId="2" fillId="0" borderId="0" xfId="0" applyNumberFormat="1" applyFont="1"/>
    <xf numFmtId="2" fontId="20" fillId="0" borderId="0" xfId="0" applyNumberFormat="1" applyFont="1"/>
    <xf numFmtId="2" fontId="2" fillId="0" borderId="0" xfId="0" applyNumberFormat="1" applyFont="1"/>
    <xf numFmtId="167" fontId="2" fillId="0" borderId="0" xfId="0" applyNumberFormat="1" applyFont="1"/>
    <xf numFmtId="0" fontId="56" fillId="0" borderId="0" xfId="0" applyFont="1" applyAlignment="1">
      <alignment wrapText="1"/>
    </xf>
    <xf numFmtId="0" fontId="54" fillId="0" borderId="0" xfId="0" applyFont="1" applyAlignment="1">
      <alignment horizontal="center"/>
    </xf>
    <xf numFmtId="0" fontId="56" fillId="0" borderId="0" xfId="2" applyFont="1" applyAlignment="1">
      <alignment wrapText="1"/>
    </xf>
    <xf numFmtId="1" fontId="55" fillId="9" borderId="12" xfId="4" applyNumberFormat="1" applyFont="1" applyBorder="1" applyAlignment="1">
      <alignment wrapText="1"/>
    </xf>
    <xf numFmtId="1" fontId="55" fillId="9" borderId="8" xfId="4" applyNumberFormat="1" applyFont="1" applyBorder="1" applyAlignment="1">
      <alignment wrapText="1"/>
    </xf>
    <xf numFmtId="1" fontId="59" fillId="11" borderId="12" xfId="6" applyNumberFormat="1" applyFont="1" applyBorder="1" applyAlignment="1">
      <alignment wrapText="1"/>
    </xf>
    <xf numFmtId="1" fontId="62" fillId="10" borderId="12" xfId="5" applyNumberFormat="1" applyFont="1" applyBorder="1" applyAlignment="1">
      <alignment wrapText="1"/>
    </xf>
    <xf numFmtId="0" fontId="20" fillId="0" borderId="13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67" fillId="0" borderId="10" xfId="0" applyFont="1" applyBorder="1" applyAlignment="1">
      <alignment horizontal="center"/>
    </xf>
    <xf numFmtId="0" fontId="67" fillId="0" borderId="14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 applyBorder="1"/>
    <xf numFmtId="0" fontId="19" fillId="0" borderId="15" xfId="0" applyFont="1" applyBorder="1"/>
    <xf numFmtId="1" fontId="43" fillId="9" borderId="28" xfId="4" applyNumberFormat="1" applyFont="1" applyBorder="1" applyAlignment="1">
      <alignment wrapText="1"/>
    </xf>
    <xf numFmtId="1" fontId="43" fillId="9" borderId="29" xfId="4" applyNumberFormat="1" applyFont="1" applyBorder="1" applyAlignment="1">
      <alignment wrapText="1"/>
    </xf>
    <xf numFmtId="1" fontId="43" fillId="9" borderId="30" xfId="4" applyNumberFormat="1" applyFont="1" applyBorder="1" applyAlignment="1">
      <alignment wrapText="1"/>
    </xf>
    <xf numFmtId="167" fontId="1" fillId="8" borderId="0" xfId="0" applyNumberFormat="1" applyFont="1" applyFill="1"/>
    <xf numFmtId="11" fontId="20" fillId="0" borderId="0" xfId="0" applyNumberFormat="1" applyFont="1"/>
    <xf numFmtId="1" fontId="20" fillId="8" borderId="0" xfId="0" applyNumberFormat="1" applyFont="1" applyFill="1"/>
    <xf numFmtId="166" fontId="48" fillId="9" borderId="9" xfId="4" applyNumberFormat="1" applyFont="1" applyBorder="1" applyAlignment="1">
      <alignment wrapText="1"/>
    </xf>
    <xf numFmtId="2" fontId="10" fillId="0" borderId="16" xfId="1" applyNumberFormat="1" applyBorder="1"/>
    <xf numFmtId="2" fontId="10" fillId="0" borderId="17" xfId="1" applyNumberFormat="1" applyBorder="1"/>
    <xf numFmtId="2" fontId="33" fillId="0" borderId="17" xfId="1" applyNumberFormat="1" applyFont="1" applyBorder="1"/>
    <xf numFmtId="2" fontId="10" fillId="0" borderId="18" xfId="1" applyNumberFormat="1" applyBorder="1"/>
    <xf numFmtId="165" fontId="10" fillId="0" borderId="0" xfId="1" applyNumberFormat="1"/>
    <xf numFmtId="9" fontId="10" fillId="0" borderId="0" xfId="1" applyNumberFormat="1"/>
    <xf numFmtId="11" fontId="3" fillId="0" borderId="0" xfId="0" applyNumberFormat="1" applyFont="1"/>
    <xf numFmtId="11" fontId="0" fillId="0" borderId="0" xfId="0" applyNumberFormat="1" applyBorder="1"/>
    <xf numFmtId="0" fontId="2" fillId="0" borderId="0" xfId="2" applyFont="1" applyBorder="1"/>
    <xf numFmtId="1" fontId="2" fillId="0" borderId="0" xfId="2" applyNumberFormat="1" applyFont="1" applyBorder="1"/>
    <xf numFmtId="3" fontId="36" fillId="9" borderId="16" xfId="4" applyNumberFormat="1" applyBorder="1"/>
    <xf numFmtId="3" fontId="36" fillId="9" borderId="17" xfId="4" applyNumberFormat="1" applyBorder="1"/>
    <xf numFmtId="170" fontId="2" fillId="0" borderId="0" xfId="2" applyNumberFormat="1" applyFont="1"/>
    <xf numFmtId="167" fontId="2" fillId="0" borderId="0" xfId="2" applyNumberFormat="1" applyFont="1" applyAlignment="1">
      <alignment wrapText="1"/>
    </xf>
    <xf numFmtId="171" fontId="2" fillId="0" borderId="0" xfId="2" applyNumberFormat="1" applyFont="1" applyAlignment="1">
      <alignment wrapText="1"/>
    </xf>
    <xf numFmtId="165" fontId="0" fillId="0" borderId="11" xfId="0" applyNumberFormat="1" applyFill="1" applyBorder="1"/>
    <xf numFmtId="0" fontId="47" fillId="11" borderId="13" xfId="6" applyFont="1" applyBorder="1"/>
    <xf numFmtId="0" fontId="47" fillId="11" borderId="10" xfId="6" applyFont="1" applyBorder="1"/>
    <xf numFmtId="0" fontId="47" fillId="11" borderId="14" xfId="6" applyFont="1" applyBorder="1"/>
    <xf numFmtId="0" fontId="38" fillId="11" borderId="11" xfId="6" applyBorder="1"/>
    <xf numFmtId="9" fontId="47" fillId="11" borderId="15" xfId="6" applyNumberFormat="1" applyFont="1" applyBorder="1"/>
    <xf numFmtId="0" fontId="47" fillId="11" borderId="11" xfId="6" applyFont="1" applyBorder="1"/>
    <xf numFmtId="0" fontId="47" fillId="11" borderId="15" xfId="6" applyFont="1" applyBorder="1"/>
    <xf numFmtId="166" fontId="47" fillId="11" borderId="16" xfId="6" applyNumberFormat="1" applyFont="1" applyBorder="1"/>
    <xf numFmtId="2" fontId="47" fillId="11" borderId="0" xfId="6" applyNumberFormat="1" applyFont="1" applyBorder="1"/>
    <xf numFmtId="2" fontId="49" fillId="11" borderId="0" xfId="6" applyNumberFormat="1" applyFont="1" applyBorder="1"/>
    <xf numFmtId="2" fontId="49" fillId="11" borderId="17" xfId="6" applyNumberFormat="1" applyFont="1" applyBorder="1"/>
    <xf numFmtId="2" fontId="16" fillId="0" borderId="0" xfId="0" applyNumberFormat="1" applyFont="1"/>
    <xf numFmtId="0" fontId="1" fillId="8" borderId="13" xfId="2" applyFont="1" applyFill="1" applyBorder="1" applyAlignment="1">
      <alignment horizontal="center"/>
    </xf>
    <xf numFmtId="0" fontId="1" fillId="8" borderId="10" xfId="2" applyFont="1" applyFill="1" applyBorder="1" applyAlignment="1">
      <alignment horizontal="center"/>
    </xf>
    <xf numFmtId="0" fontId="1" fillId="8" borderId="14" xfId="2" applyFont="1" applyFill="1" applyBorder="1" applyAlignment="1">
      <alignment horizontal="center"/>
    </xf>
    <xf numFmtId="1" fontId="2" fillId="8" borderId="16" xfId="2" applyNumberFormat="1" applyFont="1" applyFill="1" applyBorder="1"/>
    <xf numFmtId="1" fontId="2" fillId="8" borderId="17" xfId="2" applyNumberFormat="1" applyFont="1" applyFill="1" applyBorder="1"/>
    <xf numFmtId="0" fontId="1" fillId="8" borderId="0" xfId="2" applyFont="1" applyFill="1" applyAlignment="1">
      <alignment horizontal="center"/>
    </xf>
    <xf numFmtId="3" fontId="2" fillId="8" borderId="0" xfId="5" applyNumberFormat="1" applyFont="1" applyFill="1" applyBorder="1"/>
    <xf numFmtId="1" fontId="2" fillId="8" borderId="11" xfId="2" applyNumberFormat="1" applyFont="1" applyFill="1" applyBorder="1"/>
    <xf numFmtId="1" fontId="2" fillId="8" borderId="0" xfId="2" applyNumberFormat="1" applyFont="1" applyFill="1" applyBorder="1"/>
    <xf numFmtId="1" fontId="2" fillId="8" borderId="15" xfId="2" applyNumberFormat="1" applyFont="1" applyFill="1" applyBorder="1"/>
    <xf numFmtId="1" fontId="2" fillId="8" borderId="18" xfId="2" applyNumberFormat="1" applyFont="1" applyFill="1" applyBorder="1"/>
    <xf numFmtId="1" fontId="38" fillId="8" borderId="19" xfId="6" quotePrefix="1" applyNumberFormat="1" applyFill="1" applyBorder="1" applyAlignment="1">
      <alignment wrapText="1"/>
    </xf>
    <xf numFmtId="1" fontId="38" fillId="8" borderId="4" xfId="6" quotePrefix="1" applyNumberFormat="1" applyFill="1" applyBorder="1" applyAlignment="1">
      <alignment wrapText="1"/>
    </xf>
    <xf numFmtId="1" fontId="38" fillId="8" borderId="4" xfId="6" applyNumberFormat="1" applyFill="1" applyBorder="1" applyAlignment="1">
      <alignment wrapText="1"/>
    </xf>
    <xf numFmtId="1" fontId="38" fillId="8" borderId="15" xfId="6" applyNumberFormat="1" applyFill="1" applyBorder="1"/>
    <xf numFmtId="1" fontId="50" fillId="8" borderId="16" xfId="6" applyNumberFormat="1" applyFont="1" applyFill="1" applyBorder="1" applyAlignment="1">
      <alignment wrapText="1"/>
    </xf>
    <xf numFmtId="1" fontId="50" fillId="8" borderId="17" xfId="6" applyNumberFormat="1" applyFont="1" applyFill="1" applyBorder="1" applyAlignment="1">
      <alignment wrapText="1"/>
    </xf>
    <xf numFmtId="1" fontId="50" fillId="8" borderId="18" xfId="6" applyNumberFormat="1" applyFont="1" applyFill="1" applyBorder="1" applyAlignment="1">
      <alignment wrapText="1"/>
    </xf>
    <xf numFmtId="0" fontId="1" fillId="0" borderId="0" xfId="2" applyFont="1" applyBorder="1" applyAlignment="1">
      <alignment horizontal="center"/>
    </xf>
    <xf numFmtId="167" fontId="2" fillId="0" borderId="0" xfId="2" applyNumberFormat="1" applyFont="1" applyBorder="1"/>
    <xf numFmtId="1" fontId="2" fillId="8" borderId="13" xfId="2" applyNumberFormat="1" applyFont="1" applyFill="1" applyBorder="1"/>
    <xf numFmtId="1" fontId="2" fillId="8" borderId="10" xfId="2" applyNumberFormat="1" applyFont="1" applyFill="1" applyBorder="1"/>
    <xf numFmtId="1" fontId="2" fillId="8" borderId="14" xfId="2" applyNumberFormat="1" applyFont="1" applyFill="1" applyBorder="1"/>
    <xf numFmtId="1" fontId="38" fillId="8" borderId="16" xfId="6" applyNumberFormat="1" applyFill="1" applyBorder="1" applyAlignment="1">
      <alignment wrapText="1"/>
    </xf>
    <xf numFmtId="1" fontId="38" fillId="8" borderId="17" xfId="6" applyNumberFormat="1" applyFill="1" applyBorder="1" applyAlignment="1">
      <alignment wrapText="1"/>
    </xf>
    <xf numFmtId="1" fontId="38" fillId="8" borderId="18" xfId="6" applyNumberFormat="1" applyFill="1" applyBorder="1" applyAlignment="1">
      <alignment wrapText="1"/>
    </xf>
    <xf numFmtId="11" fontId="0" fillId="0" borderId="0" xfId="0" applyNumberFormat="1"/>
    <xf numFmtId="2" fontId="0" fillId="0" borderId="11" xfId="0" applyNumberFormat="1" applyFill="1" applyBorder="1"/>
    <xf numFmtId="10" fontId="2" fillId="0" borderId="0" xfId="2" applyNumberFormat="1" applyFont="1" applyAlignment="1">
      <alignment wrapText="1"/>
    </xf>
    <xf numFmtId="165" fontId="1" fillId="0" borderId="0" xfId="2" applyNumberFormat="1" applyFont="1" applyAlignment="1">
      <alignment wrapText="1"/>
    </xf>
    <xf numFmtId="2" fontId="16" fillId="0" borderId="0" xfId="2" applyNumberFormat="1" applyFont="1" applyAlignment="1">
      <alignment wrapText="1"/>
    </xf>
    <xf numFmtId="10" fontId="16" fillId="0" borderId="0" xfId="2" applyNumberFormat="1" applyFont="1" applyAlignment="1">
      <alignment wrapText="1"/>
    </xf>
    <xf numFmtId="2" fontId="34" fillId="0" borderId="0" xfId="2" applyNumberFormat="1" applyFont="1" applyAlignment="1">
      <alignment wrapText="1"/>
    </xf>
    <xf numFmtId="2" fontId="1" fillId="0" borderId="0" xfId="2" applyNumberFormat="1" applyFont="1" applyAlignment="1">
      <alignment wrapText="1"/>
    </xf>
    <xf numFmtId="0" fontId="69" fillId="9" borderId="0" xfId="4" applyFont="1"/>
    <xf numFmtId="166" fontId="70" fillId="0" borderId="0" xfId="4" applyNumberFormat="1" applyFont="1" applyFill="1"/>
    <xf numFmtId="166" fontId="70" fillId="0" borderId="16" xfId="4" applyNumberFormat="1" applyFont="1" applyFill="1" applyBorder="1"/>
    <xf numFmtId="0" fontId="71" fillId="0" borderId="11" xfId="4" applyFont="1" applyFill="1" applyBorder="1"/>
    <xf numFmtId="167" fontId="72" fillId="0" borderId="0" xfId="4" applyNumberFormat="1" applyFont="1" applyFill="1" applyBorder="1"/>
    <xf numFmtId="167" fontId="71" fillId="0" borderId="0" xfId="4" applyNumberFormat="1" applyFont="1" applyFill="1" applyBorder="1"/>
    <xf numFmtId="0" fontId="70" fillId="0" borderId="0" xfId="4" applyFont="1" applyFill="1"/>
    <xf numFmtId="0" fontId="73" fillId="0" borderId="0" xfId="0" applyFont="1" applyBorder="1"/>
    <xf numFmtId="3" fontId="74" fillId="0" borderId="11" xfId="1" applyNumberFormat="1" applyFont="1" applyBorder="1"/>
    <xf numFmtId="3" fontId="74" fillId="0" borderId="0" xfId="1" applyNumberFormat="1" applyFont="1" applyBorder="1"/>
    <xf numFmtId="3" fontId="74" fillId="0" borderId="15" xfId="1" applyNumberFormat="1" applyFont="1" applyBorder="1"/>
    <xf numFmtId="0" fontId="73" fillId="0" borderId="0" xfId="0" applyFont="1"/>
    <xf numFmtId="0" fontId="70" fillId="9" borderId="0" xfId="4" applyFont="1" applyBorder="1"/>
    <xf numFmtId="3" fontId="70" fillId="9" borderId="11" xfId="4" applyNumberFormat="1" applyFont="1" applyBorder="1"/>
    <xf numFmtId="3" fontId="70" fillId="9" borderId="0" xfId="4" applyNumberFormat="1" applyFont="1" applyBorder="1"/>
    <xf numFmtId="3" fontId="70" fillId="9" borderId="15" xfId="4" applyNumberFormat="1" applyFont="1" applyBorder="1"/>
    <xf numFmtId="1" fontId="73" fillId="0" borderId="0" xfId="0" applyNumberFormat="1" applyFont="1"/>
    <xf numFmtId="1" fontId="75" fillId="0" borderId="0" xfId="0" applyNumberFormat="1" applyFont="1"/>
    <xf numFmtId="165" fontId="75" fillId="0" borderId="0" xfId="0" applyNumberFormat="1" applyFont="1" applyFill="1" applyBorder="1"/>
    <xf numFmtId="165" fontId="75" fillId="0" borderId="25" xfId="0" applyNumberFormat="1" applyFont="1" applyFill="1" applyBorder="1"/>
    <xf numFmtId="165" fontId="75" fillId="0" borderId="26" xfId="0" applyNumberFormat="1" applyFont="1" applyFill="1" applyBorder="1"/>
    <xf numFmtId="165" fontId="75" fillId="0" borderId="27" xfId="0" applyNumberFormat="1" applyFont="1" applyFill="1" applyBorder="1"/>
    <xf numFmtId="171" fontId="2" fillId="0" borderId="0" xfId="0" applyNumberFormat="1" applyFont="1" applyFill="1" applyBorder="1"/>
    <xf numFmtId="2" fontId="76" fillId="8" borderId="0" xfId="1" applyNumberFormat="1" applyFont="1" applyFill="1"/>
    <xf numFmtId="0" fontId="0" fillId="0" borderId="0" xfId="0" applyAlignment="1">
      <alignment horizontal="center" wrapText="1"/>
    </xf>
    <xf numFmtId="0" fontId="17" fillId="0" borderId="0" xfId="2" applyFont="1" applyAlignment="1">
      <alignment horizontal="center"/>
    </xf>
    <xf numFmtId="3" fontId="0" fillId="0" borderId="0" xfId="0" applyNumberFormat="1"/>
    <xf numFmtId="165" fontId="0" fillId="5" borderId="0" xfId="0" applyNumberFormat="1" applyFill="1"/>
    <xf numFmtId="0" fontId="2" fillId="0" borderId="11" xfId="2" applyFont="1" applyBorder="1"/>
    <xf numFmtId="0" fontId="2" fillId="0" borderId="15" xfId="2" applyFont="1" applyBorder="1"/>
    <xf numFmtId="1" fontId="2" fillId="0" borderId="11" xfId="2" applyNumberFormat="1" applyFont="1" applyBorder="1"/>
    <xf numFmtId="1" fontId="36" fillId="9" borderId="16" xfId="4" applyNumberFormat="1" applyBorder="1" applyAlignment="1">
      <alignment wrapText="1"/>
    </xf>
    <xf numFmtId="1" fontId="36" fillId="9" borderId="17" xfId="4" applyNumberFormat="1" applyBorder="1" applyAlignment="1">
      <alignment wrapText="1"/>
    </xf>
    <xf numFmtId="1" fontId="36" fillId="9" borderId="18" xfId="4" applyNumberFormat="1" applyBorder="1" applyAlignment="1">
      <alignment wrapText="1"/>
    </xf>
    <xf numFmtId="9" fontId="0" fillId="0" borderId="11" xfId="0" applyNumberFormat="1" applyFill="1" applyBorder="1"/>
    <xf numFmtId="166" fontId="14" fillId="3" borderId="0" xfId="0" applyNumberFormat="1" applyFont="1" applyFill="1"/>
    <xf numFmtId="165" fontId="2" fillId="0" borderId="0" xfId="2" applyNumberFormat="1" applyFont="1"/>
    <xf numFmtId="2" fontId="16" fillId="0" borderId="0" xfId="2" applyNumberFormat="1" applyFont="1"/>
    <xf numFmtId="0" fontId="0" fillId="0" borderId="0" xfId="0"/>
    <xf numFmtId="2" fontId="0" fillId="0" borderId="0" xfId="0" applyNumberFormat="1"/>
    <xf numFmtId="0" fontId="2" fillId="0" borderId="0" xfId="0" applyFont="1"/>
    <xf numFmtId="1" fontId="45" fillId="9" borderId="0" xfId="4" applyNumberFormat="1" applyFont="1" applyBorder="1"/>
    <xf numFmtId="165" fontId="45" fillId="9" borderId="0" xfId="4" applyNumberFormat="1" applyFont="1" applyBorder="1"/>
    <xf numFmtId="0" fontId="45" fillId="9" borderId="11" xfId="4" applyFont="1" applyBorder="1"/>
    <xf numFmtId="9" fontId="45" fillId="9" borderId="15" xfId="4" applyNumberFormat="1" applyFont="1" applyBorder="1"/>
    <xf numFmtId="0" fontId="45" fillId="9" borderId="15" xfId="4" applyFont="1" applyBorder="1"/>
    <xf numFmtId="166" fontId="45" fillId="9" borderId="16" xfId="4" applyNumberFormat="1" applyFont="1" applyBorder="1"/>
    <xf numFmtId="1" fontId="48" fillId="9" borderId="17" xfId="4" applyNumberFormat="1" applyFont="1" applyBorder="1"/>
    <xf numFmtId="0" fontId="45" fillId="9" borderId="18" xfId="4" applyFont="1" applyBorder="1"/>
    <xf numFmtId="1" fontId="80" fillId="0" borderId="0" xfId="2" applyNumberFormat="1" applyFont="1"/>
    <xf numFmtId="3" fontId="2" fillId="0" borderId="13" xfId="5" applyNumberFormat="1" applyFont="1" applyFill="1" applyBorder="1"/>
    <xf numFmtId="3" fontId="2" fillId="0" borderId="11" xfId="5" applyNumberFormat="1" applyFont="1" applyFill="1" applyBorder="1"/>
    <xf numFmtId="3" fontId="2" fillId="0" borderId="16" xfId="5" applyNumberFormat="1" applyFont="1" applyFill="1" applyBorder="1"/>
    <xf numFmtId="3" fontId="10" fillId="0" borderId="0" xfId="1" applyNumberFormat="1"/>
    <xf numFmtId="0" fontId="46" fillId="0" borderId="0" xfId="0" applyFont="1"/>
    <xf numFmtId="1" fontId="17" fillId="0" borderId="0" xfId="0" applyNumberFormat="1" applyFont="1"/>
    <xf numFmtId="2" fontId="10" fillId="0" borderId="11" xfId="1" applyNumberFormat="1" applyFill="1" applyBorder="1"/>
    <xf numFmtId="165" fontId="36" fillId="9" borderId="0" xfId="4" applyNumberFormat="1" applyBorder="1"/>
    <xf numFmtId="165" fontId="38" fillId="11" borderId="0" xfId="6" applyNumberFormat="1" applyBorder="1"/>
    <xf numFmtId="166" fontId="79" fillId="9" borderId="0" xfId="4" applyNumberFormat="1" applyFont="1" applyBorder="1"/>
    <xf numFmtId="166" fontId="37" fillId="10" borderId="0" xfId="5" applyNumberFormat="1" applyFont="1" applyBorder="1"/>
    <xf numFmtId="3" fontId="36" fillId="9" borderId="13" xfId="4" applyNumberFormat="1" applyBorder="1"/>
    <xf numFmtId="3" fontId="36" fillId="9" borderId="14" xfId="4" applyNumberFormat="1" applyBorder="1"/>
    <xf numFmtId="0" fontId="7" fillId="0" borderId="1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2" fontId="36" fillId="9" borderId="11" xfId="4" applyNumberFormat="1" applyBorder="1"/>
    <xf numFmtId="2" fontId="36" fillId="9" borderId="15" xfId="4" applyNumberFormat="1" applyBorder="1"/>
    <xf numFmtId="165" fontId="38" fillId="11" borderId="11" xfId="6" applyNumberFormat="1" applyBorder="1"/>
    <xf numFmtId="165" fontId="38" fillId="11" borderId="15" xfId="6" applyNumberFormat="1" applyBorder="1"/>
    <xf numFmtId="166" fontId="79" fillId="9" borderId="11" xfId="4" applyNumberFormat="1" applyFont="1" applyBorder="1"/>
    <xf numFmtId="166" fontId="79" fillId="9" borderId="15" xfId="4" applyNumberFormat="1" applyFont="1" applyBorder="1"/>
    <xf numFmtId="166" fontId="38" fillId="11" borderId="11" xfId="6" applyNumberFormat="1" applyFont="1" applyBorder="1"/>
    <xf numFmtId="166" fontId="37" fillId="10" borderId="11" xfId="5" applyNumberFormat="1" applyFont="1" applyBorder="1"/>
    <xf numFmtId="166" fontId="37" fillId="10" borderId="15" xfId="5" applyNumberFormat="1" applyFont="1" applyBorder="1"/>
    <xf numFmtId="166" fontId="2" fillId="0" borderId="16" xfId="0" applyNumberFormat="1" applyFont="1" applyBorder="1"/>
    <xf numFmtId="166" fontId="2" fillId="0" borderId="17" xfId="0" applyNumberFormat="1" applyFont="1" applyBorder="1"/>
    <xf numFmtId="166" fontId="2" fillId="0" borderId="18" xfId="0" applyNumberFormat="1" applyFont="1" applyBorder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2" fontId="0" fillId="0" borderId="0" xfId="0" applyNumberFormat="1" applyBorder="1" applyAlignment="1">
      <alignment horizontal="center" vertical="center"/>
    </xf>
    <xf numFmtId="9" fontId="0" fillId="0" borderId="0" xfId="0" applyNumberFormat="1" applyBorder="1"/>
    <xf numFmtId="2" fontId="1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Border="1" applyAlignment="1">
      <alignment horizontal="center" vertical="center"/>
    </xf>
    <xf numFmtId="3" fontId="55" fillId="9" borderId="10" xfId="4" applyNumberFormat="1" applyFont="1" applyBorder="1"/>
    <xf numFmtId="3" fontId="59" fillId="11" borderId="10" xfId="6" applyNumberFormat="1" applyFont="1" applyBorder="1"/>
    <xf numFmtId="165" fontId="55" fillId="9" borderId="0" xfId="4" applyNumberFormat="1" applyFont="1"/>
    <xf numFmtId="165" fontId="59" fillId="11" borderId="0" xfId="6" applyNumberFormat="1" applyFont="1"/>
    <xf numFmtId="9" fontId="81" fillId="9" borderId="0" xfId="4" applyNumberFormat="1" applyFont="1"/>
    <xf numFmtId="9" fontId="59" fillId="11" borderId="0" xfId="6" applyNumberFormat="1" applyFont="1"/>
    <xf numFmtId="9" fontId="62" fillId="10" borderId="0" xfId="5" applyNumberFormat="1" applyFont="1"/>
    <xf numFmtId="166" fontId="56" fillId="0" borderId="0" xfId="0" applyNumberFormat="1" applyFont="1"/>
    <xf numFmtId="3" fontId="55" fillId="9" borderId="0" xfId="4" applyNumberFormat="1" applyFont="1" applyBorder="1"/>
    <xf numFmtId="3" fontId="59" fillId="11" borderId="0" xfId="6" applyNumberFormat="1" applyFont="1" applyBorder="1"/>
    <xf numFmtId="3" fontId="62" fillId="10" borderId="0" xfId="5" applyNumberFormat="1" applyFont="1" applyBorder="1"/>
    <xf numFmtId="3" fontId="82" fillId="0" borderId="0" xfId="1" applyNumberFormat="1" applyFont="1" applyBorder="1"/>
    <xf numFmtId="166" fontId="55" fillId="0" borderId="0" xfId="4" applyNumberFormat="1" applyFont="1" applyFill="1"/>
    <xf numFmtId="166" fontId="43" fillId="9" borderId="11" xfId="4" applyNumberFormat="1" applyFont="1" applyBorder="1"/>
    <xf numFmtId="166" fontId="43" fillId="9" borderId="0" xfId="4" applyNumberFormat="1" applyFont="1" applyBorder="1"/>
    <xf numFmtId="166" fontId="43" fillId="9" borderId="15" xfId="4" applyNumberFormat="1" applyFont="1" applyBorder="1"/>
    <xf numFmtId="166" fontId="42" fillId="11" borderId="16" xfId="6" applyNumberFormat="1" applyFont="1" applyBorder="1"/>
    <xf numFmtId="166" fontId="42" fillId="11" borderId="17" xfId="6" applyNumberFormat="1" applyFont="1" applyBorder="1"/>
    <xf numFmtId="166" fontId="42" fillId="11" borderId="18" xfId="6" applyNumberFormat="1" applyFont="1" applyBorder="1"/>
    <xf numFmtId="0" fontId="2" fillId="0" borderId="13" xfId="0" applyFont="1" applyFill="1" applyBorder="1"/>
    <xf numFmtId="0" fontId="2" fillId="0" borderId="10" xfId="0" applyFont="1" applyBorder="1"/>
    <xf numFmtId="0" fontId="2" fillId="0" borderId="10" xfId="0" applyFont="1" applyFill="1" applyBorder="1"/>
    <xf numFmtId="0" fontId="1" fillId="0" borderId="14" xfId="0" applyFont="1" applyBorder="1"/>
    <xf numFmtId="1" fontId="83" fillId="11" borderId="11" xfId="6" applyNumberFormat="1" applyFont="1" applyBorder="1" applyAlignment="1">
      <alignment horizontal="right"/>
    </xf>
    <xf numFmtId="1" fontId="83" fillId="11" borderId="0" xfId="6" applyNumberFormat="1" applyFont="1" applyBorder="1" applyAlignment="1">
      <alignment horizontal="right"/>
    </xf>
    <xf numFmtId="1" fontId="83" fillId="11" borderId="15" xfId="6" applyNumberFormat="1" applyFont="1" applyBorder="1" applyAlignment="1">
      <alignment horizontal="right"/>
    </xf>
    <xf numFmtId="1" fontId="84" fillId="11" borderId="16" xfId="6" applyNumberFormat="1" applyFont="1" applyBorder="1" applyAlignment="1">
      <alignment horizontal="right"/>
    </xf>
    <xf numFmtId="1" fontId="84" fillId="11" borderId="17" xfId="6" applyNumberFormat="1" applyFont="1" applyBorder="1" applyAlignment="1">
      <alignment horizontal="right"/>
    </xf>
    <xf numFmtId="1" fontId="84" fillId="11" borderId="18" xfId="6" applyNumberFormat="1" applyFont="1" applyBorder="1" applyAlignment="1">
      <alignment horizontal="right"/>
    </xf>
    <xf numFmtId="0" fontId="4" fillId="6" borderId="13" xfId="0" applyFont="1" applyFill="1" applyBorder="1"/>
    <xf numFmtId="0" fontId="4" fillId="6" borderId="10" xfId="0" applyFont="1" applyFill="1" applyBorder="1"/>
    <xf numFmtId="0" fontId="4" fillId="6" borderId="14" xfId="0" applyFont="1" applyFill="1" applyBorder="1"/>
    <xf numFmtId="1" fontId="0" fillId="8" borderId="15" xfId="0" applyNumberFormat="1" applyFill="1" applyBorder="1"/>
    <xf numFmtId="1" fontId="16" fillId="0" borderId="11" xfId="0" applyNumberFormat="1" applyFont="1" applyBorder="1"/>
    <xf numFmtId="1" fontId="16" fillId="0" borderId="0" xfId="0" applyNumberFormat="1" applyFont="1" applyBorder="1"/>
    <xf numFmtId="1" fontId="16" fillId="8" borderId="15" xfId="0" applyNumberFormat="1" applyFont="1" applyFill="1" applyBorder="1"/>
    <xf numFmtId="0" fontId="0" fillId="0" borderId="11" xfId="0" applyBorder="1"/>
    <xf numFmtId="0" fontId="0" fillId="0" borderId="15" xfId="0" applyBorder="1"/>
    <xf numFmtId="167" fontId="16" fillId="0" borderId="11" xfId="0" applyNumberFormat="1" applyFont="1" applyBorder="1"/>
    <xf numFmtId="167" fontId="16" fillId="0" borderId="0" xfId="0" applyNumberFormat="1" applyFont="1" applyBorder="1"/>
    <xf numFmtId="167" fontId="16" fillId="0" borderId="15" xfId="0" applyNumberFormat="1" applyFont="1" applyBorder="1"/>
    <xf numFmtId="1" fontId="1" fillId="0" borderId="11" xfId="0" applyNumberFormat="1" applyFont="1" applyBorder="1"/>
    <xf numFmtId="1" fontId="1" fillId="0" borderId="0" xfId="0" applyNumberFormat="1" applyFont="1" applyBorder="1"/>
    <xf numFmtId="1" fontId="1" fillId="0" borderId="15" xfId="0" applyNumberFormat="1" applyFont="1" applyBorder="1"/>
    <xf numFmtId="3" fontId="53" fillId="0" borderId="17" xfId="5" applyNumberFormat="1" applyFont="1" applyFill="1" applyBorder="1"/>
    <xf numFmtId="3" fontId="53" fillId="0" borderId="18" xfId="5" applyNumberFormat="1" applyFont="1" applyFill="1" applyBorder="1"/>
    <xf numFmtId="1" fontId="10" fillId="0" borderId="31" xfId="0" applyNumberFormat="1" applyFont="1" applyFill="1" applyBorder="1" applyAlignment="1">
      <alignment horizontal="right" indent="2"/>
    </xf>
    <xf numFmtId="1" fontId="0" fillId="0" borderId="31" xfId="0" applyNumberFormat="1" applyFill="1" applyBorder="1"/>
    <xf numFmtId="167" fontId="0" fillId="0" borderId="15" xfId="0" applyNumberFormat="1" applyFill="1" applyBorder="1"/>
    <xf numFmtId="3" fontId="53" fillId="0" borderId="32" xfId="5" applyNumberFormat="1" applyFont="1" applyFill="1" applyBorder="1"/>
    <xf numFmtId="165" fontId="68" fillId="0" borderId="0" xfId="0" applyNumberFormat="1" applyFont="1" applyFill="1" applyBorder="1"/>
    <xf numFmtId="0" fontId="17" fillId="0" borderId="10" xfId="2" applyFont="1" applyBorder="1" applyAlignment="1">
      <alignment horizontal="center"/>
    </xf>
    <xf numFmtId="0" fontId="17" fillId="0" borderId="14" xfId="2" applyFont="1" applyBorder="1" applyAlignment="1">
      <alignment horizontal="center"/>
    </xf>
    <xf numFmtId="10" fontId="2" fillId="0" borderId="11" xfId="2" applyNumberFormat="1" applyFont="1" applyBorder="1"/>
    <xf numFmtId="166" fontId="2" fillId="0" borderId="0" xfId="2" applyNumberFormat="1" applyFont="1" applyBorder="1"/>
    <xf numFmtId="10" fontId="2" fillId="0" borderId="0" xfId="2" applyNumberFormat="1" applyFont="1" applyBorder="1"/>
    <xf numFmtId="10" fontId="2" fillId="0" borderId="15" xfId="2" applyNumberFormat="1" applyFont="1" applyBorder="1"/>
    <xf numFmtId="9" fontId="2" fillId="0" borderId="11" xfId="2" applyNumberFormat="1" applyFont="1" applyBorder="1" applyAlignment="1">
      <alignment wrapText="1"/>
    </xf>
    <xf numFmtId="9" fontId="2" fillId="0" borderId="0" xfId="2" applyNumberFormat="1" applyFont="1" applyBorder="1" applyAlignment="1">
      <alignment wrapText="1"/>
    </xf>
    <xf numFmtId="166" fontId="2" fillId="0" borderId="0" xfId="2" applyNumberFormat="1" applyFont="1" applyBorder="1" applyAlignment="1">
      <alignment wrapText="1"/>
    </xf>
    <xf numFmtId="166" fontId="16" fillId="0" borderId="0" xfId="2" applyNumberFormat="1" applyFont="1" applyBorder="1" applyAlignment="1">
      <alignment wrapText="1"/>
    </xf>
    <xf numFmtId="10" fontId="16" fillId="0" borderId="0" xfId="2" applyNumberFormat="1" applyFont="1" applyBorder="1" applyAlignment="1">
      <alignment wrapText="1"/>
    </xf>
    <xf numFmtId="10" fontId="16" fillId="0" borderId="15" xfId="2" applyNumberFormat="1" applyFont="1" applyBorder="1" applyAlignment="1">
      <alignment wrapText="1"/>
    </xf>
    <xf numFmtId="9" fontId="16" fillId="8" borderId="11" xfId="2" applyNumberFormat="1" applyFont="1" applyFill="1" applyBorder="1" applyAlignment="1">
      <alignment wrapText="1"/>
    </xf>
    <xf numFmtId="9" fontId="2" fillId="0" borderId="0" xfId="2" applyNumberFormat="1" applyFont="1" applyBorder="1"/>
    <xf numFmtId="9" fontId="16" fillId="8" borderId="15" xfId="2" applyNumberFormat="1" applyFont="1" applyFill="1" applyBorder="1"/>
    <xf numFmtId="10" fontId="2" fillId="0" borderId="16" xfId="2" applyNumberFormat="1" applyFont="1" applyBorder="1" applyAlignment="1">
      <alignment wrapText="1"/>
    </xf>
    <xf numFmtId="10" fontId="2" fillId="0" borderId="17" xfId="2" applyNumberFormat="1" applyFont="1" applyBorder="1" applyAlignment="1">
      <alignment wrapText="1"/>
    </xf>
    <xf numFmtId="10" fontId="2" fillId="0" borderId="18" xfId="2" applyNumberFormat="1" applyFont="1" applyBorder="1" applyAlignment="1">
      <alignment wrapText="1"/>
    </xf>
    <xf numFmtId="0" fontId="85" fillId="0" borderId="0" xfId="0" applyFont="1"/>
    <xf numFmtId="0" fontId="86" fillId="0" borderId="0" xfId="0" applyFont="1"/>
    <xf numFmtId="0" fontId="60" fillId="0" borderId="0" xfId="0" applyFont="1"/>
    <xf numFmtId="0" fontId="87" fillId="0" borderId="0" xfId="0" applyFont="1"/>
    <xf numFmtId="0" fontId="56" fillId="0" borderId="0" xfId="0" applyFont="1" applyAlignment="1">
      <alignment horizontal="right" wrapText="1"/>
    </xf>
    <xf numFmtId="0" fontId="88" fillId="0" borderId="0" xfId="0" applyFont="1"/>
    <xf numFmtId="0" fontId="89" fillId="0" borderId="13" xfId="0" applyFont="1" applyBorder="1"/>
    <xf numFmtId="0" fontId="89" fillId="0" borderId="10" xfId="0" applyFont="1" applyBorder="1"/>
    <xf numFmtId="0" fontId="87" fillId="0" borderId="10" xfId="0" applyFont="1" applyBorder="1"/>
    <xf numFmtId="0" fontId="87" fillId="0" borderId="14" xfId="0" applyFont="1" applyBorder="1"/>
    <xf numFmtId="1" fontId="56" fillId="0" borderId="11" xfId="0" applyNumberFormat="1" applyFont="1" applyBorder="1"/>
    <xf numFmtId="1" fontId="56" fillId="8" borderId="0" xfId="0" applyNumberFormat="1" applyFont="1" applyFill="1" applyBorder="1"/>
    <xf numFmtId="1" fontId="56" fillId="0" borderId="0" xfId="0" applyNumberFormat="1" applyFont="1" applyBorder="1"/>
    <xf numFmtId="1" fontId="56" fillId="0" borderId="15" xfId="0" applyNumberFormat="1" applyFont="1" applyBorder="1"/>
    <xf numFmtId="2" fontId="56" fillId="0" borderId="0" xfId="0" applyNumberFormat="1" applyFont="1"/>
    <xf numFmtId="0" fontId="65" fillId="7" borderId="0" xfId="0" applyFont="1" applyFill="1" applyBorder="1" applyAlignment="1">
      <alignment wrapText="1"/>
    </xf>
    <xf numFmtId="1" fontId="65" fillId="0" borderId="11" xfId="0" applyNumberFormat="1" applyFont="1" applyFill="1" applyBorder="1" applyAlignment="1">
      <alignment horizontal="right" indent="2"/>
    </xf>
    <xf numFmtId="1" fontId="82" fillId="0" borderId="15" xfId="0" applyNumberFormat="1" applyFont="1" applyFill="1" applyBorder="1" applyAlignment="1">
      <alignment horizontal="right" indent="2"/>
    </xf>
    <xf numFmtId="1" fontId="56" fillId="0" borderId="16" xfId="0" applyNumberFormat="1" applyFont="1" applyBorder="1"/>
    <xf numFmtId="1" fontId="56" fillId="0" borderId="17" xfId="0" applyNumberFormat="1" applyFont="1" applyBorder="1"/>
    <xf numFmtId="1" fontId="56" fillId="0" borderId="18" xfId="0" applyNumberFormat="1" applyFont="1" applyBorder="1"/>
    <xf numFmtId="0" fontId="90" fillId="3" borderId="0" xfId="0" applyFont="1" applyFill="1"/>
    <xf numFmtId="0" fontId="91" fillId="3" borderId="0" xfId="0" applyFont="1" applyFill="1"/>
    <xf numFmtId="0" fontId="54" fillId="0" borderId="13" xfId="0" applyFont="1" applyFill="1" applyBorder="1"/>
    <xf numFmtId="0" fontId="54" fillId="0" borderId="10" xfId="0" applyFont="1" applyFill="1" applyBorder="1"/>
    <xf numFmtId="0" fontId="54" fillId="0" borderId="10" xfId="0" applyFont="1" applyBorder="1"/>
    <xf numFmtId="0" fontId="54" fillId="0" borderId="14" xfId="0" applyFont="1" applyBorder="1"/>
    <xf numFmtId="1" fontId="55" fillId="9" borderId="11" xfId="4" applyNumberFormat="1" applyFont="1" applyBorder="1"/>
    <xf numFmtId="1" fontId="55" fillId="9" borderId="0" xfId="4" applyNumberFormat="1" applyFont="1" applyBorder="1"/>
    <xf numFmtId="1" fontId="55" fillId="9" borderId="15" xfId="4" applyNumberFormat="1" applyFont="1" applyBorder="1"/>
    <xf numFmtId="2" fontId="55" fillId="9" borderId="11" xfId="4" applyNumberFormat="1" applyFont="1" applyBorder="1"/>
    <xf numFmtId="2" fontId="55" fillId="9" borderId="0" xfId="4" applyNumberFormat="1" applyFont="1" applyBorder="1"/>
    <xf numFmtId="2" fontId="55" fillId="9" borderId="15" xfId="4" applyNumberFormat="1" applyFont="1" applyBorder="1"/>
    <xf numFmtId="1" fontId="56" fillId="0" borderId="11" xfId="0" applyNumberFormat="1" applyFont="1" applyFill="1" applyBorder="1"/>
    <xf numFmtId="1" fontId="54" fillId="0" borderId="16" xfId="0" applyNumberFormat="1" applyFont="1" applyBorder="1"/>
    <xf numFmtId="0" fontId="92" fillId="0" borderId="0" xfId="0" applyFont="1" applyAlignment="1">
      <alignment wrapText="1"/>
    </xf>
    <xf numFmtId="0" fontId="93" fillId="3" borderId="0" xfId="0" applyFont="1" applyFill="1"/>
    <xf numFmtId="0" fontId="93" fillId="0" borderId="0" xfId="0" applyFont="1" applyFill="1" applyAlignment="1">
      <alignment horizontal="right"/>
    </xf>
    <xf numFmtId="3" fontId="56" fillId="0" borderId="0" xfId="5" applyNumberFormat="1" applyFont="1" applyFill="1" applyBorder="1"/>
    <xf numFmtId="0" fontId="56" fillId="0" borderId="0" xfId="2" applyFont="1"/>
    <xf numFmtId="0" fontId="54" fillId="0" borderId="0" xfId="2" applyFont="1" applyAlignment="1">
      <alignment wrapText="1"/>
    </xf>
    <xf numFmtId="165" fontId="56" fillId="0" borderId="0" xfId="2" applyNumberFormat="1" applyFont="1" applyAlignment="1">
      <alignment wrapText="1"/>
    </xf>
    <xf numFmtId="165" fontId="56" fillId="0" borderId="0" xfId="2" applyNumberFormat="1" applyFont="1"/>
    <xf numFmtId="2" fontId="88" fillId="0" borderId="0" xfId="2" applyNumberFormat="1" applyFont="1" applyAlignment="1">
      <alignment wrapText="1"/>
    </xf>
    <xf numFmtId="1" fontId="56" fillId="0" borderId="0" xfId="2" applyNumberFormat="1" applyFont="1"/>
    <xf numFmtId="1" fontId="88" fillId="0" borderId="0" xfId="2" applyNumberFormat="1" applyFont="1"/>
    <xf numFmtId="165" fontId="88" fillId="0" borderId="0" xfId="2" applyNumberFormat="1" applyFont="1" applyAlignment="1">
      <alignment wrapText="1"/>
    </xf>
    <xf numFmtId="0" fontId="54" fillId="0" borderId="0" xfId="2" applyFont="1" applyAlignment="1">
      <alignment horizontal="center"/>
    </xf>
    <xf numFmtId="0" fontId="89" fillId="0" borderId="0" xfId="2" applyFont="1" applyAlignment="1">
      <alignment horizontal="center"/>
    </xf>
    <xf numFmtId="0" fontId="65" fillId="0" borderId="0" xfId="2" applyFont="1" applyAlignment="1">
      <alignment wrapText="1"/>
    </xf>
    <xf numFmtId="10" fontId="65" fillId="0" borderId="0" xfId="2" applyNumberFormat="1" applyFont="1" applyAlignment="1">
      <alignment wrapText="1"/>
    </xf>
    <xf numFmtId="0" fontId="65" fillId="0" borderId="0" xfId="2" applyFont="1"/>
    <xf numFmtId="2" fontId="56" fillId="0" borderId="0" xfId="2" applyNumberFormat="1" applyFont="1" applyAlignment="1">
      <alignment wrapText="1"/>
    </xf>
    <xf numFmtId="1" fontId="56" fillId="0" borderId="0" xfId="2" applyNumberFormat="1" applyFont="1" applyAlignment="1">
      <alignment wrapText="1"/>
    </xf>
    <xf numFmtId="167" fontId="56" fillId="0" borderId="0" xfId="2" applyNumberFormat="1" applyFont="1" applyAlignment="1">
      <alignment wrapText="1"/>
    </xf>
    <xf numFmtId="2" fontId="55" fillId="9" borderId="0" xfId="4" applyNumberFormat="1" applyFont="1" applyAlignment="1">
      <alignment wrapText="1"/>
    </xf>
    <xf numFmtId="0" fontId="55" fillId="9" borderId="0" xfId="4" applyFont="1"/>
    <xf numFmtId="2" fontId="59" fillId="11" borderId="0" xfId="6" applyNumberFormat="1" applyFont="1" applyAlignment="1">
      <alignment wrapText="1"/>
    </xf>
    <xf numFmtId="0" fontId="59" fillId="11" borderId="0" xfId="6" applyFont="1"/>
    <xf numFmtId="2" fontId="62" fillId="10" borderId="0" xfId="5" applyNumberFormat="1" applyFont="1" applyAlignment="1">
      <alignment wrapText="1"/>
    </xf>
    <xf numFmtId="0" fontId="62" fillId="10" borderId="0" xfId="5" applyFont="1"/>
    <xf numFmtId="165" fontId="55" fillId="9" borderId="0" xfId="4" applyNumberFormat="1" applyFont="1" applyAlignment="1">
      <alignment wrapText="1"/>
    </xf>
    <xf numFmtId="165" fontId="59" fillId="11" borderId="0" xfId="6" applyNumberFormat="1" applyFont="1" applyAlignment="1">
      <alignment wrapText="1"/>
    </xf>
    <xf numFmtId="165" fontId="62" fillId="10" borderId="0" xfId="5" applyNumberFormat="1" applyFont="1" applyAlignment="1">
      <alignment wrapText="1"/>
    </xf>
    <xf numFmtId="0" fontId="88" fillId="0" borderId="0" xfId="2" applyFont="1" applyAlignment="1">
      <alignment wrapText="1"/>
    </xf>
    <xf numFmtId="1" fontId="55" fillId="9" borderId="0" xfId="4" applyNumberFormat="1" applyFont="1" applyAlignment="1">
      <alignment wrapText="1"/>
    </xf>
    <xf numFmtId="1" fontId="59" fillId="11" borderId="0" xfId="6" applyNumberFormat="1" applyFont="1" applyAlignment="1">
      <alignment wrapText="1"/>
    </xf>
    <xf numFmtId="1" fontId="62" fillId="10" borderId="0" xfId="5" applyNumberFormat="1" applyFont="1" applyAlignment="1">
      <alignment wrapText="1"/>
    </xf>
    <xf numFmtId="1" fontId="59" fillId="11" borderId="0" xfId="6" applyNumberFormat="1" applyFont="1"/>
    <xf numFmtId="1" fontId="62" fillId="0" borderId="0" xfId="5" applyNumberFormat="1" applyFont="1" applyFill="1"/>
    <xf numFmtId="0" fontId="62" fillId="0" borderId="0" xfId="5" applyFont="1" applyFill="1"/>
    <xf numFmtId="0" fontId="54" fillId="0" borderId="0" xfId="2" applyFont="1"/>
    <xf numFmtId="9" fontId="56" fillId="0" borderId="0" xfId="2" applyNumberFormat="1" applyFont="1"/>
    <xf numFmtId="10" fontId="56" fillId="0" borderId="0" xfId="2" applyNumberFormat="1" applyFont="1"/>
    <xf numFmtId="166" fontId="56" fillId="0" borderId="0" xfId="2" applyNumberFormat="1" applyFont="1"/>
    <xf numFmtId="9" fontId="56" fillId="0" borderId="0" xfId="2" applyNumberFormat="1" applyFont="1" applyAlignment="1">
      <alignment wrapText="1"/>
    </xf>
    <xf numFmtId="166" fontId="56" fillId="0" borderId="0" xfId="2" applyNumberFormat="1" applyFont="1" applyAlignment="1">
      <alignment wrapText="1"/>
    </xf>
    <xf numFmtId="166" fontId="88" fillId="0" borderId="0" xfId="2" applyNumberFormat="1" applyFont="1" applyAlignment="1">
      <alignment wrapText="1"/>
    </xf>
    <xf numFmtId="10" fontId="88" fillId="0" borderId="0" xfId="2" applyNumberFormat="1" applyFont="1" applyAlignment="1">
      <alignment wrapText="1"/>
    </xf>
    <xf numFmtId="9" fontId="54" fillId="8" borderId="0" xfId="2" applyNumberFormat="1" applyFont="1" applyFill="1"/>
    <xf numFmtId="9" fontId="88" fillId="8" borderId="0" xfId="2" applyNumberFormat="1" applyFont="1" applyFill="1" applyAlignment="1">
      <alignment wrapText="1"/>
    </xf>
    <xf numFmtId="9" fontId="88" fillId="8" borderId="0" xfId="2" applyNumberFormat="1" applyFont="1" applyFill="1"/>
    <xf numFmtId="10" fontId="56" fillId="0" borderId="0" xfId="2" applyNumberFormat="1" applyFont="1" applyAlignment="1">
      <alignment wrapText="1"/>
    </xf>
    <xf numFmtId="0" fontId="56" fillId="0" borderId="0" xfId="2" applyFont="1" applyAlignment="1">
      <alignment horizontal="right" wrapText="1"/>
    </xf>
    <xf numFmtId="0" fontId="95" fillId="0" borderId="0" xfId="2" applyFont="1" applyAlignment="1">
      <alignment wrapText="1"/>
    </xf>
    <xf numFmtId="1" fontId="88" fillId="0" borderId="0" xfId="2" applyNumberFormat="1" applyFont="1" applyAlignment="1">
      <alignment wrapText="1"/>
    </xf>
    <xf numFmtId="0" fontId="55" fillId="9" borderId="0" xfId="4" applyFont="1" applyAlignment="1">
      <alignment wrapText="1"/>
    </xf>
    <xf numFmtId="0" fontId="59" fillId="11" borderId="0" xfId="6" applyFont="1" applyAlignment="1">
      <alignment wrapText="1"/>
    </xf>
    <xf numFmtId="0" fontId="62" fillId="10" borderId="0" xfId="5" applyFont="1" applyAlignment="1">
      <alignment wrapText="1"/>
    </xf>
    <xf numFmtId="167" fontId="55" fillId="9" borderId="0" xfId="4" applyNumberFormat="1" applyFont="1" applyAlignment="1">
      <alignment wrapText="1"/>
    </xf>
    <xf numFmtId="11" fontId="55" fillId="9" borderId="0" xfId="4" applyNumberFormat="1" applyFont="1" applyAlignment="1">
      <alignment wrapText="1"/>
    </xf>
    <xf numFmtId="0" fontId="65" fillId="0" borderId="0" xfId="1" applyFont="1"/>
    <xf numFmtId="11" fontId="59" fillId="11" borderId="0" xfId="6" applyNumberFormat="1" applyFont="1" applyAlignment="1">
      <alignment wrapText="1"/>
    </xf>
    <xf numFmtId="169" fontId="62" fillId="10" borderId="0" xfId="5" applyNumberFormat="1" applyFont="1" applyAlignment="1">
      <alignment wrapText="1"/>
    </xf>
    <xf numFmtId="2" fontId="56" fillId="0" borderId="0" xfId="2" applyNumberFormat="1" applyFont="1" applyAlignment="1">
      <alignment horizontal="right" wrapText="1"/>
    </xf>
    <xf numFmtId="11" fontId="56" fillId="0" borderId="0" xfId="2" applyNumberFormat="1" applyFont="1"/>
    <xf numFmtId="2" fontId="56" fillId="0" borderId="0" xfId="2" applyNumberFormat="1" applyFont="1"/>
    <xf numFmtId="11" fontId="56" fillId="8" borderId="0" xfId="2" applyNumberFormat="1" applyFont="1" applyFill="1"/>
    <xf numFmtId="0" fontId="56" fillId="0" borderId="2" xfId="2" applyFont="1" applyBorder="1" applyAlignment="1">
      <alignment wrapText="1"/>
    </xf>
    <xf numFmtId="0" fontId="55" fillId="9" borderId="4" xfId="4" applyFont="1" applyBorder="1" applyAlignment="1">
      <alignment wrapText="1"/>
    </xf>
    <xf numFmtId="0" fontId="55" fillId="9" borderId="4" xfId="4" quotePrefix="1" applyFont="1" applyBorder="1" applyAlignment="1">
      <alignment wrapText="1"/>
    </xf>
    <xf numFmtId="1" fontId="55" fillId="9" borderId="4" xfId="4" quotePrefix="1" applyNumberFormat="1" applyFont="1" applyBorder="1" applyAlignment="1">
      <alignment wrapText="1"/>
    </xf>
    <xf numFmtId="0" fontId="55" fillId="9" borderId="0" xfId="4" applyFont="1" applyBorder="1" applyAlignment="1">
      <alignment wrapText="1"/>
    </xf>
    <xf numFmtId="0" fontId="55" fillId="9" borderId="0" xfId="4" quotePrefix="1" applyFont="1" applyBorder="1" applyAlignment="1">
      <alignment wrapText="1"/>
    </xf>
    <xf numFmtId="1" fontId="55" fillId="9" borderId="0" xfId="4" quotePrefix="1" applyNumberFormat="1" applyFont="1" applyBorder="1" applyAlignment="1">
      <alignment wrapText="1"/>
    </xf>
    <xf numFmtId="0" fontId="96" fillId="9" borderId="0" xfId="4" applyFont="1" applyBorder="1" applyAlignment="1">
      <alignment wrapText="1"/>
    </xf>
    <xf numFmtId="1" fontId="96" fillId="9" borderId="0" xfId="4" applyNumberFormat="1" applyFont="1" applyBorder="1" applyAlignment="1">
      <alignment wrapText="1"/>
    </xf>
    <xf numFmtId="0" fontId="88" fillId="0" borderId="0" xfId="2" applyFont="1"/>
    <xf numFmtId="0" fontId="55" fillId="9" borderId="0" xfId="4" applyFont="1" applyBorder="1"/>
    <xf numFmtId="0" fontId="55" fillId="9" borderId="2" xfId="4" applyFont="1" applyBorder="1"/>
    <xf numFmtId="0" fontId="55" fillId="9" borderId="6" xfId="4" applyFont="1" applyBorder="1" applyAlignment="1">
      <alignment wrapText="1"/>
    </xf>
    <xf numFmtId="167" fontId="55" fillId="9" borderId="6" xfId="4" applyNumberFormat="1" applyFont="1" applyBorder="1" applyAlignment="1">
      <alignment wrapText="1"/>
    </xf>
    <xf numFmtId="167" fontId="55" fillId="9" borderId="7" xfId="4" applyNumberFormat="1" applyFont="1" applyBorder="1"/>
    <xf numFmtId="0" fontId="55" fillId="9" borderId="7" xfId="4" applyFont="1" applyBorder="1"/>
    <xf numFmtId="0" fontId="56" fillId="0" borderId="0" xfId="2" applyFont="1" applyFill="1" applyAlignment="1">
      <alignment wrapText="1"/>
    </xf>
    <xf numFmtId="0" fontId="56" fillId="0" borderId="0" xfId="2" applyFont="1" applyFill="1" applyBorder="1" applyAlignment="1">
      <alignment wrapText="1"/>
    </xf>
    <xf numFmtId="0" fontId="56" fillId="0" borderId="0" xfId="2" applyFont="1" applyFill="1" applyBorder="1"/>
    <xf numFmtId="0" fontId="56" fillId="0" borderId="0" xfId="2" applyFont="1" applyFill="1"/>
    <xf numFmtId="165" fontId="54" fillId="0" borderId="0" xfId="2" applyNumberFormat="1" applyFont="1" applyAlignment="1">
      <alignment wrapText="1"/>
    </xf>
    <xf numFmtId="2" fontId="54" fillId="0" borderId="0" xfId="2" applyNumberFormat="1" applyFont="1" applyAlignment="1">
      <alignment wrapText="1"/>
    </xf>
    <xf numFmtId="1" fontId="54" fillId="0" borderId="0" xfId="2" applyNumberFormat="1" applyFont="1" applyAlignment="1">
      <alignment wrapText="1"/>
    </xf>
    <xf numFmtId="171" fontId="56" fillId="0" borderId="0" xfId="2" applyNumberFormat="1" applyFont="1" applyAlignment="1">
      <alignment wrapText="1"/>
    </xf>
    <xf numFmtId="0" fontId="54" fillId="8" borderId="13" xfId="2" applyFont="1" applyFill="1" applyBorder="1" applyAlignment="1">
      <alignment horizontal="center"/>
    </xf>
    <xf numFmtId="0" fontId="54" fillId="8" borderId="10" xfId="2" applyFont="1" applyFill="1" applyBorder="1" applyAlignment="1">
      <alignment horizontal="center"/>
    </xf>
    <xf numFmtId="0" fontId="54" fillId="8" borderId="14" xfId="2" applyFont="1" applyFill="1" applyBorder="1" applyAlignment="1">
      <alignment horizontal="center"/>
    </xf>
    <xf numFmtId="0" fontId="59" fillId="11" borderId="4" xfId="6" applyFont="1" applyBorder="1" applyAlignment="1">
      <alignment wrapText="1"/>
    </xf>
    <xf numFmtId="1" fontId="59" fillId="11" borderId="4" xfId="6" quotePrefix="1" applyNumberFormat="1" applyFont="1" applyBorder="1" applyAlignment="1">
      <alignment wrapText="1"/>
    </xf>
    <xf numFmtId="1" fontId="59" fillId="8" borderId="19" xfId="6" quotePrefix="1" applyNumberFormat="1" applyFont="1" applyFill="1" applyBorder="1" applyAlignment="1">
      <alignment wrapText="1"/>
    </xf>
    <xf numFmtId="1" fontId="59" fillId="8" borderId="4" xfId="6" quotePrefix="1" applyNumberFormat="1" applyFont="1" applyFill="1" applyBorder="1" applyAlignment="1">
      <alignment wrapText="1"/>
    </xf>
    <xf numFmtId="1" fontId="59" fillId="8" borderId="4" xfId="6" applyNumberFormat="1" applyFont="1" applyFill="1" applyBorder="1" applyAlignment="1">
      <alignment wrapText="1"/>
    </xf>
    <xf numFmtId="0" fontId="59" fillId="11" borderId="0" xfId="6" applyFont="1" applyBorder="1" applyAlignment="1">
      <alignment wrapText="1"/>
    </xf>
    <xf numFmtId="1" fontId="59" fillId="11" borderId="0" xfId="6" applyNumberFormat="1" applyFont="1" applyBorder="1"/>
    <xf numFmtId="1" fontId="59" fillId="8" borderId="11" xfId="6" applyNumberFormat="1" applyFont="1" applyFill="1" applyBorder="1"/>
    <xf numFmtId="1" fontId="59" fillId="8" borderId="0" xfId="6" applyNumberFormat="1" applyFont="1" applyFill="1" applyBorder="1"/>
    <xf numFmtId="1" fontId="59" fillId="8" borderId="15" xfId="6" applyNumberFormat="1" applyFont="1" applyFill="1" applyBorder="1"/>
    <xf numFmtId="0" fontId="66" fillId="11" borderId="4" xfId="6" applyFont="1" applyBorder="1" applyAlignment="1">
      <alignment wrapText="1"/>
    </xf>
    <xf numFmtId="1" fontId="66" fillId="11" borderId="0" xfId="6" applyNumberFormat="1" applyFont="1" applyBorder="1" applyAlignment="1">
      <alignment wrapText="1"/>
    </xf>
    <xf numFmtId="1" fontId="66" fillId="8" borderId="16" xfId="6" applyNumberFormat="1" applyFont="1" applyFill="1" applyBorder="1" applyAlignment="1">
      <alignment wrapText="1"/>
    </xf>
    <xf numFmtId="1" fontId="66" fillId="8" borderId="17" xfId="6" applyNumberFormat="1" applyFont="1" applyFill="1" applyBorder="1" applyAlignment="1">
      <alignment wrapText="1"/>
    </xf>
    <xf numFmtId="1" fontId="66" fillId="8" borderId="18" xfId="6" applyNumberFormat="1" applyFont="1" applyFill="1" applyBorder="1" applyAlignment="1">
      <alignment wrapText="1"/>
    </xf>
    <xf numFmtId="0" fontId="59" fillId="11" borderId="0" xfId="6" applyFont="1" applyBorder="1"/>
    <xf numFmtId="0" fontId="59" fillId="11" borderId="6" xfId="6" applyFont="1" applyBorder="1" applyAlignment="1">
      <alignment wrapText="1"/>
    </xf>
    <xf numFmtId="0" fontId="56" fillId="3" borderId="0" xfId="2" applyFont="1" applyFill="1" applyBorder="1" applyAlignment="1">
      <alignment wrapText="1"/>
    </xf>
    <xf numFmtId="1" fontId="56" fillId="3" borderId="0" xfId="2" applyNumberFormat="1" applyFont="1" applyFill="1" applyBorder="1" applyAlignment="1">
      <alignment wrapText="1"/>
    </xf>
    <xf numFmtId="1" fontId="54" fillId="3" borderId="0" xfId="2" applyNumberFormat="1" applyFont="1" applyFill="1" applyBorder="1" applyAlignment="1">
      <alignment wrapText="1"/>
    </xf>
    <xf numFmtId="1" fontId="54" fillId="0" borderId="0" xfId="2" applyNumberFormat="1" applyFont="1" applyFill="1" applyAlignment="1">
      <alignment wrapText="1"/>
    </xf>
    <xf numFmtId="0" fontId="54" fillId="4" borderId="3" xfId="2" applyFont="1" applyFill="1" applyBorder="1" applyAlignment="1">
      <alignment horizontal="right" wrapText="1"/>
    </xf>
    <xf numFmtId="0" fontId="62" fillId="10" borderId="4" xfId="5" applyFont="1" applyBorder="1" applyAlignment="1">
      <alignment wrapText="1"/>
    </xf>
    <xf numFmtId="0" fontId="62" fillId="10" borderId="4" xfId="5" quotePrefix="1" applyFont="1" applyBorder="1" applyAlignment="1">
      <alignment wrapText="1"/>
    </xf>
    <xf numFmtId="1" fontId="62" fillId="10" borderId="4" xfId="5" quotePrefix="1" applyNumberFormat="1" applyFont="1" applyBorder="1" applyAlignment="1">
      <alignment wrapText="1"/>
    </xf>
    <xf numFmtId="0" fontId="54" fillId="4" borderId="1" xfId="2" applyFont="1" applyFill="1" applyBorder="1" applyAlignment="1">
      <alignment horizontal="right" wrapText="1"/>
    </xf>
    <xf numFmtId="0" fontId="62" fillId="10" borderId="0" xfId="5" applyFont="1" applyBorder="1" applyAlignment="1">
      <alignment wrapText="1"/>
    </xf>
    <xf numFmtId="1" fontId="62" fillId="10" borderId="0" xfId="5" quotePrefix="1" applyNumberFormat="1" applyFont="1" applyBorder="1" applyAlignment="1">
      <alignment wrapText="1"/>
    </xf>
    <xf numFmtId="1" fontId="97" fillId="10" borderId="0" xfId="5" applyNumberFormat="1" applyFont="1" applyBorder="1" applyAlignment="1">
      <alignment wrapText="1"/>
    </xf>
    <xf numFmtId="0" fontId="56" fillId="4" borderId="1" xfId="2" applyFont="1" applyFill="1" applyBorder="1" applyAlignment="1">
      <alignment wrapText="1"/>
    </xf>
    <xf numFmtId="0" fontId="62" fillId="10" borderId="0" xfId="5" applyFont="1" applyBorder="1"/>
    <xf numFmtId="0" fontId="62" fillId="10" borderId="2" xfId="5" applyFont="1" applyBorder="1"/>
    <xf numFmtId="0" fontId="56" fillId="4" borderId="5" xfId="2" applyFont="1" applyFill="1" applyBorder="1" applyAlignment="1">
      <alignment wrapText="1"/>
    </xf>
    <xf numFmtId="0" fontId="62" fillId="10" borderId="6" xfId="5" applyFont="1" applyBorder="1" applyAlignment="1">
      <alignment wrapText="1"/>
    </xf>
    <xf numFmtId="167" fontId="62" fillId="10" borderId="6" xfId="5" applyNumberFormat="1" applyFont="1" applyBorder="1" applyAlignment="1">
      <alignment wrapText="1"/>
    </xf>
    <xf numFmtId="0" fontId="56" fillId="4" borderId="0" xfId="2" applyFont="1" applyFill="1" applyBorder="1" applyAlignment="1">
      <alignment wrapText="1"/>
    </xf>
    <xf numFmtId="0" fontId="56" fillId="0" borderId="0" xfId="2" applyFont="1" applyBorder="1" applyAlignment="1">
      <alignment wrapText="1"/>
    </xf>
    <xf numFmtId="0" fontId="56" fillId="0" borderId="0" xfId="2" applyFont="1" applyBorder="1"/>
    <xf numFmtId="0" fontId="54" fillId="0" borderId="0" xfId="2" applyFont="1" applyAlignment="1">
      <alignment horizontal="right"/>
    </xf>
    <xf numFmtId="0" fontId="82" fillId="0" borderId="0" xfId="2" applyFont="1" applyAlignment="1">
      <alignment horizontal="center" wrapText="1"/>
    </xf>
    <xf numFmtId="0" fontId="54" fillId="0" borderId="0" xfId="2" applyFont="1" applyBorder="1" applyAlignment="1">
      <alignment horizontal="center"/>
    </xf>
    <xf numFmtId="1" fontId="56" fillId="0" borderId="0" xfId="2" applyNumberFormat="1" applyFont="1" applyBorder="1"/>
    <xf numFmtId="1" fontId="55" fillId="9" borderId="0" xfId="4" applyNumberFormat="1" applyFont="1" applyBorder="1" applyAlignment="1">
      <alignment wrapText="1"/>
    </xf>
    <xf numFmtId="167" fontId="88" fillId="0" borderId="0" xfId="2" applyNumberFormat="1" applyFont="1"/>
    <xf numFmtId="167" fontId="56" fillId="0" borderId="0" xfId="2" applyNumberFormat="1" applyFont="1"/>
    <xf numFmtId="167" fontId="56" fillId="0" borderId="0" xfId="2" applyNumberFormat="1" applyFont="1" applyBorder="1"/>
    <xf numFmtId="0" fontId="56" fillId="8" borderId="0" xfId="2" applyFont="1" applyFill="1"/>
    <xf numFmtId="170" fontId="56" fillId="0" borderId="0" xfId="2" applyNumberFormat="1" applyFont="1"/>
    <xf numFmtId="1" fontId="56" fillId="8" borderId="13" xfId="2" applyNumberFormat="1" applyFont="1" applyFill="1" applyBorder="1"/>
    <xf numFmtId="1" fontId="56" fillId="8" borderId="10" xfId="2" applyNumberFormat="1" applyFont="1" applyFill="1" applyBorder="1"/>
    <xf numFmtId="1" fontId="56" fillId="8" borderId="14" xfId="2" applyNumberFormat="1" applyFont="1" applyFill="1" applyBorder="1"/>
    <xf numFmtId="166" fontId="55" fillId="9" borderId="9" xfId="4" applyNumberFormat="1" applyFont="1" applyBorder="1" applyAlignment="1">
      <alignment wrapText="1"/>
    </xf>
    <xf numFmtId="1" fontId="59" fillId="11" borderId="0" xfId="6" applyNumberFormat="1" applyFont="1" applyBorder="1" applyAlignment="1">
      <alignment wrapText="1"/>
    </xf>
    <xf numFmtId="1" fontId="59" fillId="8" borderId="16" xfId="6" applyNumberFormat="1" applyFont="1" applyFill="1" applyBorder="1" applyAlignment="1">
      <alignment wrapText="1"/>
    </xf>
    <xf numFmtId="1" fontId="59" fillId="8" borderId="17" xfId="6" applyNumberFormat="1" applyFont="1" applyFill="1" applyBorder="1" applyAlignment="1">
      <alignment wrapText="1"/>
    </xf>
    <xf numFmtId="1" fontId="59" fillId="8" borderId="18" xfId="6" applyNumberFormat="1" applyFont="1" applyFill="1" applyBorder="1" applyAlignment="1">
      <alignment wrapText="1"/>
    </xf>
    <xf numFmtId="166" fontId="59" fillId="11" borderId="9" xfId="6" applyNumberFormat="1" applyFont="1" applyBorder="1"/>
    <xf numFmtId="166" fontId="62" fillId="10" borderId="9" xfId="5" applyNumberFormat="1" applyFont="1" applyBorder="1"/>
    <xf numFmtId="1" fontId="62" fillId="10" borderId="0" xfId="5" applyNumberFormat="1" applyFont="1" applyBorder="1" applyAlignment="1">
      <alignment wrapText="1"/>
    </xf>
    <xf numFmtId="1" fontId="54" fillId="0" borderId="0" xfId="2" applyNumberFormat="1" applyFont="1"/>
    <xf numFmtId="1" fontId="56" fillId="8" borderId="11" xfId="2" applyNumberFormat="1" applyFont="1" applyFill="1" applyBorder="1"/>
    <xf numFmtId="1" fontId="56" fillId="8" borderId="0" xfId="2" applyNumberFormat="1" applyFont="1" applyFill="1" applyBorder="1"/>
    <xf numFmtId="1" fontId="56" fillId="8" borderId="15" xfId="2" applyNumberFormat="1" applyFont="1" applyFill="1" applyBorder="1"/>
    <xf numFmtId="1" fontId="56" fillId="8" borderId="16" xfId="2" applyNumberFormat="1" applyFont="1" applyFill="1" applyBorder="1"/>
    <xf numFmtId="1" fontId="56" fillId="8" borderId="17" xfId="2" applyNumberFormat="1" applyFont="1" applyFill="1" applyBorder="1"/>
    <xf numFmtId="1" fontId="56" fillId="8" borderId="18" xfId="2" applyNumberFormat="1" applyFont="1" applyFill="1" applyBorder="1"/>
    <xf numFmtId="168" fontId="56" fillId="0" borderId="0" xfId="2" applyNumberFormat="1" applyFont="1"/>
    <xf numFmtId="169" fontId="56" fillId="0" borderId="0" xfId="2" applyNumberFormat="1" applyFont="1"/>
    <xf numFmtId="0" fontId="54" fillId="8" borderId="0" xfId="2" applyFont="1" applyFill="1" applyAlignment="1">
      <alignment horizontal="center"/>
    </xf>
    <xf numFmtId="3" fontId="56" fillId="8" borderId="0" xfId="5" applyNumberFormat="1" applyFont="1" applyFill="1" applyBorder="1"/>
    <xf numFmtId="0" fontId="54" fillId="0" borderId="13" xfId="0" applyFont="1" applyBorder="1" applyAlignment="1">
      <alignment horizontal="center"/>
    </xf>
    <xf numFmtId="0" fontId="54" fillId="0" borderId="10" xfId="0" applyFont="1" applyBorder="1" applyAlignment="1">
      <alignment horizontal="center"/>
    </xf>
    <xf numFmtId="0" fontId="89" fillId="0" borderId="10" xfId="0" applyFont="1" applyBorder="1" applyAlignment="1">
      <alignment horizontal="center"/>
    </xf>
    <xf numFmtId="0" fontId="89" fillId="0" borderId="14" xfId="0" applyFont="1" applyBorder="1" applyAlignment="1">
      <alignment horizontal="center"/>
    </xf>
    <xf numFmtId="0" fontId="89" fillId="0" borderId="0" xfId="0" applyFont="1" applyAlignment="1">
      <alignment horizontal="center"/>
    </xf>
    <xf numFmtId="0" fontId="56" fillId="0" borderId="11" xfId="0" applyFont="1" applyBorder="1"/>
    <xf numFmtId="0" fontId="56" fillId="0" borderId="0" xfId="0" applyFont="1" applyBorder="1"/>
    <xf numFmtId="0" fontId="56" fillId="0" borderId="15" xfId="0" applyFont="1" applyBorder="1"/>
    <xf numFmtId="1" fontId="55" fillId="9" borderId="28" xfId="4" applyNumberFormat="1" applyFont="1" applyBorder="1" applyAlignment="1">
      <alignment wrapText="1"/>
    </xf>
    <xf numFmtId="1" fontId="55" fillId="9" borderId="29" xfId="4" applyNumberFormat="1" applyFont="1" applyBorder="1" applyAlignment="1">
      <alignment wrapText="1"/>
    </xf>
    <xf numFmtId="1" fontId="55" fillId="9" borderId="30" xfId="4" applyNumberFormat="1" applyFont="1" applyBorder="1" applyAlignment="1">
      <alignment wrapText="1"/>
    </xf>
    <xf numFmtId="1" fontId="55" fillId="9" borderId="20" xfId="4" applyNumberFormat="1" applyFont="1" applyBorder="1" applyAlignment="1">
      <alignment wrapText="1"/>
    </xf>
    <xf numFmtId="164" fontId="56" fillId="0" borderId="0" xfId="2" applyNumberFormat="1" applyFont="1" applyAlignment="1">
      <alignment wrapText="1"/>
    </xf>
    <xf numFmtId="0" fontId="54" fillId="0" borderId="0" xfId="2" applyFont="1" applyAlignment="1">
      <alignment horizontal="right" wrapText="1"/>
    </xf>
    <xf numFmtId="1" fontId="59" fillId="11" borderId="21" xfId="6" applyNumberFormat="1" applyFont="1" applyBorder="1" applyAlignment="1">
      <alignment wrapText="1"/>
    </xf>
    <xf numFmtId="0" fontId="56" fillId="0" borderId="0" xfId="0" applyFont="1" applyAlignment="1">
      <alignment horizontal="center" wrapText="1"/>
    </xf>
    <xf numFmtId="0" fontId="55" fillId="9" borderId="8" xfId="4" applyFont="1" applyBorder="1" applyAlignment="1">
      <alignment wrapText="1"/>
    </xf>
    <xf numFmtId="166" fontId="96" fillId="9" borderId="9" xfId="4" applyNumberFormat="1" applyFont="1" applyBorder="1" applyAlignment="1">
      <alignment wrapText="1"/>
    </xf>
    <xf numFmtId="1" fontId="55" fillId="9" borderId="22" xfId="4" applyNumberFormat="1" applyFont="1" applyBorder="1" applyAlignment="1">
      <alignment wrapText="1"/>
    </xf>
    <xf numFmtId="1" fontId="55" fillId="9" borderId="23" xfId="4" applyNumberFormat="1" applyFont="1" applyBorder="1" applyAlignment="1">
      <alignment wrapText="1"/>
    </xf>
    <xf numFmtId="1" fontId="55" fillId="9" borderId="24" xfId="4" applyNumberFormat="1" applyFont="1" applyBorder="1" applyAlignment="1">
      <alignment wrapText="1"/>
    </xf>
    <xf numFmtId="0" fontId="59" fillId="11" borderId="8" xfId="6" applyFont="1" applyBorder="1"/>
    <xf numFmtId="164" fontId="56" fillId="0" borderId="0" xfId="2" applyNumberFormat="1" applyFont="1"/>
    <xf numFmtId="0" fontId="62" fillId="10" borderId="8" xfId="5" applyFont="1" applyBorder="1"/>
    <xf numFmtId="1" fontId="62" fillId="10" borderId="12" xfId="5" applyNumberFormat="1" applyFont="1" applyBorder="1"/>
    <xf numFmtId="164" fontId="56" fillId="0" borderId="0" xfId="2" applyNumberFormat="1" applyFont="1" applyFill="1"/>
    <xf numFmtId="0" fontId="54" fillId="0" borderId="0" xfId="2" applyFont="1" applyFill="1" applyAlignment="1">
      <alignment horizontal="right" wrapText="1"/>
    </xf>
    <xf numFmtId="166" fontId="56" fillId="0" borderId="0" xfId="2" applyNumberFormat="1" applyFont="1" applyFill="1" applyBorder="1"/>
    <xf numFmtId="2" fontId="56" fillId="0" borderId="0" xfId="2" applyNumberFormat="1" applyFont="1" applyFill="1" applyBorder="1"/>
    <xf numFmtId="0" fontId="56" fillId="0" borderId="0" xfId="0" applyFont="1" applyFill="1" applyAlignment="1">
      <alignment wrapText="1"/>
    </xf>
    <xf numFmtId="167" fontId="56" fillId="0" borderId="0" xfId="0" applyNumberFormat="1" applyFont="1"/>
    <xf numFmtId="167" fontId="54" fillId="8" borderId="0" xfId="0" applyNumberFormat="1" applyFont="1" applyFill="1"/>
    <xf numFmtId="164" fontId="56" fillId="0" borderId="0" xfId="0" applyNumberFormat="1" applyFont="1" applyAlignment="1">
      <alignment wrapText="1"/>
    </xf>
    <xf numFmtId="164" fontId="56" fillId="0" borderId="0" xfId="0" applyNumberFormat="1" applyFont="1"/>
    <xf numFmtId="0" fontId="89" fillId="0" borderId="0" xfId="2" applyFont="1" applyAlignment="1">
      <alignment horizontal="center"/>
    </xf>
    <xf numFmtId="0" fontId="94" fillId="0" borderId="0" xfId="2" applyFont="1" applyAlignment="1">
      <alignment horizontal="center"/>
    </xf>
    <xf numFmtId="0" fontId="56" fillId="0" borderId="0" xfId="0" applyFont="1" applyAlignment="1">
      <alignment horizontal="center" wrapText="1"/>
    </xf>
    <xf numFmtId="0" fontId="56" fillId="0" borderId="1" xfId="0" applyFont="1" applyBorder="1" applyAlignment="1">
      <alignment horizontal="center"/>
    </xf>
    <xf numFmtId="0" fontId="17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1" xfId="0" applyFont="1" applyBorder="1" applyAlignment="1">
      <alignment horizontal="center"/>
    </xf>
    <xf numFmtId="0" fontId="53" fillId="0" borderId="0" xfId="0" applyFont="1" applyBorder="1" applyAlignment="1">
      <alignment horizontal="center"/>
    </xf>
  </cellXfs>
  <cellStyles count="7">
    <cellStyle name="Bad" xfId="5" builtinId="27"/>
    <cellStyle name="Good" xfId="4" builtinId="26"/>
    <cellStyle name="Hyperlink" xfId="3" builtinId="8"/>
    <cellStyle name="Neutral" xfId="6" builtinId="28"/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colors>
    <mruColors>
      <color rgb="FFE9A218"/>
      <color rgb="FFE9E2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Electricity usage (TWh) of Production 2015-2025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'Prod old'!$C$92</c:f>
              <c:strCache>
                <c:ptCount val="1"/>
                <c:pt idx="0">
                  <c:v>Production Best</c:v>
                </c:pt>
              </c:strCache>
            </c:strRef>
          </c:tx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 old'!$D$91:$S$91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'Prod old'!$D$92:$S$92</c:f>
              <c:numCache>
                <c:formatCode>0</c:formatCode>
                <c:ptCount val="16"/>
                <c:pt idx="0">
                  <c:v>239.1110640522876</c:v>
                </c:pt>
                <c:pt idx="1">
                  <c:v>238.9120237663333</c:v>
                </c:pt>
                <c:pt idx="2">
                  <c:v>243.698337455733</c:v>
                </c:pt>
                <c:pt idx="3">
                  <c:v>243.2051563401513</c:v>
                </c:pt>
                <c:pt idx="4">
                  <c:v>244.2032325684617</c:v>
                </c:pt>
                <c:pt idx="5">
                  <c:v>253.4577543692055</c:v>
                </c:pt>
                <c:pt idx="6">
                  <c:v>253.7448054260771</c:v>
                </c:pt>
                <c:pt idx="7">
                  <c:v>256.4247143620429</c:v>
                </c:pt>
                <c:pt idx="8">
                  <c:v>262.0004300571042</c:v>
                </c:pt>
                <c:pt idx="9">
                  <c:v>269.7554103265924</c:v>
                </c:pt>
                <c:pt idx="10">
                  <c:v>275.9359059767349</c:v>
                </c:pt>
                <c:pt idx="11">
                  <c:v>266.7768890723481</c:v>
                </c:pt>
                <c:pt idx="12">
                  <c:v>270.0070024696396</c:v>
                </c:pt>
                <c:pt idx="13">
                  <c:v>279.6636507287681</c:v>
                </c:pt>
                <c:pt idx="14">
                  <c:v>297.2122002099957</c:v>
                </c:pt>
                <c:pt idx="15">
                  <c:v>325.5122372107323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'Prod old'!$C$93</c:f>
              <c:strCache>
                <c:ptCount val="1"/>
                <c:pt idx="0">
                  <c:v>Production Expected</c:v>
                </c:pt>
              </c:strCache>
            </c:strRef>
          </c:tx>
          <c:xVal>
            <c:numRef>
              <c:f>'Prod old'!$D$91:$S$91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'Prod old'!$D$93:$S$93</c:f>
              <c:numCache>
                <c:formatCode>#,##0</c:formatCode>
                <c:ptCount val="16"/>
                <c:pt idx="0">
                  <c:v>386.5761883044982</c:v>
                </c:pt>
                <c:pt idx="1">
                  <c:v>397.514172259669</c:v>
                </c:pt>
                <c:pt idx="2">
                  <c:v>419.6427432250203</c:v>
                </c:pt>
                <c:pt idx="3">
                  <c:v>419.0960974701486</c:v>
                </c:pt>
                <c:pt idx="4">
                  <c:v>433.286417629253</c:v>
                </c:pt>
                <c:pt idx="5">
                  <c:v>452.189670565631</c:v>
                </c:pt>
                <c:pt idx="6">
                  <c:v>465.9154435598585</c:v>
                </c:pt>
                <c:pt idx="7">
                  <c:v>488.5483813946496</c:v>
                </c:pt>
                <c:pt idx="8">
                  <c:v>521.588453152957</c:v>
                </c:pt>
                <c:pt idx="9">
                  <c:v>563.3042628326133</c:v>
                </c:pt>
                <c:pt idx="10">
                  <c:v>610.995585589933</c:v>
                </c:pt>
                <c:pt idx="11">
                  <c:v>642.4283812572653</c:v>
                </c:pt>
                <c:pt idx="12">
                  <c:v>714.5585771946605</c:v>
                </c:pt>
                <c:pt idx="13">
                  <c:v>817.7281521398367</c:v>
                </c:pt>
                <c:pt idx="14">
                  <c:v>959.4982797447386</c:v>
                </c:pt>
                <c:pt idx="15">
                  <c:v>1151.081469577281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729712"/>
        <c:axId val="1643980144"/>
      </c:scatterChart>
      <c:valAx>
        <c:axId val="1657729712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0225619687881"/>
              <c:y val="0.9468537684822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43980144"/>
        <c:crosses val="autoZero"/>
        <c:crossBetween val="midCat"/>
      </c:valAx>
      <c:valAx>
        <c:axId val="164398014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657729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5" l="0.700000000000001" r="0.700000000000001" t="0.75000000000001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Global Electricity usage (TWh) of Fixed access wired networks 2015-2025</a:t>
            </a:r>
          </a:p>
        </c:rich>
      </c:tx>
      <c:layout>
        <c:manualLayout>
          <c:xMode val="edge"/>
          <c:yMode val="edge"/>
          <c:x val="0.065254167262349"/>
          <c:y val="0.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'WAN FAN Wi-Fi NDBS'!$D$297</c:f>
              <c:strCache>
                <c:ptCount val="1"/>
                <c:pt idx="0">
                  <c:v>Fixed access wired Best</c:v>
                </c:pt>
              </c:strCache>
            </c:strRef>
          </c:tx>
          <c:dLbls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 FAN Wi-Fi NDBS'!$E$296:$T$296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'WAN FAN Wi-Fi NDBS'!$E$297:$T$297</c:f>
              <c:numCache>
                <c:formatCode>#,##0</c:formatCode>
                <c:ptCount val="16"/>
                <c:pt idx="0">
                  <c:v>162.0</c:v>
                </c:pt>
                <c:pt idx="1">
                  <c:v>178.0</c:v>
                </c:pt>
                <c:pt idx="2">
                  <c:v>196.24</c:v>
                </c:pt>
                <c:pt idx="3">
                  <c:v>183.7328314893617</c:v>
                </c:pt>
                <c:pt idx="4">
                  <c:v>172.760409046383</c:v>
                </c:pt>
                <c:pt idx="5">
                  <c:v>151.6368426344478</c:v>
                </c:pt>
                <c:pt idx="6">
                  <c:v>139.8565025025682</c:v>
                </c:pt>
                <c:pt idx="7">
                  <c:v>129.3192278331542</c:v>
                </c:pt>
                <c:pt idx="8">
                  <c:v>119.8774627987109</c:v>
                </c:pt>
                <c:pt idx="9">
                  <c:v>111.4017699128026</c:v>
                </c:pt>
                <c:pt idx="10">
                  <c:v>103.7785855596299</c:v>
                </c:pt>
                <c:pt idx="11">
                  <c:v>96.908254188636</c:v>
                </c:pt>
                <c:pt idx="12">
                  <c:v>111.184698359689</c:v>
                </c:pt>
                <c:pt idx="13">
                  <c:v>127.8517775813497</c:v>
                </c:pt>
                <c:pt idx="14">
                  <c:v>147.3367003555943</c:v>
                </c:pt>
                <c:pt idx="15">
                  <c:v>170.1452306641239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'WAN FAN Wi-Fi NDBS'!$D$298</c:f>
              <c:strCache>
                <c:ptCount val="1"/>
                <c:pt idx="0">
                  <c:v>Fixed access wired Expected</c:v>
                </c:pt>
              </c:strCache>
            </c:strRef>
          </c:tx>
          <c:dLbls>
            <c:dLbl>
              <c:idx val="5"/>
              <c:layout>
                <c:manualLayout>
                  <c:x val="-0.0184899329958314"/>
                  <c:y val="-0.04678315180303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 FAN Wi-Fi NDBS'!$E$296:$T$296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'WAN FAN Wi-Fi NDBS'!$E$298:$T$298</c:f>
              <c:numCache>
                <c:formatCode>#,##0</c:formatCode>
                <c:ptCount val="16"/>
                <c:pt idx="0">
                  <c:v>162.0</c:v>
                </c:pt>
                <c:pt idx="1">
                  <c:v>178.0</c:v>
                </c:pt>
                <c:pt idx="2">
                  <c:v>196.24</c:v>
                </c:pt>
                <c:pt idx="3">
                  <c:v>201.5134280851064</c:v>
                </c:pt>
                <c:pt idx="4">
                  <c:v>207.8158510485106</c:v>
                </c:pt>
                <c:pt idx="5">
                  <c:v>151.6368426344478</c:v>
                </c:pt>
                <c:pt idx="6">
                  <c:v>160.151226453261</c:v>
                </c:pt>
                <c:pt idx="7">
                  <c:v>167.4028678451191</c:v>
                </c:pt>
                <c:pt idx="8">
                  <c:v>175.7124229420803</c:v>
                </c:pt>
                <c:pt idx="9">
                  <c:v>185.1817814510524</c:v>
                </c:pt>
                <c:pt idx="10">
                  <c:v>195.923816426365</c:v>
                </c:pt>
                <c:pt idx="11">
                  <c:v>208.0635286884738</c:v>
                </c:pt>
                <c:pt idx="12">
                  <c:v>247.8262895252048</c:v>
                </c:pt>
                <c:pt idx="13">
                  <c:v>296.1753291809478</c:v>
                </c:pt>
                <c:pt idx="14">
                  <c:v>355.0655116700278</c:v>
                </c:pt>
                <c:pt idx="15">
                  <c:v>426.9058723949608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'WAN FAN Wi-Fi NDBS'!$D$299</c:f>
              <c:strCache>
                <c:ptCount val="1"/>
                <c:pt idx="0">
                  <c:v>Average traffic (ExaBytes/year)×10</c:v>
                </c:pt>
              </c:strCache>
            </c:strRef>
          </c:tx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 FAN Wi-Fi NDBS'!$E$296:$T$296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'WAN FAN Wi-Fi NDBS'!$E$299:$T$299</c:f>
              <c:numCache>
                <c:formatCode>#,##0</c:formatCode>
                <c:ptCount val="16"/>
                <c:pt idx="0">
                  <c:v>162.0</c:v>
                </c:pt>
                <c:pt idx="1">
                  <c:v>178.0</c:v>
                </c:pt>
                <c:pt idx="2">
                  <c:v>196.24</c:v>
                </c:pt>
                <c:pt idx="3">
                  <c:v>230.2584127659574</c:v>
                </c:pt>
                <c:pt idx="4">
                  <c:v>271.905733819149</c:v>
                </c:pt>
                <c:pt idx="5">
                  <c:v>80.9812035</c:v>
                </c:pt>
                <c:pt idx="6">
                  <c:v>98.57545623499999</c:v>
                </c:pt>
                <c:pt idx="7">
                  <c:v>119.52145304555</c:v>
                </c:pt>
                <c:pt idx="8">
                  <c:v>145.4466613164715</c:v>
                </c:pt>
                <c:pt idx="9">
                  <c:v>177.6334974063628</c:v>
                </c:pt>
                <c:pt idx="10">
                  <c:v>217.7117540436275</c:v>
                </c:pt>
                <c:pt idx="11">
                  <c:v>267.7555685689859</c:v>
                </c:pt>
                <c:pt idx="12">
                  <c:v>330.4079535636322</c:v>
                </c:pt>
                <c:pt idx="13">
                  <c:v>409.0408149056715</c:v>
                </c:pt>
                <c:pt idx="14">
                  <c:v>507.9606790940958</c:v>
                </c:pt>
                <c:pt idx="15">
                  <c:v>632.6733180427468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382544"/>
        <c:axId val="1654775104"/>
      </c:scatterChart>
      <c:valAx>
        <c:axId val="1574382544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14312885752082"/>
              <c:y val="0.91610438626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54775104"/>
        <c:crosses val="autoZero"/>
        <c:crossBetween val="midCat"/>
      </c:valAx>
      <c:valAx>
        <c:axId val="1654775104"/>
        <c:scaling>
          <c:orientation val="minMax"/>
          <c:max val="700.0"/>
          <c:min val="0.0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574382544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743139532731684"/>
          <c:y val="0.197268112585314"/>
          <c:w val="0.256860514936944"/>
          <c:h val="0.57459610392121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Global Electricity usage  (TWh) of Fixed access Wi-Fi networks 2015-2025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'WAN FAN Wi-Fi NDBS'!$D$338</c:f>
              <c:strCache>
                <c:ptCount val="1"/>
                <c:pt idx="0">
                  <c:v>Fixed access WiFi Best</c:v>
                </c:pt>
              </c:strCache>
            </c:strRef>
          </c:tx>
          <c:dLbls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 FAN Wi-Fi NDBS'!$E$337:$T$337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'WAN FAN Wi-Fi NDBS'!$E$338:$T$338</c:f>
              <c:numCache>
                <c:formatCode>0</c:formatCode>
                <c:ptCount val="16"/>
                <c:pt idx="0">
                  <c:v>42.1</c:v>
                </c:pt>
                <c:pt idx="1">
                  <c:v>46.4</c:v>
                </c:pt>
                <c:pt idx="2">
                  <c:v>51.4</c:v>
                </c:pt>
                <c:pt idx="3">
                  <c:v>51.7855</c:v>
                </c:pt>
                <c:pt idx="4">
                  <c:v>52.17389125000002</c:v>
                </c:pt>
                <c:pt idx="5">
                  <c:v>46.7302673339844</c:v>
                </c:pt>
                <c:pt idx="6">
                  <c:v>45.26994647979738</c:v>
                </c:pt>
                <c:pt idx="7">
                  <c:v>43.85526065230372</c:v>
                </c:pt>
                <c:pt idx="8">
                  <c:v>42.48478375691923</c:v>
                </c:pt>
                <c:pt idx="9">
                  <c:v>41.15713426451551</c:v>
                </c:pt>
                <c:pt idx="10">
                  <c:v>39.8709738187494</c:v>
                </c:pt>
                <c:pt idx="11">
                  <c:v>38.62500588691347</c:v>
                </c:pt>
                <c:pt idx="12">
                  <c:v>45.86719449070975</c:v>
                </c:pt>
                <c:pt idx="13">
                  <c:v>54.46729345771782</c:v>
                </c:pt>
                <c:pt idx="14">
                  <c:v>64.67991098103991</c:v>
                </c:pt>
                <c:pt idx="15">
                  <c:v>76.8073942899849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'WAN FAN Wi-Fi NDBS'!$D$339</c:f>
              <c:strCache>
                <c:ptCount val="1"/>
                <c:pt idx="0">
                  <c:v>Fixed access WiFi Expected</c:v>
                </c:pt>
              </c:strCache>
            </c:strRef>
          </c:tx>
          <c:dLbls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 FAN Wi-Fi NDBS'!$E$337:$T$337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'WAN FAN Wi-Fi NDBS'!$E$339:$T$339</c:f>
              <c:numCache>
                <c:formatCode>0</c:formatCode>
                <c:ptCount val="16"/>
                <c:pt idx="0">
                  <c:v>42.1</c:v>
                </c:pt>
                <c:pt idx="1">
                  <c:v>46.4</c:v>
                </c:pt>
                <c:pt idx="2">
                  <c:v>51.4</c:v>
                </c:pt>
                <c:pt idx="3">
                  <c:v>56.797</c:v>
                </c:pt>
                <c:pt idx="4">
                  <c:v>62.760685</c:v>
                </c:pt>
                <c:pt idx="5">
                  <c:v>46.7302673339844</c:v>
                </c:pt>
                <c:pt idx="6">
                  <c:v>52.88262501552967</c:v>
                </c:pt>
                <c:pt idx="7">
                  <c:v>58.43530064216028</c:v>
                </c:pt>
                <c:pt idx="8">
                  <c:v>64.57100720958712</c:v>
                </c:pt>
                <c:pt idx="9">
                  <c:v>71.35096296659377</c:v>
                </c:pt>
                <c:pt idx="10">
                  <c:v>78.84281407808612</c:v>
                </c:pt>
                <c:pt idx="11">
                  <c:v>87.12130955628517</c:v>
                </c:pt>
                <c:pt idx="12">
                  <c:v>107.5948173020122</c:v>
                </c:pt>
                <c:pt idx="13">
                  <c:v>132.8795993679851</c:v>
                </c:pt>
                <c:pt idx="14">
                  <c:v>164.1063052194615</c:v>
                </c:pt>
                <c:pt idx="15">
                  <c:v>202.671286946035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'WAN FAN Wi-Fi NDBS'!$D$340</c:f>
              <c:strCache>
                <c:ptCount val="1"/>
                <c:pt idx="0">
                  <c:v>Average Wi-Fi traffic (ExaBytes/year) ×10</c:v>
                </c:pt>
              </c:strCache>
            </c:strRef>
          </c:tx>
          <c:dLbls>
            <c:dLbl>
              <c:idx val="5"/>
              <c:layout>
                <c:manualLayout>
                  <c:x val="-0.0280322810232494"/>
                  <c:y val="-0.0444444444444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 FAN Wi-Fi NDBS'!$E$337:$T$337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'WAN FAN Wi-Fi NDBS'!$E$340:$T$340</c:f>
              <c:numCache>
                <c:formatCode>0</c:formatCode>
                <c:ptCount val="16"/>
                <c:pt idx="0">
                  <c:v>42.1</c:v>
                </c:pt>
                <c:pt idx="1">
                  <c:v>46.4</c:v>
                </c:pt>
                <c:pt idx="2">
                  <c:v>51.4</c:v>
                </c:pt>
                <c:pt idx="3">
                  <c:v>65.9205</c:v>
                </c:pt>
                <c:pt idx="4">
                  <c:v>84.54304125</c:v>
                </c:pt>
                <c:pt idx="5">
                  <c:v>41.50125000000001</c:v>
                </c:pt>
                <c:pt idx="6">
                  <c:v>53.6640625</c:v>
                </c:pt>
                <c:pt idx="7">
                  <c:v>68.54257812500001</c:v>
                </c:pt>
                <c:pt idx="8">
                  <c:v>87.57947265625</c:v>
                </c:pt>
                <c:pt idx="9">
                  <c:v>111.9459658203125</c:v>
                </c:pt>
                <c:pt idx="10">
                  <c:v>143.1455697753906</c:v>
                </c:pt>
                <c:pt idx="11">
                  <c:v>183.1090084692383</c:v>
                </c:pt>
                <c:pt idx="12">
                  <c:v>234.3164207115479</c:v>
                </c:pt>
                <c:pt idx="13">
                  <c:v>299.9547340519349</c:v>
                </c:pt>
                <c:pt idx="14" formatCode="#,##0">
                  <c:v>384.1203881761686</c:v>
                </c:pt>
                <c:pt idx="15" formatCode="#,##0">
                  <c:v>492.0805470148358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390752"/>
        <c:axId val="1659198272"/>
      </c:scatterChart>
      <c:valAx>
        <c:axId val="1640390752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14312885752081"/>
              <c:y val="0.91610438626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59198272"/>
        <c:crosses val="autoZero"/>
        <c:crossBetween val="midCat"/>
      </c:valAx>
      <c:valAx>
        <c:axId val="165919827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640390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3582769742931"/>
          <c:y val="0.174842824485756"/>
          <c:w val="0.2464172390435"/>
          <c:h val="0.6239790026246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Wireless access electricity consumption from 2015 to 2025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877686682537077"/>
          <c:y val="0.0982275262741577"/>
          <c:w val="0.546318452046335"/>
          <c:h val="0.7930701494518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'WAN FAN Wi-Fi NDBS'!$D$236</c:f>
              <c:strCache>
                <c:ptCount val="1"/>
                <c:pt idx="0">
                  <c:v>Wireless (TWh) access Expected</c:v>
                </c:pt>
              </c:strCache>
            </c:strRef>
          </c:tx>
          <c:dLbls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 FAN Wi-Fi NDBS'!$E$235:$T$235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'WAN FAN Wi-Fi NDBS'!$E$236:$T$236</c:f>
              <c:numCache>
                <c:formatCode>0</c:formatCode>
                <c:ptCount val="16"/>
                <c:pt idx="0">
                  <c:v>203.6523670588235</c:v>
                </c:pt>
                <c:pt idx="1">
                  <c:v>200.2558542231529</c:v>
                </c:pt>
                <c:pt idx="2">
                  <c:v>196.6223702311623</c:v>
                </c:pt>
                <c:pt idx="3">
                  <c:v>141.1822978447791</c:v>
                </c:pt>
                <c:pt idx="4">
                  <c:v>129.9315473702701</c:v>
                </c:pt>
                <c:pt idx="5">
                  <c:v>118.4984020382789</c:v>
                </c:pt>
                <c:pt idx="6">
                  <c:v>106.2186338421905</c:v>
                </c:pt>
                <c:pt idx="7">
                  <c:v>92.72085777115143</c:v>
                </c:pt>
                <c:pt idx="8">
                  <c:v>86.2534034007951</c:v>
                </c:pt>
                <c:pt idx="9">
                  <c:v>80.266661220934</c:v>
                </c:pt>
                <c:pt idx="10">
                  <c:v>76.4988361798128</c:v>
                </c:pt>
                <c:pt idx="11">
                  <c:v>76.47032828550645</c:v>
                </c:pt>
                <c:pt idx="12">
                  <c:v>84.33705160711775</c:v>
                </c:pt>
                <c:pt idx="13">
                  <c:v>98.96720290812773</c:v>
                </c:pt>
                <c:pt idx="14">
                  <c:v>115.5103585189842</c:v>
                </c:pt>
                <c:pt idx="15">
                  <c:v>136.5139196356755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'WAN FAN Wi-Fi NDBS'!$D$237</c:f>
              <c:strCache>
                <c:ptCount val="1"/>
                <c:pt idx="0">
                  <c:v>Average 4G data traffic (EB/year)×10</c:v>
                </c:pt>
              </c:strCache>
            </c:strRef>
          </c:tx>
          <c:dLbls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220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 FAN Wi-Fi NDBS'!$E$235:$T$235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'WAN FAN Wi-Fi NDBS'!$E$237:$T$237</c:f>
              <c:numCache>
                <c:formatCode>0.00</c:formatCode>
                <c:ptCount val="16"/>
                <c:pt idx="0">
                  <c:v>0.01152</c:v>
                </c:pt>
                <c:pt idx="1">
                  <c:v>0.03888</c:v>
                </c:pt>
                <c:pt idx="2">
                  <c:v>0.1188</c:v>
                </c:pt>
                <c:pt idx="3">
                  <c:v>0.4032</c:v>
                </c:pt>
                <c:pt idx="4">
                  <c:v>1.344</c:v>
                </c:pt>
                <c:pt idx="5">
                  <c:v>3.102</c:v>
                </c:pt>
                <c:pt idx="6">
                  <c:v>5.772000000000001</c:v>
                </c:pt>
                <c:pt idx="7">
                  <c:v>10.08</c:v>
                </c:pt>
                <c:pt idx="8">
                  <c:v>16.98816</c:v>
                </c:pt>
                <c:pt idx="9">
                  <c:v>29.02214784</c:v>
                </c:pt>
                <c:pt idx="10">
                  <c:v>47.71039795200001</c:v>
                </c:pt>
                <c:pt idx="11">
                  <c:v>72.072</c:v>
                </c:pt>
                <c:pt idx="12">
                  <c:v>95.04000000000002</c:v>
                </c:pt>
                <c:pt idx="13">
                  <c:v>133.65</c:v>
                </c:pt>
                <c:pt idx="14">
                  <c:v>173.745</c:v>
                </c:pt>
                <c:pt idx="15">
                  <c:v>220.5225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'WAN FAN Wi-Fi NDBS'!$D$238</c:f>
              <c:strCache>
                <c:ptCount val="1"/>
                <c:pt idx="0">
                  <c:v>Average 5G data traffic (EB/year)×10</c:v>
                </c:pt>
              </c:strCache>
            </c:strRef>
          </c:tx>
          <c:dLbls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176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 FAN Wi-Fi NDBS'!$E$235:$T$235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'WAN FAN Wi-Fi NDBS'!$E$238:$T$238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0.0445169568607059</c:v>
                </c:pt>
                <c:pt idx="9">
                  <c:v>0.0781871508431428</c:v>
                </c:pt>
                <c:pt idx="10">
                  <c:v>0.530115532800006</c:v>
                </c:pt>
                <c:pt idx="11">
                  <c:v>1.979999999999993</c:v>
                </c:pt>
                <c:pt idx="12">
                  <c:v>18.8726582278481</c:v>
                </c:pt>
                <c:pt idx="13">
                  <c:v>39.91011857074187</c:v>
                </c:pt>
                <c:pt idx="14">
                  <c:v>89.15004927602075</c:v>
                </c:pt>
                <c:pt idx="15">
                  <c:v>176.2455847557159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'WAN FAN Wi-Fi NDBS'!$D$239</c:f>
              <c:strCache>
                <c:ptCount val="1"/>
                <c:pt idx="0">
                  <c:v>Share 4G of Wireless TWh, %</c:v>
                </c:pt>
              </c:strCache>
            </c:strRef>
          </c:tx>
          <c:dLbls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31%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67%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 FAN Wi-Fi NDBS'!$E$235:$T$235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'WAN FAN Wi-Fi NDBS'!$E$239:$T$239</c:f>
              <c:numCache>
                <c:formatCode>0.0</c:formatCode>
                <c:ptCount val="16"/>
                <c:pt idx="0">
                  <c:v>0.0339401898432318</c:v>
                </c:pt>
                <c:pt idx="1">
                  <c:v>0.103676969048127</c:v>
                </c:pt>
                <c:pt idx="2">
                  <c:v>0.282767418247653</c:v>
                </c:pt>
                <c:pt idx="3">
                  <c:v>0.813158742934041</c:v>
                </c:pt>
                <c:pt idx="4">
                  <c:v>2.297282050627668</c:v>
                </c:pt>
                <c:pt idx="5">
                  <c:v>4.534752234030756</c:v>
                </c:pt>
                <c:pt idx="6">
                  <c:v>7.342508832459761</c:v>
                </c:pt>
                <c:pt idx="7">
                  <c:v>11.45767662080037</c:v>
                </c:pt>
                <c:pt idx="8">
                  <c:v>16.19116781234155</c:v>
                </c:pt>
                <c:pt idx="9">
                  <c:v>23.18446220437315</c:v>
                </c:pt>
                <c:pt idx="10">
                  <c:v>31.19288099066994</c:v>
                </c:pt>
                <c:pt idx="11">
                  <c:v>38.88373137893419</c:v>
                </c:pt>
                <c:pt idx="12">
                  <c:v>46.52343379487563</c:v>
                </c:pt>
                <c:pt idx="13">
                  <c:v>55.789291788654</c:v>
                </c:pt>
                <c:pt idx="14">
                  <c:v>62.18046966761887</c:v>
                </c:pt>
                <c:pt idx="15">
                  <c:v>66.82331531146663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'WAN FAN Wi-Fi NDBS'!$D$240</c:f>
              <c:strCache>
                <c:ptCount val="1"/>
                <c:pt idx="0">
                  <c:v>Share 5G of Wireless TWh, %</c:v>
                </c:pt>
              </c:strCache>
            </c:strRef>
          </c:tx>
          <c:dLbls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 FAN Wi-Fi NDBS'!$E$235:$T$235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'WAN FAN Wi-Fi NDBS'!$E$240:$T$240</c:f>
              <c:numCache>
                <c:formatCode>0.0</c:formatCode>
                <c:ptCount val="16"/>
                <c:pt idx="0">
                  <c:v>3.14009835200874E-18</c:v>
                </c:pt>
                <c:pt idx="1">
                  <c:v>-0.000535664340081977</c:v>
                </c:pt>
                <c:pt idx="2">
                  <c:v>-0.000119019376953332</c:v>
                </c:pt>
                <c:pt idx="3">
                  <c:v>-0.00109892208612351</c:v>
                </c:pt>
                <c:pt idx="4">
                  <c:v>-0.00199388730407179</c:v>
                </c:pt>
                <c:pt idx="5">
                  <c:v>0.00211536720598918</c:v>
                </c:pt>
                <c:pt idx="6">
                  <c:v>-0.00127317561886568</c:v>
                </c:pt>
                <c:pt idx="7">
                  <c:v>-0.00293740156062896</c:v>
                </c:pt>
                <c:pt idx="8">
                  <c:v>0.00424284630605351</c:v>
                </c:pt>
                <c:pt idx="9">
                  <c:v>0.00624601271271887</c:v>
                </c:pt>
                <c:pt idx="10">
                  <c:v>0.0346587566563003</c:v>
                </c:pt>
                <c:pt idx="11">
                  <c:v>0.106823437854214</c:v>
                </c:pt>
                <c:pt idx="12">
                  <c:v>0.923843503363432</c:v>
                </c:pt>
                <c:pt idx="13">
                  <c:v>1.665961279657984</c:v>
                </c:pt>
                <c:pt idx="14">
                  <c:v>3.190533215272</c:v>
                </c:pt>
                <c:pt idx="15">
                  <c:v>5.340640652262248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839440"/>
        <c:axId val="1640846048"/>
      </c:scatterChart>
      <c:valAx>
        <c:axId val="1640839440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0846048"/>
        <c:crosses val="autoZero"/>
        <c:crossBetween val="midCat"/>
        <c:majorUnit val="5.0"/>
      </c:valAx>
      <c:valAx>
        <c:axId val="1640846048"/>
        <c:scaling>
          <c:orientation val="minMax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TWh, EB/year</a:t>
                </a:r>
                <a:r>
                  <a:rPr lang="en-US">
                    <a:latin typeface="Calibri"/>
                  </a:rPr>
                  <a:t>,</a:t>
                </a:r>
                <a:r>
                  <a:rPr lang="en-US" baseline="0">
                    <a:latin typeface="Calibri"/>
                  </a:rPr>
                  <a:t> %</a:t>
                </a: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640839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0217343834294"/>
          <c:y val="0.149107473295844"/>
          <c:w val="0.261043578865471"/>
          <c:h val="0.6989243176386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 baseline="0"/>
      </a:pPr>
      <a:endParaRPr lang="en-US"/>
    </a:p>
  </c:txPr>
  <c:printSettings>
    <c:headerFooter/>
    <c:pageMargins b="0.750000000000005" l="0.700000000000001" r="0.700000000000001" t="0.75000000000000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Electricity usage (TWh) of Data Centers 2015-2025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'NDBS DataCenters '!$C$18</c:f>
              <c:strCache>
                <c:ptCount val="1"/>
                <c:pt idx="0">
                  <c:v>Data Centers Best</c:v>
                </c:pt>
              </c:strCache>
            </c:strRef>
          </c:tx>
          <c:dLbls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'NDBS DataCenters '!$D$17:$S$17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'NDBS DataCenters '!$D$18:$S$18</c:f>
              <c:numCache>
                <c:formatCode>#,##0</c:formatCode>
                <c:ptCount val="16"/>
                <c:pt idx="0">
                  <c:v>189.3888</c:v>
                </c:pt>
                <c:pt idx="1">
                  <c:v>192.8448</c:v>
                </c:pt>
                <c:pt idx="2">
                  <c:v>215.87904</c:v>
                </c:pt>
                <c:pt idx="3">
                  <c:v>198.6824630390626</c:v>
                </c:pt>
                <c:pt idx="4">
                  <c:v>200.9822406698145</c:v>
                </c:pt>
                <c:pt idx="5">
                  <c:v>203.3763025360923</c:v>
                </c:pt>
                <c:pt idx="6">
                  <c:v>205.3976552955442</c:v>
                </c:pt>
                <c:pt idx="7">
                  <c:v>222.5272078297683</c:v>
                </c:pt>
                <c:pt idx="8">
                  <c:v>248.2161049540407</c:v>
                </c:pt>
                <c:pt idx="9">
                  <c:v>276.9786485694671</c:v>
                </c:pt>
                <c:pt idx="10">
                  <c:v>309.1650201272084</c:v>
                </c:pt>
                <c:pt idx="11">
                  <c:v>344.7351270754448</c:v>
                </c:pt>
                <c:pt idx="12">
                  <c:v>471.2857967273781</c:v>
                </c:pt>
                <c:pt idx="13">
                  <c:v>644.3301221643178</c:v>
                </c:pt>
                <c:pt idx="14">
                  <c:v>880.9461305648028</c:v>
                </c:pt>
                <c:pt idx="15">
                  <c:v>1204.475891706574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'NDBS DataCenters '!$C$19</c:f>
              <c:strCache>
                <c:ptCount val="1"/>
                <c:pt idx="0">
                  <c:v>Data Centers Expected</c:v>
                </c:pt>
              </c:strCache>
            </c:strRef>
          </c:tx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'NDBS DataCenters '!$D$17:$S$17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'NDBS DataCenters '!$D$19:$S$19</c:f>
              <c:numCache>
                <c:formatCode>#,##0</c:formatCode>
                <c:ptCount val="16"/>
                <c:pt idx="0">
                  <c:v>196.4032</c:v>
                </c:pt>
                <c:pt idx="1">
                  <c:v>232.2432</c:v>
                </c:pt>
                <c:pt idx="2">
                  <c:v>301.91616</c:v>
                </c:pt>
                <c:pt idx="3">
                  <c:v>323.979264</c:v>
                </c:pt>
                <c:pt idx="4">
                  <c:v>381.9715522559999</c:v>
                </c:pt>
                <c:pt idx="5">
                  <c:v>203.3763025360923</c:v>
                </c:pt>
                <c:pt idx="6">
                  <c:v>239.7806606900528</c:v>
                </c:pt>
                <c:pt idx="7">
                  <c:v>302.1236324694665</c:v>
                </c:pt>
                <c:pt idx="8">
                  <c:v>391.5522276804285</c:v>
                </c:pt>
                <c:pt idx="9">
                  <c:v>507.4516870738354</c:v>
                </c:pt>
                <c:pt idx="10">
                  <c:v>657.6573864476906</c:v>
                </c:pt>
                <c:pt idx="11">
                  <c:v>852.323972836207</c:v>
                </c:pt>
                <c:pt idx="12">
                  <c:v>1165.979194839931</c:v>
                </c:pt>
                <c:pt idx="13">
                  <c:v>1595.059538541026</c:v>
                </c:pt>
                <c:pt idx="14">
                  <c:v>2182.041448724122</c:v>
                </c:pt>
                <c:pt idx="15">
                  <c:v>2985.032701854598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'NDBS DataCenters '!$C$20</c:f>
              <c:strCache>
                <c:ptCount val="1"/>
                <c:pt idx="0">
                  <c:v>Average Global Data Center IP Traffic (ZettaBytes/year)</c:v>
                </c:pt>
              </c:strCache>
            </c:strRef>
          </c:tx>
          <c:dLbls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'NDBS DataCenters '!$D$17:$S$17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'NDBS DataCenters '!$D$20:$S$20</c:f>
              <c:numCache>
                <c:formatCode>#,##0</c:formatCode>
                <c:ptCount val="16"/>
                <c:pt idx="0">
                  <c:v>199.20896</c:v>
                </c:pt>
                <c:pt idx="1">
                  <c:v>248.64768</c:v>
                </c:pt>
                <c:pt idx="2">
                  <c:v>341.199872</c:v>
                </c:pt>
                <c:pt idx="3">
                  <c:v>388.0206604749999</c:v>
                </c:pt>
                <c:pt idx="4">
                  <c:v>484.7475905159622</c:v>
                </c:pt>
                <c:pt idx="5">
                  <c:v>5.262088037109375</c:v>
                </c:pt>
                <c:pt idx="6">
                  <c:v>6.857274604589844</c:v>
                </c:pt>
                <c:pt idx="7">
                  <c:v>9.586001132295898</c:v>
                </c:pt>
                <c:pt idx="8">
                  <c:v>13.79693477368733</c:v>
                </c:pt>
                <c:pt idx="9">
                  <c:v>19.86539679892702</c:v>
                </c:pt>
                <c:pt idx="10">
                  <c:v>28.61143237362806</c:v>
                </c:pt>
                <c:pt idx="11">
                  <c:v>41.16547071069163</c:v>
                </c:pt>
                <c:pt idx="12">
                  <c:v>59.2390784076105</c:v>
                </c:pt>
                <c:pt idx="13">
                  <c:v>85.25282355169294</c:v>
                </c:pt>
                <c:pt idx="14">
                  <c:v>122.6947792984634</c:v>
                </c:pt>
                <c:pt idx="15">
                  <c:v>176.5839543070043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0448240"/>
        <c:axId val="1655559216"/>
      </c:scatterChart>
      <c:valAx>
        <c:axId val="1640448240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11065565491723"/>
              <c:y val="0.93284137759909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55559216"/>
        <c:crosses val="autoZero"/>
        <c:crossBetween val="midCat"/>
      </c:valAx>
      <c:valAx>
        <c:axId val="1655559216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6404482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745469938558"/>
          <c:y val="0.188532224351111"/>
          <c:w val="0.293746542417116"/>
          <c:h val="0.27778716245585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.750000000000015" l="0.700000000000001" r="0.700000000000001" t="0.750000000000015" header="0.3" footer="0.3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Data Center IP Traffic from 2015 to 2025, ZettaBytes/year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'NDBS DataCenters '!$F$67:$P$67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xVal>
          <c:yVal>
            <c:numRef>
              <c:f>'NDBS DataCenters '!$F$68:$P$68</c:f>
              <c:numCache>
                <c:formatCode>0</c:formatCode>
                <c:ptCount val="11"/>
                <c:pt idx="0">
                  <c:v>5.262088037109375</c:v>
                </c:pt>
                <c:pt idx="1">
                  <c:v>6.857274604589844</c:v>
                </c:pt>
                <c:pt idx="2">
                  <c:v>9.586001132295898</c:v>
                </c:pt>
                <c:pt idx="3">
                  <c:v>13.79693477368733</c:v>
                </c:pt>
                <c:pt idx="4">
                  <c:v>19.86539679892702</c:v>
                </c:pt>
                <c:pt idx="5">
                  <c:v>28.61143237362806</c:v>
                </c:pt>
                <c:pt idx="6">
                  <c:v>41.16547071069163</c:v>
                </c:pt>
                <c:pt idx="7">
                  <c:v>59.2390784076105</c:v>
                </c:pt>
                <c:pt idx="8">
                  <c:v>85.25282355169294</c:v>
                </c:pt>
                <c:pt idx="9">
                  <c:v>122.6947792984634</c:v>
                </c:pt>
                <c:pt idx="10">
                  <c:v>176.5839543070043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621360"/>
        <c:axId val="1657983104"/>
      </c:scatterChart>
      <c:valAx>
        <c:axId val="1655621360"/>
        <c:scaling>
          <c:orientation val="minMax"/>
          <c:max val="2025.0"/>
          <c:min val="2015.0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1657983104"/>
        <c:crosses val="autoZero"/>
        <c:crossBetween val="midCat"/>
      </c:valAx>
      <c:valAx>
        <c:axId val="1657983104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655621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6" l="0.700000000000001" r="0.700000000000001" t="0.750000000000006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Global Electricity usage (TWh) of Consumer Devices 2015-2025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'Cons Dev Best '!$F$47</c:f>
              <c:strCache>
                <c:ptCount val="1"/>
                <c:pt idx="0">
                  <c:v>Consumer devices Use Best</c:v>
                </c:pt>
              </c:strCache>
            </c:strRef>
          </c:tx>
          <c:dLbls>
            <c:dLbl>
              <c:idx val="15"/>
              <c:layout>
                <c:manualLayout>
                  <c:x val="-0.0127245513148427"/>
                  <c:y val="0.039911118074730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 Dev Best '!$G$46:$V$46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'Cons Dev Best '!$G$47:$V$47</c:f>
              <c:numCache>
                <c:formatCode>#,##0</c:formatCode>
                <c:ptCount val="16"/>
                <c:pt idx="0">
                  <c:v>772.6420000000001</c:v>
                </c:pt>
                <c:pt idx="1">
                  <c:v>738.03778125</c:v>
                </c:pt>
                <c:pt idx="2">
                  <c:v>710.1093893328124</c:v>
                </c:pt>
                <c:pt idx="3">
                  <c:v>686.6270242035393</c:v>
                </c:pt>
                <c:pt idx="4">
                  <c:v>665.4531243475821</c:v>
                </c:pt>
                <c:pt idx="5">
                  <c:v>961.0360473900473</c:v>
                </c:pt>
                <c:pt idx="6">
                  <c:v>792.4062083138811</c:v>
                </c:pt>
                <c:pt idx="7">
                  <c:v>779.394727382625</c:v>
                </c:pt>
                <c:pt idx="8">
                  <c:v>768.4051782648132</c:v>
                </c:pt>
                <c:pt idx="9">
                  <c:v>759.8329168850657</c:v>
                </c:pt>
                <c:pt idx="10">
                  <c:v>753.087002225593</c:v>
                </c:pt>
                <c:pt idx="11">
                  <c:v>736.103347408307</c:v>
                </c:pt>
                <c:pt idx="12">
                  <c:v>711.3948864915658</c:v>
                </c:pt>
                <c:pt idx="13">
                  <c:v>680.2769680209939</c:v>
                </c:pt>
                <c:pt idx="14">
                  <c:v>648.6686921767538</c:v>
                </c:pt>
                <c:pt idx="15">
                  <c:v>616.8050014001926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'Cons Dev Best '!$F$48</c:f>
              <c:strCache>
                <c:ptCount val="1"/>
                <c:pt idx="0">
                  <c:v>Consumer devices Use Expected</c:v>
                </c:pt>
              </c:strCache>
            </c:strRef>
          </c:tx>
          <c:dLbls>
            <c:dLbl>
              <c:idx val="5"/>
              <c:layout>
                <c:manualLayout>
                  <c:x val="-0.0537258833293349"/>
                  <c:y val="-0.008552382444585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 Dev Best '!$G$46:$V$46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'Cons Dev Best '!$G$48:$V$48</c:f>
              <c:numCache>
                <c:formatCode>#,##0</c:formatCode>
                <c:ptCount val="16"/>
                <c:pt idx="0">
                  <c:v>1046.32</c:v>
                </c:pt>
                <c:pt idx="1">
                  <c:v>1019.04307875</c:v>
                </c:pt>
                <c:pt idx="2">
                  <c:v>998.5421761648124</c:v>
                </c:pt>
                <c:pt idx="3">
                  <c:v>981.9685784797611</c:v>
                </c:pt>
                <c:pt idx="4">
                  <c:v>969.4326886937832</c:v>
                </c:pt>
                <c:pt idx="5">
                  <c:v>961.0360473900473</c:v>
                </c:pt>
                <c:pt idx="6">
                  <c:v>953.0013834817657</c:v>
                </c:pt>
                <c:pt idx="7">
                  <c:v>944.6041401256991</c:v>
                </c:pt>
                <c:pt idx="8">
                  <c:v>938.5715375212812</c:v>
                </c:pt>
                <c:pt idx="9">
                  <c:v>935.0048443532991</c:v>
                </c:pt>
                <c:pt idx="10">
                  <c:v>933.5296156186634</c:v>
                </c:pt>
                <c:pt idx="11">
                  <c:v>921.1510160301243</c:v>
                </c:pt>
                <c:pt idx="12">
                  <c:v>900.4195291894569</c:v>
                </c:pt>
                <c:pt idx="13">
                  <c:v>872.6643311718407</c:v>
                </c:pt>
                <c:pt idx="14">
                  <c:v>839.0944373814993</c:v>
                </c:pt>
                <c:pt idx="15">
                  <c:v>800.8877856815214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'Cons Dev Best '!$F$49</c:f>
              <c:strCache>
                <c:ptCount val="1"/>
                <c:pt idx="0">
                  <c:v>Million devices in use, *100</c:v>
                </c:pt>
              </c:strCache>
            </c:strRef>
          </c:tx>
          <c:dLbls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 Dev Best '!$G$46:$V$46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'Cons Dev Best '!$G$49:$V$49</c:f>
              <c:numCache>
                <c:formatCode>General</c:formatCode>
                <c:ptCount val="16"/>
                <c:pt idx="5" formatCode="0">
                  <c:v>114.0541741653481</c:v>
                </c:pt>
                <c:pt idx="6" formatCode="0">
                  <c:v>124.0905942881083</c:v>
                </c:pt>
                <c:pt idx="7" formatCode="0">
                  <c:v>132.6161789784755</c:v>
                </c:pt>
                <c:pt idx="8" formatCode="0">
                  <c:v>143.267401096471</c:v>
                </c:pt>
                <c:pt idx="9" formatCode="0">
                  <c:v>157.0943922455217</c:v>
                </c:pt>
                <c:pt idx="10" formatCode="0">
                  <c:v>174.8404997060587</c:v>
                </c:pt>
                <c:pt idx="11" formatCode="0">
                  <c:v>196.7158542537088</c:v>
                </c:pt>
                <c:pt idx="12" formatCode="0">
                  <c:v>227.9370229914125</c:v>
                </c:pt>
                <c:pt idx="13" formatCode="0">
                  <c:v>275.738886879991</c:v>
                </c:pt>
                <c:pt idx="14" formatCode="0">
                  <c:v>354.8606804879418</c:v>
                </c:pt>
                <c:pt idx="15" formatCode="0">
                  <c:v>485.9549261720198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042560"/>
        <c:axId val="1637857760"/>
      </c:scatterChart>
      <c:valAx>
        <c:axId val="1656042560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14312885752086"/>
              <c:y val="0.91610438626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37857760"/>
        <c:crosses val="autoZero"/>
        <c:crossBetween val="midCat"/>
      </c:valAx>
      <c:valAx>
        <c:axId val="1637857760"/>
        <c:scaling>
          <c:orientation val="minMax"/>
          <c:max val="1100.0"/>
          <c:min val="100.0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656042560"/>
        <c:crosses val="autoZero"/>
        <c:crossBetween val="midCat"/>
        <c:majorUnit val="500.0"/>
      </c:valAx>
    </c:plotArea>
    <c:legend>
      <c:legendPos val="r"/>
      <c:layout>
        <c:manualLayout>
          <c:xMode val="edge"/>
          <c:yMode val="edge"/>
          <c:x val="0.697620241721945"/>
          <c:y val="0.0998635434832536"/>
          <c:w val="0.298138241173108"/>
          <c:h val="0.5620791851846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.750000000000015" l="0.700000000000001" r="0.700000000000001" t="0.75000000000001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</a:t>
            </a:r>
            <a:r>
              <a:rPr lang="en-US" baseline="0"/>
              <a:t> smart device amounts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'Cons Dev Best '!$I$2:$S$2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xVal>
          <c:yVal>
            <c:numRef>
              <c:f>'Cons Dev Best '!$I$19:$S$19</c:f>
              <c:numCache>
                <c:formatCode>0</c:formatCode>
                <c:ptCount val="11"/>
                <c:pt idx="0">
                  <c:v>11405.41741653481</c:v>
                </c:pt>
                <c:pt idx="1">
                  <c:v>12409.05942881083</c:v>
                </c:pt>
                <c:pt idx="2">
                  <c:v>13261.61789784755</c:v>
                </c:pt>
                <c:pt idx="3">
                  <c:v>14326.74010964709</c:v>
                </c:pt>
                <c:pt idx="4">
                  <c:v>15709.43922455217</c:v>
                </c:pt>
                <c:pt idx="5">
                  <c:v>17484.04997060587</c:v>
                </c:pt>
                <c:pt idx="6">
                  <c:v>19671.58542537088</c:v>
                </c:pt>
                <c:pt idx="7">
                  <c:v>22793.70229914125</c:v>
                </c:pt>
                <c:pt idx="8">
                  <c:v>27573.8886879991</c:v>
                </c:pt>
                <c:pt idx="9">
                  <c:v>35486.06804879417</c:v>
                </c:pt>
                <c:pt idx="10">
                  <c:v>48595.49261720198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94512"/>
        <c:axId val="1637416816"/>
      </c:scatterChart>
      <c:valAx>
        <c:axId val="1637494512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37416816"/>
        <c:crosses val="autoZero"/>
        <c:crossBetween val="midCat"/>
      </c:valAx>
      <c:valAx>
        <c:axId val="163741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(millions)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37494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Electricity usage (TWh) of Production 2015-2025</a:t>
            </a:r>
          </a:p>
        </c:rich>
      </c:tx>
      <c:layout>
        <c:manualLayout>
          <c:xMode val="edge"/>
          <c:yMode val="edge"/>
          <c:x val="0.152741995590672"/>
          <c:y val="0.027429071925472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10680524177761"/>
          <c:y val="0.0950522996564305"/>
          <c:w val="0.621331379017157"/>
          <c:h val="0.8435698668917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'Prod NDBS'!$C$89</c:f>
              <c:strCache>
                <c:ptCount val="1"/>
                <c:pt idx="0">
                  <c:v>Production Best</c:v>
                </c:pt>
              </c:strCache>
            </c:strRef>
          </c:tx>
          <c:dLbls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 NDBS'!$D$88:$S$88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'Prod NDBS'!$D$89:$S$89</c:f>
              <c:numCache>
                <c:formatCode>0</c:formatCode>
                <c:ptCount val="16"/>
                <c:pt idx="0">
                  <c:v>239.1110640522876</c:v>
                </c:pt>
                <c:pt idx="1">
                  <c:v>241.7981795566666</c:v>
                </c:pt>
                <c:pt idx="2">
                  <c:v>249.69623689265</c:v>
                </c:pt>
                <c:pt idx="3">
                  <c:v>250.5096742040161</c:v>
                </c:pt>
                <c:pt idx="4">
                  <c:v>252.7964028959817</c:v>
                </c:pt>
                <c:pt idx="5">
                  <c:v>262.6185836749766</c:v>
                </c:pt>
                <c:pt idx="6">
                  <c:v>263.2276393694377</c:v>
                </c:pt>
                <c:pt idx="7">
                  <c:v>266.8518354020658</c:v>
                </c:pt>
                <c:pt idx="8">
                  <c:v>273.8944131463758</c:v>
                </c:pt>
                <c:pt idx="9">
                  <c:v>283.3350303900118</c:v>
                </c:pt>
                <c:pt idx="10">
                  <c:v>291.541740218685</c:v>
                </c:pt>
                <c:pt idx="11">
                  <c:v>284.9239922915349</c:v>
                </c:pt>
                <c:pt idx="12">
                  <c:v>295.9647971760853</c:v>
                </c:pt>
                <c:pt idx="13">
                  <c:v>317.0063459375723</c:v>
                </c:pt>
                <c:pt idx="14">
                  <c:v>350.5211574077632</c:v>
                </c:pt>
                <c:pt idx="15">
                  <c:v>401.3273769735291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'Prod NDBS'!$C$90</c:f>
              <c:strCache>
                <c:ptCount val="1"/>
                <c:pt idx="0">
                  <c:v>Production Expected</c:v>
                </c:pt>
              </c:strCache>
            </c:strRef>
          </c:tx>
          <c:dLbls>
            <c:dLbl>
              <c:idx val="5"/>
              <c:layout>
                <c:manualLayout>
                  <c:x val="-0.0484539345930237"/>
                  <c:y val="-0.033758863362994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 NDBS'!$D$88:$S$88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'Prod NDBS'!$D$90:$S$90</c:f>
              <c:numCache>
                <c:formatCode>#,##0</c:formatCode>
                <c:ptCount val="16"/>
                <c:pt idx="0">
                  <c:v>387.0713224221453</c:v>
                </c:pt>
                <c:pt idx="1">
                  <c:v>403.8867813702622</c:v>
                </c:pt>
                <c:pt idx="2">
                  <c:v>434.35736613149</c:v>
                </c:pt>
                <c:pt idx="3">
                  <c:v>450.6766281297974</c:v>
                </c:pt>
                <c:pt idx="4">
                  <c:v>487.2434601736661</c:v>
                </c:pt>
                <c:pt idx="5" formatCode="0">
                  <c:v>262.6185836749766</c:v>
                </c:pt>
                <c:pt idx="6" formatCode="0">
                  <c:v>349.4309311342961</c:v>
                </c:pt>
                <c:pt idx="7" formatCode="0">
                  <c:v>361.08401419379</c:v>
                </c:pt>
                <c:pt idx="8" formatCode="0">
                  <c:v>378.5844578803798</c:v>
                </c:pt>
                <c:pt idx="9" formatCode="0">
                  <c:v>400.8719697768647</c:v>
                </c:pt>
                <c:pt idx="10" formatCode="0">
                  <c:v>424.7295736985668</c:v>
                </c:pt>
                <c:pt idx="11" formatCode="0">
                  <c:v>432.2544237883575</c:v>
                </c:pt>
                <c:pt idx="12" formatCode="0">
                  <c:v>465.5705079943007</c:v>
                </c:pt>
                <c:pt idx="13" formatCode="0">
                  <c:v>517.8202937651391</c:v>
                </c:pt>
                <c:pt idx="14" formatCode="0">
                  <c:v>593.611290758132</c:v>
                </c:pt>
                <c:pt idx="15" formatCode="0">
                  <c:v>700.8712784838149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'Prod NDBS'!$C$91</c:f>
              <c:strCache>
                <c:ptCount val="1"/>
                <c:pt idx="0">
                  <c:v>Million produced consumer electronic devices×100</c:v>
                </c:pt>
              </c:strCache>
            </c:strRef>
          </c:tx>
          <c:dLbls>
            <c:dLbl>
              <c:idx val="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'Prod NDBS'!$D$88:$S$88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'Prod NDBS'!$D$91:$S$91</c:f>
              <c:numCache>
                <c:formatCode>#,##0</c:formatCode>
                <c:ptCount val="16"/>
                <c:pt idx="0">
                  <c:v>799.7535195294117</c:v>
                </c:pt>
                <c:pt idx="1">
                  <c:v>841.5934713842446</c:v>
                </c:pt>
                <c:pt idx="2">
                  <c:v>907.541105796878</c:v>
                </c:pt>
                <c:pt idx="3">
                  <c:v>969.4806657190982</c:v>
                </c:pt>
                <c:pt idx="4">
                  <c:v>1049.799885749188</c:v>
                </c:pt>
                <c:pt idx="5" formatCode="0">
                  <c:v>41.66668107152206</c:v>
                </c:pt>
                <c:pt idx="6" formatCode="0">
                  <c:v>45.66457614127756</c:v>
                </c:pt>
                <c:pt idx="7" formatCode="0">
                  <c:v>50.11408115471994</c:v>
                </c:pt>
                <c:pt idx="8" formatCode="0">
                  <c:v>55.7924721400033</c:v>
                </c:pt>
                <c:pt idx="9" formatCode="0">
                  <c:v>64.00429915449168</c:v>
                </c:pt>
                <c:pt idx="10" formatCode="0">
                  <c:v>73.88500698670423</c:v>
                </c:pt>
                <c:pt idx="11" formatCode="0">
                  <c:v>86.01966009545161</c:v>
                </c:pt>
                <c:pt idx="12" formatCode="0">
                  <c:v>106.4075091310877</c:v>
                </c:pt>
                <c:pt idx="13" formatCode="0">
                  <c:v>138.8390751491925</c:v>
                </c:pt>
                <c:pt idx="14" formatCode="0">
                  <c:v>191.9630101990683</c:v>
                </c:pt>
                <c:pt idx="15" formatCode="0">
                  <c:v>280.3025925144662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14240"/>
        <c:axId val="1641918112"/>
      </c:scatterChart>
      <c:valAx>
        <c:axId val="1655914240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0225619687881"/>
              <c:y val="0.94685376848225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41918112"/>
        <c:crosses val="autoZero"/>
        <c:crossBetween val="midCat"/>
      </c:valAx>
      <c:valAx>
        <c:axId val="1641918112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655914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Global Electricity footprint  (TWh) of Communication Technology 2015-2025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4627385889888"/>
          <c:y val="0.132868708507029"/>
          <c:w val="0.689079310212855"/>
          <c:h val="0.7746952357058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'NDBS Future 2025 '!$A$2</c:f>
              <c:strCache>
                <c:ptCount val="1"/>
                <c:pt idx="0">
                  <c:v>Best Case</c:v>
                </c:pt>
              </c:strCache>
            </c:strRef>
          </c:tx>
          <c:dLbls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'NDBS Future 2025 '!$B$1:$Q$1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'NDBS Future 2025 '!$B$2:$Q$2</c:f>
              <c:numCache>
                <c:formatCode>#,##0</c:formatCode>
                <c:ptCount val="16"/>
                <c:pt idx="0">
                  <c:v>1608.894231111111</c:v>
                </c:pt>
                <c:pt idx="1">
                  <c:v>1594.64949952544</c:v>
                </c:pt>
                <c:pt idx="2">
                  <c:v>1609.361863616262</c:v>
                </c:pt>
                <c:pt idx="3">
                  <c:v>1501.12118062903</c:v>
                </c:pt>
                <c:pt idx="4">
                  <c:v>1460.412276736337</c:v>
                </c:pt>
                <c:pt idx="5">
                  <c:v>1743.896445607827</c:v>
                </c:pt>
                <c:pt idx="6">
                  <c:v>1552.376585803419</c:v>
                </c:pt>
                <c:pt idx="7">
                  <c:v>1534.669116871069</c:v>
                </c:pt>
                <c:pt idx="8">
                  <c:v>1539.131346321655</c:v>
                </c:pt>
                <c:pt idx="9">
                  <c:v>1552.972161242797</c:v>
                </c:pt>
                <c:pt idx="10">
                  <c:v>1573.942158129678</c:v>
                </c:pt>
                <c:pt idx="11">
                  <c:v>1577.766055136343</c:v>
                </c:pt>
                <c:pt idx="12">
                  <c:v>1720.034424852546</c:v>
                </c:pt>
                <c:pt idx="13">
                  <c:v>1922.899710070079</c:v>
                </c:pt>
                <c:pt idx="14">
                  <c:v>2207.662950004938</c:v>
                </c:pt>
                <c:pt idx="15">
                  <c:v>2606.07481467008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'NDBS Future 2025 '!$A$3</c:f>
              <c:strCache>
                <c:ptCount val="1"/>
                <c:pt idx="0">
                  <c:v>Expected Case</c:v>
                </c:pt>
              </c:strCache>
            </c:strRef>
          </c:tx>
          <c:dLbls>
            <c:dLbl>
              <c:idx val="5"/>
              <c:layout>
                <c:manualLayout>
                  <c:x val="-0.0153720748172197"/>
                  <c:y val="-0.07613711074652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'NDBS Future 2025 '!$B$1:$Q$1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'NDBS Future 2025 '!$B$3:$Q$3</c:f>
              <c:numCache>
                <c:formatCode>#,##0</c:formatCode>
                <c:ptCount val="16"/>
                <c:pt idx="0">
                  <c:v>1530.805440876343</c:v>
                </c:pt>
                <c:pt idx="1">
                  <c:v>1514.897005607397</c:v>
                </c:pt>
                <c:pt idx="2">
                  <c:v>1693.00334802804</c:v>
                </c:pt>
                <c:pt idx="3">
                  <c:v>1794.862536804835</c:v>
                </c:pt>
                <c:pt idx="4">
                  <c:v>2020.92779870457</c:v>
                </c:pt>
                <c:pt idx="5">
                  <c:v>1743.896445607827</c:v>
                </c:pt>
                <c:pt idx="6">
                  <c:v>1861.465460617096</c:v>
                </c:pt>
                <c:pt idx="7">
                  <c:v>1926.370813047386</c:v>
                </c:pt>
                <c:pt idx="8">
                  <c:v>2035.245056634552</c:v>
                </c:pt>
                <c:pt idx="9">
                  <c:v>2180.12790684258</c:v>
                </c:pt>
                <c:pt idx="10">
                  <c:v>2367.182042449185</c:v>
                </c:pt>
                <c:pt idx="11">
                  <c:v>2577.384579184954</c:v>
                </c:pt>
                <c:pt idx="12">
                  <c:v>2971.727390458023</c:v>
                </c:pt>
                <c:pt idx="13">
                  <c:v>3513.566294935066</c:v>
                </c:pt>
                <c:pt idx="14">
                  <c:v>4249.429352272227</c:v>
                </c:pt>
                <c:pt idx="15">
                  <c:v>5252.882844996606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026912"/>
        <c:axId val="1659474352"/>
      </c:scatterChart>
      <c:valAx>
        <c:axId val="1659026912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9474352"/>
        <c:crosses val="autoZero"/>
        <c:crossBetween val="midCat"/>
        <c:majorUnit val="2.0"/>
      </c:valAx>
      <c:valAx>
        <c:axId val="1659474352"/>
        <c:scaling>
          <c:orientation val="minMax"/>
          <c:max val="6000.0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659026912"/>
        <c:crosses val="autoZero"/>
        <c:crossBetween val="midCat"/>
        <c:majorUnit val="500.0"/>
      </c:valAx>
    </c:plotArea>
    <c:legend>
      <c:legendPos val="r"/>
      <c:layout>
        <c:manualLayout>
          <c:xMode val="edge"/>
          <c:yMode val="edge"/>
          <c:x val="0.79777533576279"/>
          <c:y val="0.262772712335644"/>
          <c:w val="0.191922413506387"/>
          <c:h val="0.52930810530211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.750000000000015" l="0.700000000000001" r="0.700000000000001" t="0.750000000000015" header="0.3" footer="0.3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Communication</a:t>
            </a:r>
            <a:r>
              <a:rPr lang="en-US" baseline="0"/>
              <a:t> </a:t>
            </a:r>
            <a:r>
              <a:rPr lang="en-US"/>
              <a:t>Technology share of global electricity usage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'NDBS Future 2025 '!$A$8</c:f>
              <c:strCache>
                <c:ptCount val="1"/>
                <c:pt idx="0">
                  <c:v>Best Case "without" considerable general energy efficiency gains</c:v>
                </c:pt>
              </c:strCache>
            </c:strRef>
          </c:tx>
          <c:dLbls>
            <c:dLbl>
              <c:idx val="5"/>
              <c:layout>
                <c:manualLayout>
                  <c:x val="-0.0383130481330142"/>
                  <c:y val="0.02500000328084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323286103501463"/>
                  <c:y val="-0.0479866204706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'NDBS Future 2025 '!$B$7:$Q$7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'NDBS Future 2025 '!$B$8:$Q$8</c:f>
              <c:numCache>
                <c:formatCode>0%</c:formatCode>
                <c:ptCount val="16"/>
                <c:pt idx="0">
                  <c:v>0.082343156786699</c:v>
                </c:pt>
                <c:pt idx="1">
                  <c:v>0.082305979241818</c:v>
                </c:pt>
                <c:pt idx="2">
                  <c:v>0.0777493467779349</c:v>
                </c:pt>
                <c:pt idx="3">
                  <c:v>0.0713422620278904</c:v>
                </c:pt>
                <c:pt idx="4">
                  <c:v>0.0666538017765621</c:v>
                </c:pt>
                <c:pt idx="5" formatCode="0.0%">
                  <c:v>0.0764618815552558</c:v>
                </c:pt>
                <c:pt idx="6" formatCode="0.0%">
                  <c:v>0.0667752568163923</c:v>
                </c:pt>
                <c:pt idx="7" formatCode="0.0%">
                  <c:v>0.0642633563324753</c:v>
                </c:pt>
                <c:pt idx="8" formatCode="0.0%">
                  <c:v>0.0626789675681276</c:v>
                </c:pt>
                <c:pt idx="9" formatCode="0.0%">
                  <c:v>0.0614791906006929</c:v>
                </c:pt>
                <c:pt idx="10" formatCode="0.0%">
                  <c:v>0.0605541431254826</c:v>
                </c:pt>
                <c:pt idx="11" formatCode="0.0%">
                  <c:v>0.0590289406496626</c:v>
                </c:pt>
                <c:pt idx="12" formatCode="0.0%">
                  <c:v>0.0622626019037639</c:v>
                </c:pt>
                <c:pt idx="13" formatCode="0.0%">
                  <c:v>0.0672213018184176</c:v>
                </c:pt>
                <c:pt idx="14" formatCode="0.0%">
                  <c:v>0.0743552363551015</c:v>
                </c:pt>
                <c:pt idx="15" formatCode="0.0%">
                  <c:v>0.0843017302988524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'NDBS Future 2025 '!$A$9</c:f>
              <c:strCache>
                <c:ptCount val="1"/>
                <c:pt idx="0">
                  <c:v>Best case "with" EE, 420 TWhrs saved in 2015, 840 in 2016..and 4620 TWh in 2025</c:v>
                </c:pt>
              </c:strCache>
            </c:strRef>
          </c:tx>
          <c:dLbls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'NDBS Future 2025 '!$B$7:$Q$7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'NDBS Future 2025 '!$B$9:$Q$9</c:f>
              <c:numCache>
                <c:formatCode>0%</c:formatCode>
                <c:ptCount val="16"/>
                <c:pt idx="0">
                  <c:v>0.0783465749274027</c:v>
                </c:pt>
                <c:pt idx="1">
                  <c:v>0.0781629097592025</c:v>
                </c:pt>
                <c:pt idx="2">
                  <c:v>0.0842484088630482</c:v>
                </c:pt>
                <c:pt idx="3">
                  <c:v>0.0865022963413972</c:v>
                </c:pt>
                <c:pt idx="4">
                  <c:v>0.0938046537048115</c:v>
                </c:pt>
                <c:pt idx="5" formatCode="0.0%">
                  <c:v>0.077896348949945</c:v>
                </c:pt>
                <c:pt idx="6" formatCode="0.0%">
                  <c:v>0.0692784593539119</c:v>
                </c:pt>
                <c:pt idx="7" formatCode="0.0%">
                  <c:v>0.0678428646261928</c:v>
                </c:pt>
                <c:pt idx="8" formatCode="0.0%">
                  <c:v>0.0672821170801516</c:v>
                </c:pt>
                <c:pt idx="9" formatCode="0.0%">
                  <c:v>0.0670536980448519</c:v>
                </c:pt>
                <c:pt idx="10" formatCode="0.0%">
                  <c:v>0.067055268499612</c:v>
                </c:pt>
                <c:pt idx="11" formatCode="0.0%">
                  <c:v>0.0663242187961903</c:v>
                </c:pt>
                <c:pt idx="12" formatCode="0.0%">
                  <c:v>0.0708839982278373</c:v>
                </c:pt>
                <c:pt idx="13" formatCode="0.0%">
                  <c:v>0.0774566004031955</c:v>
                </c:pt>
                <c:pt idx="14" formatCode="0.0%">
                  <c:v>0.086606423827811</c:v>
                </c:pt>
                <c:pt idx="15" formatCode="0.0%">
                  <c:v>0.099114199595316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'NDBS Future 2025 '!$A$10</c:f>
              <c:strCache>
                <c:ptCount val="1"/>
                <c:pt idx="0">
                  <c:v>Expected Case "without" EE</c:v>
                </c:pt>
              </c:strCache>
            </c:strRef>
          </c:tx>
          <c:dLbls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'NDBS Future 2025 '!$B$7:$Q$7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'NDBS Future 2025 '!$B$10:$Q$10</c:f>
              <c:numCache>
                <c:formatCode>0%</c:formatCode>
                <c:ptCount val="16"/>
                <c:pt idx="0">
                  <c:v>0.082343156786699</c:v>
                </c:pt>
                <c:pt idx="1">
                  <c:v>0.082305979241818</c:v>
                </c:pt>
                <c:pt idx="2">
                  <c:v>0.0777493467779349</c:v>
                </c:pt>
                <c:pt idx="3">
                  <c:v>0.0713422620278904</c:v>
                </c:pt>
                <c:pt idx="4">
                  <c:v>0.0666538017765621</c:v>
                </c:pt>
                <c:pt idx="5" formatCode="0.0%">
                  <c:v>0.0798024626489902</c:v>
                </c:pt>
                <c:pt idx="6" formatCode="0.0%">
                  <c:v>0.0824624334419551</c:v>
                </c:pt>
                <c:pt idx="7" formatCode="0.0%">
                  <c:v>0.0828198818174357</c:v>
                </c:pt>
                <c:pt idx="8" formatCode="0.0%">
                  <c:v>0.0847713635952617</c:v>
                </c:pt>
                <c:pt idx="9" formatCode="0.0%">
                  <c:v>0.0878633053779029</c:v>
                </c:pt>
                <c:pt idx="10" formatCode="0.0%">
                  <c:v>0.0921844532945364</c:v>
                </c:pt>
                <c:pt idx="11" formatCode="0.0%">
                  <c:v>0.0969367753991525</c:v>
                </c:pt>
                <c:pt idx="12" formatCode="0.0%">
                  <c:v>0.107271053442965</c:v>
                </c:pt>
                <c:pt idx="13" formatCode="0.0%">
                  <c:v>0.121212831441476</c:v>
                </c:pt>
                <c:pt idx="14" formatCode="0.0%">
                  <c:v>0.139385827902917</c:v>
                </c:pt>
                <c:pt idx="15" formatCode="0.0%">
                  <c:v>0.162741893082994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'NDBS Future 2025 '!$A$11</c:f>
              <c:strCache>
                <c:ptCount val="1"/>
                <c:pt idx="0">
                  <c:v>Expected Case "with" EE</c:v>
                </c:pt>
              </c:strCache>
            </c:strRef>
          </c:tx>
          <c:dLbls>
            <c:dLbl>
              <c:idx val="5"/>
              <c:layout>
                <c:manualLayout>
                  <c:x val="-0.0291179165810909"/>
                  <c:y val="-0.013333335083114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5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'NDBS Future 2025 '!$B$7:$Q$7</c:f>
              <c:numCache>
                <c:formatCode>General</c:formatCode>
                <c:ptCount val="16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</c:numCache>
            </c:numRef>
          </c:xVal>
          <c:yVal>
            <c:numRef>
              <c:f>'NDBS Future 2025 '!$B$11:$Q$11</c:f>
              <c:numCache>
                <c:formatCode>0.0%</c:formatCode>
                <c:ptCount val="16"/>
                <c:pt idx="0">
                  <c:v>0.0783465749274027</c:v>
                </c:pt>
                <c:pt idx="1">
                  <c:v>0.0781629097592025</c:v>
                </c:pt>
                <c:pt idx="2">
                  <c:v>0.0842484088630482</c:v>
                </c:pt>
                <c:pt idx="3">
                  <c:v>0.0865022963413972</c:v>
                </c:pt>
                <c:pt idx="4">
                  <c:v>0.0938046537048115</c:v>
                </c:pt>
                <c:pt idx="5">
                  <c:v>0.0813662922070231</c:v>
                </c:pt>
                <c:pt idx="6">
                  <c:v>0.0856496078473531</c:v>
                </c:pt>
                <c:pt idx="7">
                  <c:v>0.0875632534458633</c:v>
                </c:pt>
                <c:pt idx="8">
                  <c:v>0.0911495352138697</c:v>
                </c:pt>
                <c:pt idx="9">
                  <c:v>0.0959870753370015</c:v>
                </c:pt>
                <c:pt idx="10">
                  <c:v>0.102215425024209</c:v>
                </c:pt>
                <c:pt idx="11">
                  <c:v>0.108988130286905</c:v>
                </c:pt>
                <c:pt idx="12">
                  <c:v>0.12207740840595</c:v>
                </c:pt>
                <c:pt idx="13">
                  <c:v>0.139389885797417</c:v>
                </c:pt>
                <c:pt idx="14">
                  <c:v>0.161656330149717</c:v>
                </c:pt>
                <c:pt idx="15">
                  <c:v>0.18992694793478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442352"/>
        <c:axId val="1659574992"/>
      </c:scatterChart>
      <c:valAx>
        <c:axId val="1659442352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Year</a:t>
                </a:r>
              </a:p>
            </c:rich>
          </c:tx>
          <c:layout>
            <c:manualLayout>
              <c:xMode val="edge"/>
              <c:yMode val="edge"/>
              <c:x val="0.414312815485078"/>
              <c:y val="0.9481947757797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59574992"/>
        <c:crosses val="autoZero"/>
        <c:crossBetween val="midCat"/>
      </c:valAx>
      <c:valAx>
        <c:axId val="1659574992"/>
        <c:scaling>
          <c:orientation val="minMax"/>
          <c:max val="0.25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659442352"/>
        <c:crosses val="autoZero"/>
        <c:crossBetween val="midCat"/>
        <c:majorUnit val="0.05"/>
      </c:valAx>
    </c:plotArea>
    <c:legend>
      <c:legendPos val="r"/>
      <c:layout>
        <c:manualLayout>
          <c:xMode val="edge"/>
          <c:yMode val="edge"/>
          <c:x val="0.703456547730453"/>
          <c:y val="0.239789690072487"/>
          <c:w val="0.296543475233603"/>
          <c:h val="0.47004625591158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Expected case electricity usage (TWh)</a:t>
            </a:r>
            <a:r>
              <a:rPr lang="en-US" baseline="0"/>
              <a:t> of Wireless Access Networks 2015-2025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'WANFANWIFI old'!$C$230:$D$230</c:f>
              <c:strCache>
                <c:ptCount val="2"/>
                <c:pt idx="0">
                  <c:v>2G/3G voice</c:v>
                </c:pt>
              </c:strCache>
            </c:strRef>
          </c:tx>
          <c:xVal>
            <c:numRef>
              <c:f>'WANFANWIFI old'!$E$229:$Y$229</c:f>
              <c:numCache>
                <c:formatCode>General</c:formatCode>
                <c:ptCount val="21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</c:numCache>
            </c:numRef>
          </c:xVal>
          <c:yVal>
            <c:numRef>
              <c:f>'WANFANWIFI old'!$E$230:$Y$230</c:f>
              <c:numCache>
                <c:formatCode>0</c:formatCode>
                <c:ptCount val="21"/>
                <c:pt idx="0">
                  <c:v>131.2376470588235</c:v>
                </c:pt>
                <c:pt idx="1">
                  <c:v>116.8015058823529</c:v>
                </c:pt>
                <c:pt idx="2">
                  <c:v>102.3653647058823</c:v>
                </c:pt>
                <c:pt idx="3">
                  <c:v>62.27908788705881</c:v>
                </c:pt>
                <c:pt idx="4">
                  <c:v>48.57768855190587</c:v>
                </c:pt>
                <c:pt idx="5">
                  <c:v>37.89059707048658</c:v>
                </c:pt>
                <c:pt idx="6">
                  <c:v>29.55466571497953</c:v>
                </c:pt>
                <c:pt idx="7">
                  <c:v>23.05263925768404</c:v>
                </c:pt>
                <c:pt idx="8">
                  <c:v>17.98105862099355</c:v>
                </c:pt>
                <c:pt idx="9">
                  <c:v>14.02522572437497</c:v>
                </c:pt>
                <c:pt idx="10">
                  <c:v>10.93967606501247</c:v>
                </c:pt>
                <c:pt idx="11">
                  <c:v>8.53294733070973</c:v>
                </c:pt>
                <c:pt idx="12">
                  <c:v>8.106299964174242</c:v>
                </c:pt>
                <c:pt idx="13">
                  <c:v>7.70098496596553</c:v>
                </c:pt>
                <c:pt idx="14">
                  <c:v>7.315935717667252</c:v>
                </c:pt>
                <c:pt idx="15">
                  <c:v>6.95013893178389</c:v>
                </c:pt>
                <c:pt idx="16">
                  <c:v>6.602631985194694</c:v>
                </c:pt>
                <c:pt idx="17">
                  <c:v>6.27250038593496</c:v>
                </c:pt>
                <c:pt idx="18">
                  <c:v>5.958875366638211</c:v>
                </c:pt>
                <c:pt idx="19">
                  <c:v>5.660931598306301</c:v>
                </c:pt>
                <c:pt idx="20">
                  <c:v>5.377885018390986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'WANFANWIFI old'!$C$231:$D$231</c:f>
              <c:strCache>
                <c:ptCount val="2"/>
                <c:pt idx="0">
                  <c:v>2G data</c:v>
                </c:pt>
              </c:strCache>
            </c:strRef>
          </c:tx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'WANFANWIFI old'!$E$229:$Y$229</c:f>
              <c:numCache>
                <c:formatCode>General</c:formatCode>
                <c:ptCount val="21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</c:numCache>
            </c:numRef>
          </c:xVal>
          <c:yVal>
            <c:numRef>
              <c:f>'WANFANWIFI old'!$E$231:$Y$231</c:f>
              <c:numCache>
                <c:formatCode>0</c:formatCode>
                <c:ptCount val="21"/>
                <c:pt idx="0">
                  <c:v>66.7776</c:v>
                </c:pt>
                <c:pt idx="1">
                  <c:v>73.21287384</c:v>
                </c:pt>
                <c:pt idx="2">
                  <c:v>78.066311544</c:v>
                </c:pt>
                <c:pt idx="3">
                  <c:v>61.63866147317299</c:v>
                </c:pt>
                <c:pt idx="4">
                  <c:v>61.41984422494323</c:v>
                </c:pt>
                <c:pt idx="5">
                  <c:v>58.70377097068163</c:v>
                </c:pt>
                <c:pt idx="6">
                  <c:v>52.62805557685644</c:v>
                </c:pt>
                <c:pt idx="7">
                  <c:v>45.3545738201588</c:v>
                </c:pt>
                <c:pt idx="8">
                  <c:v>40.8033330464535</c:v>
                </c:pt>
                <c:pt idx="9">
                  <c:v>36.70880018190799</c:v>
                </c:pt>
                <c:pt idx="10">
                  <c:v>32.70003942097068</c:v>
                </c:pt>
                <c:pt idx="11">
                  <c:v>28.57977427014983</c:v>
                </c:pt>
                <c:pt idx="12">
                  <c:v>27.15078555664234</c:v>
                </c:pt>
                <c:pt idx="13">
                  <c:v>25.79324627881022</c:v>
                </c:pt>
                <c:pt idx="14">
                  <c:v>24.50358396486971</c:v>
                </c:pt>
                <c:pt idx="15">
                  <c:v>23.27840476662622</c:v>
                </c:pt>
                <c:pt idx="16">
                  <c:v>22.11448452829491</c:v>
                </c:pt>
                <c:pt idx="17">
                  <c:v>21.00876030188016</c:v>
                </c:pt>
                <c:pt idx="18">
                  <c:v>19.95832228678616</c:v>
                </c:pt>
                <c:pt idx="19">
                  <c:v>18.96040617244685</c:v>
                </c:pt>
                <c:pt idx="20">
                  <c:v>18.0123858638245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'WANFANWIFI old'!$C$232:$D$232</c:f>
              <c:strCache>
                <c:ptCount val="2"/>
                <c:pt idx="0">
                  <c:v>3G data</c:v>
                </c:pt>
              </c:strCache>
            </c:strRef>
          </c:tx>
          <c:xVal>
            <c:numRef>
              <c:f>'WANFANWIFI old'!$E$229:$Y$229</c:f>
              <c:numCache>
                <c:formatCode>General</c:formatCode>
                <c:ptCount val="21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</c:numCache>
            </c:numRef>
          </c:xVal>
          <c:yVal>
            <c:numRef>
              <c:f>'WANFANWIFI old'!$E$232:$Y$232</c:f>
              <c:numCache>
                <c:formatCode>0</c:formatCode>
                <c:ptCount val="21"/>
                <c:pt idx="0">
                  <c:v>5.568</c:v>
                </c:pt>
                <c:pt idx="1">
                  <c:v>10.034928</c:v>
                </c:pt>
                <c:pt idx="2">
                  <c:v>15.634944</c:v>
                </c:pt>
                <c:pt idx="3">
                  <c:v>16.1180637696</c:v>
                </c:pt>
                <c:pt idx="4">
                  <c:v>16.951711166208</c:v>
                </c:pt>
                <c:pt idx="5">
                  <c:v>16.5279183870528</c:v>
                </c:pt>
                <c:pt idx="6">
                  <c:v>16.23815232852234</c:v>
                </c:pt>
                <c:pt idx="7">
                  <c:v>13.692712233781</c:v>
                </c:pt>
                <c:pt idx="8">
                  <c:v>13.49991884552937</c:v>
                </c:pt>
                <c:pt idx="9">
                  <c:v>10.91822811530744</c:v>
                </c:pt>
                <c:pt idx="10">
                  <c:v>8.970416219536598</c:v>
                </c:pt>
                <c:pt idx="11">
                  <c:v>7.466787872381489</c:v>
                </c:pt>
                <c:pt idx="12">
                  <c:v>7.093448478762414</c:v>
                </c:pt>
                <c:pt idx="13">
                  <c:v>6.738776054824292</c:v>
                </c:pt>
                <c:pt idx="14">
                  <c:v>6.401837252083077</c:v>
                </c:pt>
                <c:pt idx="15">
                  <c:v>6.081745389478923</c:v>
                </c:pt>
                <c:pt idx="16">
                  <c:v>5.777658120004976</c:v>
                </c:pt>
                <c:pt idx="17">
                  <c:v>5.488775214004727</c:v>
                </c:pt>
                <c:pt idx="18">
                  <c:v>5.214336453304491</c:v>
                </c:pt>
                <c:pt idx="19">
                  <c:v>4.953619630639266</c:v>
                </c:pt>
                <c:pt idx="20">
                  <c:v>4.705938649107303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'WANFANWIFI old'!$C$233:$D$233</c:f>
              <c:strCache>
                <c:ptCount val="2"/>
                <c:pt idx="0">
                  <c:v>4G data</c:v>
                </c:pt>
              </c:strCache>
            </c:strRef>
          </c:tx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'WANFANWIFI old'!$E$229:$Y$229</c:f>
              <c:numCache>
                <c:formatCode>General</c:formatCode>
                <c:ptCount val="21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</c:numCache>
            </c:numRef>
          </c:xVal>
          <c:yVal>
            <c:numRef>
              <c:f>'WANFANWIFI old'!$E$233:$Y$233</c:f>
              <c:numCache>
                <c:formatCode>0</c:formatCode>
                <c:ptCount val="21"/>
                <c:pt idx="0">
                  <c:v>0.06912</c:v>
                </c:pt>
                <c:pt idx="1">
                  <c:v>0.2076192</c:v>
                </c:pt>
                <c:pt idx="2">
                  <c:v>0.555984</c:v>
                </c:pt>
                <c:pt idx="3">
                  <c:v>1.1480361984</c:v>
                </c:pt>
                <c:pt idx="4">
                  <c:v>2.98489411584</c:v>
                </c:pt>
                <c:pt idx="5">
                  <c:v>5.3736089337216</c:v>
                </c:pt>
                <c:pt idx="6">
                  <c:v>7.799112571580929</c:v>
                </c:pt>
                <c:pt idx="7">
                  <c:v>10.62365604345078</c:v>
                </c:pt>
                <c:pt idx="8">
                  <c:v>13.96543328847866</c:v>
                </c:pt>
                <c:pt idx="9">
                  <c:v>18.60939373347968</c:v>
                </c:pt>
                <c:pt idx="10">
                  <c:v>23.86219092881657</c:v>
                </c:pt>
                <c:pt idx="11">
                  <c:v>27.18940687322363</c:v>
                </c:pt>
                <c:pt idx="12">
                  <c:v>35.2226407221306</c:v>
                </c:pt>
                <c:pt idx="13">
                  <c:v>47.05524658972136</c:v>
                </c:pt>
                <c:pt idx="14">
                  <c:v>58.11322953830585</c:v>
                </c:pt>
                <c:pt idx="15">
                  <c:v>70.07114407791881</c:v>
                </c:pt>
                <c:pt idx="16">
                  <c:v>66.56758687402287</c:v>
                </c:pt>
                <c:pt idx="17">
                  <c:v>63.23920753032172</c:v>
                </c:pt>
                <c:pt idx="18">
                  <c:v>60.07724715380563</c:v>
                </c:pt>
                <c:pt idx="19">
                  <c:v>57.07338479611535</c:v>
                </c:pt>
                <c:pt idx="20">
                  <c:v>54.21971555630958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'WANFANWIFI old'!$C$234:$D$234</c:f>
              <c:strCache>
                <c:ptCount val="2"/>
                <c:pt idx="0">
                  <c:v>5G data</c:v>
                </c:pt>
              </c:strCache>
            </c:strRef>
          </c:tx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'WANFANWIFI old'!$E$229:$Y$229</c:f>
              <c:numCache>
                <c:formatCode>General</c:formatCode>
                <c:ptCount val="21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</c:numCache>
            </c:numRef>
          </c:xVal>
          <c:yVal>
            <c:numRef>
              <c:f>'WANFANWIFI old'!$E$234:$Y$234</c:f>
              <c:numCache>
                <c:formatCode>0</c:formatCode>
                <c:ptCount val="21"/>
                <c:pt idx="0">
                  <c:v>6.3948846218409E-18</c:v>
                </c:pt>
                <c:pt idx="1">
                  <c:v>-0.00107269919999998</c:v>
                </c:pt>
                <c:pt idx="2">
                  <c:v>-0.000234018720000002</c:v>
                </c:pt>
                <c:pt idx="3">
                  <c:v>-0.00155148345271295</c:v>
                </c:pt>
                <c:pt idx="4">
                  <c:v>-0.00259068862699983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0.00365959934003607</c:v>
                </c:pt>
                <c:pt idx="9">
                  <c:v>0.00501346586393453</c:v>
                </c:pt>
                <c:pt idx="10">
                  <c:v>0.0265135454764632</c:v>
                </c:pt>
                <c:pt idx="11">
                  <c:v>0.169933792957647</c:v>
                </c:pt>
                <c:pt idx="12">
                  <c:v>0.699436932061296</c:v>
                </c:pt>
                <c:pt idx="13">
                  <c:v>1.405148126278545</c:v>
                </c:pt>
                <c:pt idx="14">
                  <c:v>2.981839636783028</c:v>
                </c:pt>
                <c:pt idx="15">
                  <c:v>5.600213022487419</c:v>
                </c:pt>
                <c:pt idx="16">
                  <c:v>11.71524397516053</c:v>
                </c:pt>
                <c:pt idx="17">
                  <c:v>20.06276069992986</c:v>
                </c:pt>
                <c:pt idx="18">
                  <c:v>31.62751418748846</c:v>
                </c:pt>
                <c:pt idx="19">
                  <c:v>47.80924839494069</c:v>
                </c:pt>
                <c:pt idx="20">
                  <c:v>70.59941818166496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46944"/>
        <c:axId val="1634054272"/>
      </c:scatterChart>
      <c:valAx>
        <c:axId val="1634046944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14312885752086"/>
              <c:y val="0.91610438626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34054272"/>
        <c:crosses val="autoZero"/>
        <c:crossBetween val="midCat"/>
      </c:valAx>
      <c:valAx>
        <c:axId val="1634054272"/>
        <c:scaling>
          <c:orientation val="minMax"/>
          <c:min val="0.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634046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5" l="0.700000000000001" r="0.700000000000001" t="0.75000000000001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Best Case</a:t>
            </a:r>
            <a:r>
              <a:rPr lang="en-US" baseline="0"/>
              <a:t> Scenario 2025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545544065081394"/>
                  <c:y val="0.086110795435879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60583500238829"/>
                  <c:y val="-0.049424252432022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327211390007846"/>
                  <c:y val="0.050762686230476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961152996126071"/>
                  <c:y val="0.0709811778339044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Production</a:t>
                    </a:r>
                    <a:r>
                      <a:rPr lang="en-US" baseline="0"/>
                      <a:t> 14%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95476186918353"/>
                  <c:y val="0.026961464254054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05613873002738"/>
                  <c:y val="0.02189173373195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aseline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'NDBS Future 2025 '!$B$63:$B$66</c:f>
              <c:strCache>
                <c:ptCount val="4"/>
                <c:pt idx="0">
                  <c:v>Consumer devices use</c:v>
                </c:pt>
                <c:pt idx="1">
                  <c:v>Networks Use</c:v>
                </c:pt>
                <c:pt idx="2">
                  <c:v>Data Centers Use</c:v>
                </c:pt>
                <c:pt idx="3">
                  <c:v>Production</c:v>
                </c:pt>
              </c:strCache>
            </c:strRef>
          </c:cat>
          <c:val>
            <c:numRef>
              <c:f>'NDBS Future 2025 '!$C$63:$C$66</c:f>
              <c:numCache>
                <c:formatCode>0</c:formatCode>
                <c:ptCount val="4"/>
                <c:pt idx="0">
                  <c:v>616.8050014001926</c:v>
                </c:pt>
                <c:pt idx="1">
                  <c:v>383.4665445897842</c:v>
                </c:pt>
                <c:pt idx="2">
                  <c:v>1204.475891706574</c:v>
                </c:pt>
                <c:pt idx="3">
                  <c:v>401.3273769735291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>
            <a:defRPr sz="15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15" l="0.700000000000001" r="0.700000000000001" t="0.75000000000001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Best&amp;Expected Case Scenario 2015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0697284659106626"/>
                  <c:y val="-0.074364947159374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656216108882094"/>
                  <c:y val="0.01801588016351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32738152582542"/>
                  <c:y val="0.084931666121064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106371739420306"/>
                  <c:y val="0.090262248227246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Production 20%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295476186918353"/>
                  <c:y val="0.026961464254054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205613873002738"/>
                  <c:y val="0.021891733731959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aseline="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'NDBS Future 2025 '!$B$56:$B$59</c:f>
              <c:strCache>
                <c:ptCount val="4"/>
                <c:pt idx="0">
                  <c:v>Consumer devices use</c:v>
                </c:pt>
                <c:pt idx="1">
                  <c:v>Networks Use</c:v>
                </c:pt>
                <c:pt idx="2">
                  <c:v>Data Centers Use</c:v>
                </c:pt>
                <c:pt idx="3">
                  <c:v>Production</c:v>
                </c:pt>
              </c:strCache>
            </c:strRef>
          </c:cat>
          <c:val>
            <c:numRef>
              <c:f>'NDBS Future 2025 '!$C$56:$C$59</c:f>
              <c:numCache>
                <c:formatCode>0</c:formatCode>
                <c:ptCount val="4"/>
                <c:pt idx="0">
                  <c:v>961.0360473900473</c:v>
                </c:pt>
                <c:pt idx="1">
                  <c:v>316.8655120067111</c:v>
                </c:pt>
                <c:pt idx="2">
                  <c:v>203.3763025360923</c:v>
                </c:pt>
                <c:pt idx="3">
                  <c:v>262.6185836749766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  <c:txPr>
        <a:bodyPr/>
        <a:lstStyle/>
        <a:p>
          <a:pPr>
            <a:defRPr sz="1500" baseline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15" l="0.700000000000001" r="0.700000000000001" t="0.75000000000001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Repartition in 2025 of ICT electricity footprint</a:t>
            </a:r>
          </a:p>
        </c:rich>
      </c:tx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'NDBS Future 2025 '!$F$63:$F$71</c:f>
              <c:strCache>
                <c:ptCount val="9"/>
                <c:pt idx="0">
                  <c:v>Consumer devices use, others</c:v>
                </c:pt>
                <c:pt idx="1">
                  <c:v>Networks Use</c:v>
                </c:pt>
                <c:pt idx="2">
                  <c:v>Data Centers Use</c:v>
                </c:pt>
                <c:pt idx="3">
                  <c:v>Production others</c:v>
                </c:pt>
                <c:pt idx="4">
                  <c:v>Smartphone production</c:v>
                </c:pt>
                <c:pt idx="5">
                  <c:v>Smartphones use</c:v>
                </c:pt>
                <c:pt idx="6">
                  <c:v>Wearable device production</c:v>
                </c:pt>
                <c:pt idx="7">
                  <c:v>TV and peripherals production</c:v>
                </c:pt>
                <c:pt idx="8">
                  <c:v>TVs and peripherals use</c:v>
                </c:pt>
              </c:strCache>
            </c:strRef>
          </c:cat>
          <c:val>
            <c:numRef>
              <c:f>'NDBS Future 2025 '!$G$63:$G$71</c:f>
              <c:numCache>
                <c:formatCode>0</c:formatCode>
                <c:ptCount val="9"/>
                <c:pt idx="0">
                  <c:v>458.4685955618931</c:v>
                </c:pt>
                <c:pt idx="1">
                  <c:v>766.0910789766713</c:v>
                </c:pt>
                <c:pt idx="2">
                  <c:v>2985.032701854598</c:v>
                </c:pt>
                <c:pt idx="3" formatCode="0.00">
                  <c:v>471.442754813835</c:v>
                </c:pt>
                <c:pt idx="4">
                  <c:v>109.353083159406</c:v>
                </c:pt>
                <c:pt idx="5">
                  <c:v>25.8737205689666</c:v>
                </c:pt>
                <c:pt idx="6">
                  <c:v>13.27363431257829</c:v>
                </c:pt>
                <c:pt idx="7">
                  <c:v>106.8018061979956</c:v>
                </c:pt>
                <c:pt idx="8">
                  <c:v>316.5454695506617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12" l="0.700000000000001" r="0.700000000000001" t="0.750000000000012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Expected Case Scenario 2025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0.0130992223322761"/>
                  <c:y val="0.01683579281714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92674173940848"/>
                  <c:y val="0.020549555865896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1553814775456"/>
                  <c:y val="-0.048662639975854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996266928679711"/>
                  <c:y val="-0.0193687490515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'NDBS Future 2025 '!$L$105:$L$108</c:f>
              <c:strCache>
                <c:ptCount val="4"/>
                <c:pt idx="0">
                  <c:v>Consumer devices use</c:v>
                </c:pt>
                <c:pt idx="1">
                  <c:v>Networks Use</c:v>
                </c:pt>
                <c:pt idx="2">
                  <c:v>Data Centers Use</c:v>
                </c:pt>
                <c:pt idx="3">
                  <c:v>Production</c:v>
                </c:pt>
              </c:strCache>
            </c:strRef>
          </c:cat>
          <c:val>
            <c:numRef>
              <c:f>'NDBS Future 2025 '!$M$105:$M$108</c:f>
              <c:numCache>
                <c:formatCode>0</c:formatCode>
                <c:ptCount val="4"/>
                <c:pt idx="0">
                  <c:v>800.8877856815214</c:v>
                </c:pt>
                <c:pt idx="1">
                  <c:v>766.0910789766713</c:v>
                </c:pt>
                <c:pt idx="2">
                  <c:v>2985.032701854598</c:v>
                </c:pt>
                <c:pt idx="3">
                  <c:v>700.8712784838149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500" baseline="0"/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Best case scenario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'NDBS Future 2025 '!$A$157</c:f>
              <c:strCache>
                <c:ptCount val="1"/>
                <c:pt idx="0">
                  <c:v>Consumer devices use</c:v>
                </c:pt>
              </c:strCache>
            </c:strRef>
          </c:tx>
          <c:cat>
            <c:numRef>
              <c:f>'NDBS Future 2025 '!$B$156:$L$156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'!$B$157:$L$157</c:f>
              <c:numCache>
                <c:formatCode>0</c:formatCode>
                <c:ptCount val="11"/>
                <c:pt idx="0">
                  <c:v>961.0360473900473</c:v>
                </c:pt>
                <c:pt idx="1">
                  <c:v>792.4062083138811</c:v>
                </c:pt>
                <c:pt idx="2">
                  <c:v>779.394727382625</c:v>
                </c:pt>
                <c:pt idx="3">
                  <c:v>768.4051782648132</c:v>
                </c:pt>
                <c:pt idx="4">
                  <c:v>759.8329168850657</c:v>
                </c:pt>
                <c:pt idx="5">
                  <c:v>753.087002225593</c:v>
                </c:pt>
                <c:pt idx="6">
                  <c:v>736.103347408307</c:v>
                </c:pt>
                <c:pt idx="7">
                  <c:v>711.3948864915658</c:v>
                </c:pt>
                <c:pt idx="8">
                  <c:v>680.2769680209939</c:v>
                </c:pt>
                <c:pt idx="9">
                  <c:v>648.6686921767538</c:v>
                </c:pt>
                <c:pt idx="10">
                  <c:v>616.8050014001926</c:v>
                </c:pt>
              </c:numCache>
            </c:numRef>
          </c:val>
        </c:ser>
        <c:ser>
          <c:idx val="1"/>
          <c:order val="1"/>
          <c:tx>
            <c:strRef>
              <c:f>'NDBS Future 2025 '!$A$158</c:f>
              <c:strCache>
                <c:ptCount val="1"/>
                <c:pt idx="0">
                  <c:v>Fixed access wired use</c:v>
                </c:pt>
              </c:strCache>
            </c:strRef>
          </c:tx>
          <c:cat>
            <c:numRef>
              <c:f>'NDBS Future 2025 '!$B$156:$L$156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'!$B$158:$L$158</c:f>
              <c:numCache>
                <c:formatCode>0</c:formatCode>
                <c:ptCount val="11"/>
                <c:pt idx="0">
                  <c:v>151.6368426344478</c:v>
                </c:pt>
                <c:pt idx="1">
                  <c:v>139.8565025025682</c:v>
                </c:pt>
                <c:pt idx="2">
                  <c:v>129.3192278331542</c:v>
                </c:pt>
                <c:pt idx="3">
                  <c:v>119.8774627987109</c:v>
                </c:pt>
                <c:pt idx="4">
                  <c:v>111.4017699128026</c:v>
                </c:pt>
                <c:pt idx="5">
                  <c:v>103.7785855596299</c:v>
                </c:pt>
                <c:pt idx="6">
                  <c:v>96.908254188636</c:v>
                </c:pt>
                <c:pt idx="7">
                  <c:v>111.184698359689</c:v>
                </c:pt>
                <c:pt idx="8">
                  <c:v>127.8517775813497</c:v>
                </c:pt>
                <c:pt idx="9">
                  <c:v>147.3367003555943</c:v>
                </c:pt>
                <c:pt idx="10">
                  <c:v>170.1452306641239</c:v>
                </c:pt>
              </c:numCache>
            </c:numRef>
          </c:val>
        </c:ser>
        <c:ser>
          <c:idx val="2"/>
          <c:order val="2"/>
          <c:tx>
            <c:strRef>
              <c:f>'NDBS Future 2025 '!$A$159</c:f>
              <c:strCache>
                <c:ptCount val="1"/>
                <c:pt idx="0">
                  <c:v>Fixed access WiFi use</c:v>
                </c:pt>
              </c:strCache>
            </c:strRef>
          </c:tx>
          <c:spPr>
            <a:ln w="25400">
              <a:noFill/>
            </a:ln>
          </c:spPr>
          <c:cat>
            <c:numRef>
              <c:f>'NDBS Future 2025 '!$B$156:$L$156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'!$B$159:$L$159</c:f>
              <c:numCache>
                <c:formatCode>0</c:formatCode>
                <c:ptCount val="11"/>
                <c:pt idx="0">
                  <c:v>46.7302673339844</c:v>
                </c:pt>
                <c:pt idx="1">
                  <c:v>45.26994647979738</c:v>
                </c:pt>
                <c:pt idx="2">
                  <c:v>43.85526065230372</c:v>
                </c:pt>
                <c:pt idx="3">
                  <c:v>42.48478375691923</c:v>
                </c:pt>
                <c:pt idx="4">
                  <c:v>41.15713426451551</c:v>
                </c:pt>
                <c:pt idx="5">
                  <c:v>39.8709738187494</c:v>
                </c:pt>
                <c:pt idx="6">
                  <c:v>38.62500588691347</c:v>
                </c:pt>
                <c:pt idx="7">
                  <c:v>45.86719449070975</c:v>
                </c:pt>
                <c:pt idx="8">
                  <c:v>54.46729345771782</c:v>
                </c:pt>
                <c:pt idx="9">
                  <c:v>64.67991098103991</c:v>
                </c:pt>
                <c:pt idx="10">
                  <c:v>76.8073942899849</c:v>
                </c:pt>
              </c:numCache>
            </c:numRef>
          </c:val>
        </c:ser>
        <c:ser>
          <c:idx val="3"/>
          <c:order val="3"/>
          <c:tx>
            <c:strRef>
              <c:f>'NDBS Future 2025 '!$A$160</c:f>
              <c:strCache>
                <c:ptCount val="1"/>
                <c:pt idx="0">
                  <c:v>Wireless networks access use</c:v>
                </c:pt>
              </c:strCache>
            </c:strRef>
          </c:tx>
          <c:spPr>
            <a:ln w="25400">
              <a:noFill/>
            </a:ln>
          </c:spPr>
          <c:cat>
            <c:numRef>
              <c:f>'NDBS Future 2025 '!$B$156:$L$156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'!$B$160:$L$160</c:f>
              <c:numCache>
                <c:formatCode>0</c:formatCode>
                <c:ptCount val="11"/>
                <c:pt idx="0">
                  <c:v>118.4984020382789</c:v>
                </c:pt>
                <c:pt idx="1">
                  <c:v>106.2186338421905</c:v>
                </c:pt>
                <c:pt idx="2">
                  <c:v>92.72085777115143</c:v>
                </c:pt>
                <c:pt idx="3">
                  <c:v>86.2534034007951</c:v>
                </c:pt>
                <c:pt idx="4">
                  <c:v>80.266661220934</c:v>
                </c:pt>
                <c:pt idx="5">
                  <c:v>76.4988361798128</c:v>
                </c:pt>
                <c:pt idx="6">
                  <c:v>76.47032828550645</c:v>
                </c:pt>
                <c:pt idx="7">
                  <c:v>84.33705160711775</c:v>
                </c:pt>
                <c:pt idx="8">
                  <c:v>98.96720290812773</c:v>
                </c:pt>
                <c:pt idx="9">
                  <c:v>115.5103585189842</c:v>
                </c:pt>
                <c:pt idx="10">
                  <c:v>136.5139196356755</c:v>
                </c:pt>
              </c:numCache>
            </c:numRef>
          </c:val>
        </c:ser>
        <c:ser>
          <c:idx val="4"/>
          <c:order val="4"/>
          <c:tx>
            <c:strRef>
              <c:f>'NDBS Future 2025 '!$A$161</c:f>
              <c:strCache>
                <c:ptCount val="1"/>
                <c:pt idx="0">
                  <c:v>Data centers use</c:v>
                </c:pt>
              </c:strCache>
            </c:strRef>
          </c:tx>
          <c:spPr>
            <a:ln w="25400">
              <a:noFill/>
            </a:ln>
          </c:spPr>
          <c:cat>
            <c:numRef>
              <c:f>'NDBS Future 2025 '!$B$156:$L$156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'!$B$161:$L$161</c:f>
              <c:numCache>
                <c:formatCode>0</c:formatCode>
                <c:ptCount val="11"/>
                <c:pt idx="0">
                  <c:v>203.3763025360923</c:v>
                </c:pt>
                <c:pt idx="1">
                  <c:v>205.3976552955442</c:v>
                </c:pt>
                <c:pt idx="2">
                  <c:v>222.5272078297683</c:v>
                </c:pt>
                <c:pt idx="3">
                  <c:v>248.2161049540407</c:v>
                </c:pt>
                <c:pt idx="4">
                  <c:v>276.9786485694671</c:v>
                </c:pt>
                <c:pt idx="5">
                  <c:v>309.1650201272084</c:v>
                </c:pt>
                <c:pt idx="6">
                  <c:v>344.7351270754448</c:v>
                </c:pt>
                <c:pt idx="7">
                  <c:v>471.2857967273781</c:v>
                </c:pt>
                <c:pt idx="8">
                  <c:v>644.3301221643178</c:v>
                </c:pt>
                <c:pt idx="9">
                  <c:v>880.9461305648028</c:v>
                </c:pt>
                <c:pt idx="10">
                  <c:v>1204.475891706574</c:v>
                </c:pt>
              </c:numCache>
            </c:numRef>
          </c:val>
        </c:ser>
        <c:ser>
          <c:idx val="5"/>
          <c:order val="5"/>
          <c:tx>
            <c:strRef>
              <c:f>'NDBS Future 2025 '!$A$162</c:f>
              <c:strCache>
                <c:ptCount val="1"/>
                <c:pt idx="0">
                  <c:v>Production</c:v>
                </c:pt>
              </c:strCache>
            </c:strRef>
          </c:tx>
          <c:spPr>
            <a:ln w="25400">
              <a:noFill/>
            </a:ln>
          </c:spPr>
          <c:cat>
            <c:numRef>
              <c:f>'NDBS Future 2025 '!$B$156:$L$156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'!$B$162:$L$162</c:f>
              <c:numCache>
                <c:formatCode>0</c:formatCode>
                <c:ptCount val="11"/>
                <c:pt idx="0">
                  <c:v>262.6185836749766</c:v>
                </c:pt>
                <c:pt idx="1">
                  <c:v>263.2276393694377</c:v>
                </c:pt>
                <c:pt idx="2">
                  <c:v>266.8518354020658</c:v>
                </c:pt>
                <c:pt idx="3">
                  <c:v>273.8944131463758</c:v>
                </c:pt>
                <c:pt idx="4">
                  <c:v>283.3350303900118</c:v>
                </c:pt>
                <c:pt idx="5">
                  <c:v>291.541740218685</c:v>
                </c:pt>
                <c:pt idx="6">
                  <c:v>284.9239922915349</c:v>
                </c:pt>
                <c:pt idx="7">
                  <c:v>295.9647971760853</c:v>
                </c:pt>
                <c:pt idx="8">
                  <c:v>317.0063459375723</c:v>
                </c:pt>
                <c:pt idx="9">
                  <c:v>350.5211574077632</c:v>
                </c:pt>
                <c:pt idx="10">
                  <c:v>401.3273769735291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085952"/>
        <c:axId val="1642859904"/>
      </c:areaChart>
      <c:catAx>
        <c:axId val="16550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2859904"/>
        <c:crosses val="autoZero"/>
        <c:auto val="1"/>
        <c:lblAlgn val="ctr"/>
        <c:lblOffset val="100"/>
        <c:noMultiLvlLbl val="0"/>
      </c:catAx>
      <c:valAx>
        <c:axId val="1642859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TWh/year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6550859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Expected case scenario</a:t>
            </a: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'NDBS Future 2025 '!$A$166</c:f>
              <c:strCache>
                <c:ptCount val="1"/>
                <c:pt idx="0">
                  <c:v>Consumer devices use</c:v>
                </c:pt>
              </c:strCache>
            </c:strRef>
          </c:tx>
          <c:cat>
            <c:numRef>
              <c:f>'NDBS Future 2025 '!$B$165:$L$165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'!$B$166:$L$166</c:f>
              <c:numCache>
                <c:formatCode>0</c:formatCode>
                <c:ptCount val="11"/>
                <c:pt idx="0">
                  <c:v>961.0360473900473</c:v>
                </c:pt>
                <c:pt idx="1">
                  <c:v>953.0013834817657</c:v>
                </c:pt>
                <c:pt idx="2">
                  <c:v>944.6041401256991</c:v>
                </c:pt>
                <c:pt idx="3">
                  <c:v>938.5715375212812</c:v>
                </c:pt>
                <c:pt idx="4">
                  <c:v>935.0048443532991</c:v>
                </c:pt>
                <c:pt idx="5">
                  <c:v>933.5296156186634</c:v>
                </c:pt>
                <c:pt idx="6">
                  <c:v>921.1510160301243</c:v>
                </c:pt>
                <c:pt idx="7">
                  <c:v>900.4195291894569</c:v>
                </c:pt>
                <c:pt idx="8">
                  <c:v>872.6643311718407</c:v>
                </c:pt>
                <c:pt idx="9">
                  <c:v>839.0944373814993</c:v>
                </c:pt>
                <c:pt idx="10">
                  <c:v>800.8877856815214</c:v>
                </c:pt>
              </c:numCache>
            </c:numRef>
          </c:val>
        </c:ser>
        <c:ser>
          <c:idx val="1"/>
          <c:order val="1"/>
          <c:tx>
            <c:strRef>
              <c:f>'NDBS Future 2025 '!$A$167</c:f>
              <c:strCache>
                <c:ptCount val="1"/>
                <c:pt idx="0">
                  <c:v>Fixed access wired use</c:v>
                </c:pt>
              </c:strCache>
            </c:strRef>
          </c:tx>
          <c:cat>
            <c:numRef>
              <c:f>'NDBS Future 2025 '!$B$165:$L$165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'!$B$167:$L$167</c:f>
              <c:numCache>
                <c:formatCode>0</c:formatCode>
                <c:ptCount val="11"/>
                <c:pt idx="0">
                  <c:v>151.6368426344478</c:v>
                </c:pt>
                <c:pt idx="1">
                  <c:v>160.151226453261</c:v>
                </c:pt>
                <c:pt idx="2">
                  <c:v>167.4028678451191</c:v>
                </c:pt>
                <c:pt idx="3">
                  <c:v>175.7124229420803</c:v>
                </c:pt>
                <c:pt idx="4">
                  <c:v>185.1817814510524</c:v>
                </c:pt>
                <c:pt idx="5">
                  <c:v>195.923816426365</c:v>
                </c:pt>
                <c:pt idx="6">
                  <c:v>208.0635286884738</c:v>
                </c:pt>
                <c:pt idx="7">
                  <c:v>247.8262895252048</c:v>
                </c:pt>
                <c:pt idx="8">
                  <c:v>296.1753291809478</c:v>
                </c:pt>
                <c:pt idx="9">
                  <c:v>355.0655116700278</c:v>
                </c:pt>
                <c:pt idx="10">
                  <c:v>426.9058723949608</c:v>
                </c:pt>
              </c:numCache>
            </c:numRef>
          </c:val>
        </c:ser>
        <c:ser>
          <c:idx val="2"/>
          <c:order val="2"/>
          <c:tx>
            <c:strRef>
              <c:f>'NDBS Future 2025 '!$A$168</c:f>
              <c:strCache>
                <c:ptCount val="1"/>
                <c:pt idx="0">
                  <c:v>Fixed access WiFi use</c:v>
                </c:pt>
              </c:strCache>
            </c:strRef>
          </c:tx>
          <c:spPr>
            <a:ln w="25400">
              <a:noFill/>
            </a:ln>
          </c:spPr>
          <c:cat>
            <c:numRef>
              <c:f>'NDBS Future 2025 '!$B$165:$L$165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'!$B$168:$L$168</c:f>
              <c:numCache>
                <c:formatCode>0</c:formatCode>
                <c:ptCount val="11"/>
                <c:pt idx="0">
                  <c:v>46.7302673339844</c:v>
                </c:pt>
                <c:pt idx="1">
                  <c:v>52.88262501552967</c:v>
                </c:pt>
                <c:pt idx="2">
                  <c:v>58.43530064216028</c:v>
                </c:pt>
                <c:pt idx="3">
                  <c:v>64.57100720958712</c:v>
                </c:pt>
                <c:pt idx="4">
                  <c:v>71.35096296659377</c:v>
                </c:pt>
                <c:pt idx="5">
                  <c:v>78.84281407808612</c:v>
                </c:pt>
                <c:pt idx="6">
                  <c:v>87.12130955628517</c:v>
                </c:pt>
                <c:pt idx="7">
                  <c:v>107.5948173020122</c:v>
                </c:pt>
                <c:pt idx="8">
                  <c:v>132.8795993679851</c:v>
                </c:pt>
                <c:pt idx="9">
                  <c:v>164.1063052194615</c:v>
                </c:pt>
                <c:pt idx="10">
                  <c:v>202.671286946035</c:v>
                </c:pt>
              </c:numCache>
            </c:numRef>
          </c:val>
        </c:ser>
        <c:ser>
          <c:idx val="3"/>
          <c:order val="3"/>
          <c:tx>
            <c:strRef>
              <c:f>'NDBS Future 2025 '!$A$169</c:f>
              <c:strCache>
                <c:ptCount val="1"/>
                <c:pt idx="0">
                  <c:v>Wireless networks access use</c:v>
                </c:pt>
              </c:strCache>
            </c:strRef>
          </c:tx>
          <c:spPr>
            <a:ln w="25400">
              <a:noFill/>
            </a:ln>
          </c:spPr>
          <c:cat>
            <c:numRef>
              <c:f>'NDBS Future 2025 '!$B$165:$L$165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'!$B$169:$L$169</c:f>
              <c:numCache>
                <c:formatCode>0</c:formatCode>
                <c:ptCount val="11"/>
                <c:pt idx="0">
                  <c:v>118.4984020382789</c:v>
                </c:pt>
                <c:pt idx="1">
                  <c:v>106.2186338421905</c:v>
                </c:pt>
                <c:pt idx="2">
                  <c:v>92.72085777115143</c:v>
                </c:pt>
                <c:pt idx="3">
                  <c:v>86.2534034007951</c:v>
                </c:pt>
                <c:pt idx="4">
                  <c:v>80.266661220934</c:v>
                </c:pt>
                <c:pt idx="5">
                  <c:v>76.4988361798128</c:v>
                </c:pt>
                <c:pt idx="6">
                  <c:v>76.47032828550645</c:v>
                </c:pt>
                <c:pt idx="7">
                  <c:v>84.33705160711775</c:v>
                </c:pt>
                <c:pt idx="8">
                  <c:v>98.96720290812773</c:v>
                </c:pt>
                <c:pt idx="9">
                  <c:v>115.5103585189842</c:v>
                </c:pt>
                <c:pt idx="10">
                  <c:v>136.5139196356755</c:v>
                </c:pt>
              </c:numCache>
            </c:numRef>
          </c:val>
        </c:ser>
        <c:ser>
          <c:idx val="4"/>
          <c:order val="4"/>
          <c:tx>
            <c:strRef>
              <c:f>'NDBS Future 2025 '!$A$170</c:f>
              <c:strCache>
                <c:ptCount val="1"/>
                <c:pt idx="0">
                  <c:v>Data centers use</c:v>
                </c:pt>
              </c:strCache>
            </c:strRef>
          </c:tx>
          <c:spPr>
            <a:ln w="25400">
              <a:noFill/>
            </a:ln>
          </c:spPr>
          <c:cat>
            <c:numRef>
              <c:f>'NDBS Future 2025 '!$B$165:$L$165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'!$B$170:$L$170</c:f>
              <c:numCache>
                <c:formatCode>0</c:formatCode>
                <c:ptCount val="11"/>
                <c:pt idx="0">
                  <c:v>203.3763025360923</c:v>
                </c:pt>
                <c:pt idx="1">
                  <c:v>239.7806606900528</c:v>
                </c:pt>
                <c:pt idx="2">
                  <c:v>302.1236324694665</c:v>
                </c:pt>
                <c:pt idx="3">
                  <c:v>391.5522276804285</c:v>
                </c:pt>
                <c:pt idx="4">
                  <c:v>507.4516870738354</c:v>
                </c:pt>
                <c:pt idx="5">
                  <c:v>657.6573864476906</c:v>
                </c:pt>
                <c:pt idx="6">
                  <c:v>852.323972836207</c:v>
                </c:pt>
                <c:pt idx="7">
                  <c:v>1165.979194839931</c:v>
                </c:pt>
                <c:pt idx="8">
                  <c:v>1595.059538541026</c:v>
                </c:pt>
                <c:pt idx="9">
                  <c:v>2182.041448724122</c:v>
                </c:pt>
                <c:pt idx="10">
                  <c:v>2985.032701854598</c:v>
                </c:pt>
              </c:numCache>
            </c:numRef>
          </c:val>
        </c:ser>
        <c:ser>
          <c:idx val="5"/>
          <c:order val="5"/>
          <c:tx>
            <c:strRef>
              <c:f>'NDBS Future 2025 '!$A$171</c:f>
              <c:strCache>
                <c:ptCount val="1"/>
                <c:pt idx="0">
                  <c:v>Production</c:v>
                </c:pt>
              </c:strCache>
            </c:strRef>
          </c:tx>
          <c:spPr>
            <a:ln w="25400">
              <a:noFill/>
            </a:ln>
          </c:spPr>
          <c:cat>
            <c:numRef>
              <c:f>'NDBS Future 2025 '!$B$165:$L$165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cat>
          <c:val>
            <c:numRef>
              <c:f>'NDBS Future 2025 '!$B$171:$L$171</c:f>
              <c:numCache>
                <c:formatCode>0</c:formatCode>
                <c:ptCount val="11"/>
                <c:pt idx="0">
                  <c:v>262.6185836749766</c:v>
                </c:pt>
                <c:pt idx="1">
                  <c:v>349.4309311342961</c:v>
                </c:pt>
                <c:pt idx="2">
                  <c:v>361.08401419379</c:v>
                </c:pt>
                <c:pt idx="3">
                  <c:v>378.5844578803798</c:v>
                </c:pt>
                <c:pt idx="4">
                  <c:v>400.8719697768647</c:v>
                </c:pt>
                <c:pt idx="5">
                  <c:v>424.7295736985668</c:v>
                </c:pt>
                <c:pt idx="6">
                  <c:v>432.2544237883575</c:v>
                </c:pt>
                <c:pt idx="7">
                  <c:v>465.5705079943007</c:v>
                </c:pt>
                <c:pt idx="8">
                  <c:v>517.8202937651391</c:v>
                </c:pt>
                <c:pt idx="9">
                  <c:v>593.611290758132</c:v>
                </c:pt>
                <c:pt idx="10">
                  <c:v>700.8712784838149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178592"/>
        <c:axId val="1642918560"/>
      </c:areaChart>
      <c:catAx>
        <c:axId val="16551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42918560"/>
        <c:crosses val="autoZero"/>
        <c:auto val="1"/>
        <c:lblAlgn val="ctr"/>
        <c:lblOffset val="100"/>
        <c:noMultiLvlLbl val="0"/>
      </c:catAx>
      <c:valAx>
        <c:axId val="164291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TWh/year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65517859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400" baseline="0"/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Share of global electricity
 usage in 2015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'NDBS Future 2025 '!$N$156</c:f>
              <c:strCache>
                <c:ptCount val="1"/>
                <c:pt idx="0">
                  <c:v>Share of global electricity_x000d_ usage in 2015</c:v>
                </c:pt>
              </c:strCache>
            </c:strRef>
          </c:tx>
          <c:dLbls>
            <c:dLbl>
              <c:idx val="0"/>
              <c:layout>
                <c:manualLayout>
                  <c:x val="-0.170162121778317"/>
                  <c:y val="-0.063041870923799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115015749119226"/>
                  <c:y val="-0.00152575004229024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0495647290670699"/>
                  <c:y val="0.0070597013794870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102904106271258"/>
                  <c:y val="0.03314893950078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0.0877899953015208"/>
                  <c:y val="0.093143583061610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'NDBS Future 2025 '!$M$157:$M$162</c:f>
              <c:strCache>
                <c:ptCount val="6"/>
                <c:pt idx="0">
                  <c:v>Consumer devices use</c:v>
                </c:pt>
                <c:pt idx="1">
                  <c:v>Fixed access wired use</c:v>
                </c:pt>
                <c:pt idx="2">
                  <c:v>Fixed access WiFi use</c:v>
                </c:pt>
                <c:pt idx="3">
                  <c:v>Wireless networks access use</c:v>
                </c:pt>
                <c:pt idx="4">
                  <c:v>Data centers use</c:v>
                </c:pt>
                <c:pt idx="5">
                  <c:v>Production</c:v>
                </c:pt>
              </c:strCache>
            </c:strRef>
          </c:cat>
          <c:val>
            <c:numRef>
              <c:f>'NDBS Future 2025 '!$N$157:$N$162</c:f>
              <c:numCache>
                <c:formatCode>0.0%</c:formatCode>
                <c:ptCount val="6"/>
                <c:pt idx="0">
                  <c:v>0.0429275485304854</c:v>
                </c:pt>
                <c:pt idx="1">
                  <c:v>0.00677331296664456</c:v>
                </c:pt>
                <c:pt idx="2">
                  <c:v>0.00208734711280607</c:v>
                </c:pt>
                <c:pt idx="3">
                  <c:v>0.00529308543430592</c:v>
                </c:pt>
                <c:pt idx="4">
                  <c:v>0.00908441064284599</c:v>
                </c:pt>
                <c:pt idx="5">
                  <c:v>0.0117306442628571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 baseline="0"/>
      </a:pPr>
      <a:endParaRPr lang="en-US"/>
    </a:p>
  </c:txPr>
  <c:printSettings>
    <c:headerFooter/>
    <c:pageMargins b="0.750000000000015" l="0.700000000000001" r="0.700000000000001" t="0.75000000000001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 of different ICT Sectors of global electricity</a:t>
            </a:r>
            <a:r>
              <a:rPr lang="en-US" baseline="0"/>
              <a:t> 2015-2025, Best case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'NDBS Future 2025 '!$N$156</c:f>
              <c:strCache>
                <c:ptCount val="1"/>
                <c:pt idx="0">
                  <c:v>Share of global electricity_x000d_ usage in 2015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'NDBS Future 2025 '!$M$157:$M$162</c:f>
              <c:strCache>
                <c:ptCount val="6"/>
                <c:pt idx="0">
                  <c:v>Consumer devices use</c:v>
                </c:pt>
                <c:pt idx="1">
                  <c:v>Fixed access wired use</c:v>
                </c:pt>
                <c:pt idx="2">
                  <c:v>Fixed access WiFi use</c:v>
                </c:pt>
                <c:pt idx="3">
                  <c:v>Wireless networks access use</c:v>
                </c:pt>
                <c:pt idx="4">
                  <c:v>Data centers use</c:v>
                </c:pt>
                <c:pt idx="5">
                  <c:v>Production</c:v>
                </c:pt>
              </c:strCache>
            </c:strRef>
          </c:cat>
          <c:val>
            <c:numRef>
              <c:f>'NDBS Future 2025 '!$N$157:$N$162</c:f>
              <c:numCache>
                <c:formatCode>0.0%</c:formatCode>
                <c:ptCount val="6"/>
                <c:pt idx="0">
                  <c:v>0.0429275485304854</c:v>
                </c:pt>
                <c:pt idx="1">
                  <c:v>0.00677331296664456</c:v>
                </c:pt>
                <c:pt idx="2">
                  <c:v>0.00208734711280607</c:v>
                </c:pt>
                <c:pt idx="3">
                  <c:v>0.00529308543430592</c:v>
                </c:pt>
                <c:pt idx="4">
                  <c:v>0.00908441064284599</c:v>
                </c:pt>
                <c:pt idx="5">
                  <c:v>0.0117306442628571</c:v>
                </c:pt>
              </c:numCache>
            </c:numRef>
          </c:val>
        </c:ser>
        <c:ser>
          <c:idx val="1"/>
          <c:order val="1"/>
          <c:tx>
            <c:strRef>
              <c:f>'NDBS Future 2025 '!$O$156</c:f>
              <c:strCache>
                <c:ptCount val="1"/>
                <c:pt idx="0">
                  <c:v>Share of global _x000d_electricity usage in 2025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'NDBS Future 2025 '!$M$157:$M$162</c:f>
              <c:strCache>
                <c:ptCount val="6"/>
                <c:pt idx="0">
                  <c:v>Consumer devices use</c:v>
                </c:pt>
                <c:pt idx="1">
                  <c:v>Fixed access wired use</c:v>
                </c:pt>
                <c:pt idx="2">
                  <c:v>Fixed access WiFi use</c:v>
                </c:pt>
                <c:pt idx="3">
                  <c:v>Wireless networks access use</c:v>
                </c:pt>
                <c:pt idx="4">
                  <c:v>Data centers use</c:v>
                </c:pt>
                <c:pt idx="5">
                  <c:v>Production</c:v>
                </c:pt>
              </c:strCache>
            </c:strRef>
          </c:cat>
          <c:val>
            <c:numRef>
              <c:f>'NDBS Future 2025 '!$O$157:$O$162</c:f>
              <c:numCache>
                <c:formatCode>0.0%</c:formatCode>
                <c:ptCount val="6"/>
                <c:pt idx="0">
                  <c:v>0.0234583188771222</c:v>
                </c:pt>
                <c:pt idx="1">
                  <c:v>0.00647096094759273</c:v>
                </c:pt>
                <c:pt idx="2">
                  <c:v>0.00292113770686873</c:v>
                </c:pt>
                <c:pt idx="3">
                  <c:v>0.00519189541380153</c:v>
                </c:pt>
                <c:pt idx="4">
                  <c:v>0.0458086096632129</c:v>
                </c:pt>
                <c:pt idx="5">
                  <c:v>0.0152632769867179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643310656"/>
        <c:axId val="1657560832"/>
      </c:barChart>
      <c:catAx>
        <c:axId val="1643310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657560832"/>
        <c:crosses val="autoZero"/>
        <c:auto val="1"/>
        <c:lblAlgn val="ctr"/>
        <c:lblOffset val="100"/>
        <c:noMultiLvlLbl val="0"/>
      </c:catAx>
      <c:valAx>
        <c:axId val="1657560832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one"/>
        <c:crossAx val="16433106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Electricity</a:t>
            </a:r>
            <a:r>
              <a:rPr lang="en-US" baseline="0"/>
              <a:t> usage  (TWh) of Fixed access wired networks 2015-2025</a:t>
            </a:r>
            <a:endParaRPr lang="en-US"/>
          </a:p>
        </c:rich>
      </c:tx>
      <c:layout>
        <c:manualLayout>
          <c:xMode val="edge"/>
          <c:yMode val="edge"/>
          <c:x val="0.065254167262349"/>
          <c:y val="0.0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'WANFANWIFI old'!$D$290</c:f>
              <c:strCache>
                <c:ptCount val="1"/>
                <c:pt idx="0">
                  <c:v>Fixed access wired Best</c:v>
                </c:pt>
              </c:strCache>
            </c:strRef>
          </c:tx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'WANFANWIFI old'!$E$289:$Y$289</c:f>
              <c:numCache>
                <c:formatCode>General</c:formatCode>
                <c:ptCount val="21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</c:numCache>
            </c:numRef>
          </c:xVal>
          <c:yVal>
            <c:numRef>
              <c:f>'WANFANWIFI old'!$E$290:$Y$290</c:f>
              <c:numCache>
                <c:formatCode>#,##0</c:formatCode>
                <c:ptCount val="21"/>
                <c:pt idx="0">
                  <c:v>162.0</c:v>
                </c:pt>
                <c:pt idx="1">
                  <c:v>178.0</c:v>
                </c:pt>
                <c:pt idx="2">
                  <c:v>196.24</c:v>
                </c:pt>
                <c:pt idx="3">
                  <c:v>189.6596970212766</c:v>
                </c:pt>
                <c:pt idx="4">
                  <c:v>184.086013385532</c:v>
                </c:pt>
                <c:pt idx="5">
                  <c:v>179.4474686978179</c:v>
                </c:pt>
                <c:pt idx="6">
                  <c:v>178.3749784510639</c:v>
                </c:pt>
                <c:pt idx="7">
                  <c:v>175.4840382442214</c:v>
                </c:pt>
                <c:pt idx="8">
                  <c:v>173.359743091455</c:v>
                </c:pt>
                <c:pt idx="9">
                  <c:v>171.9551179206411</c:v>
                </c:pt>
                <c:pt idx="10">
                  <c:v>171.2281410537082</c:v>
                </c:pt>
                <c:pt idx="11">
                  <c:v>171.1413410914687</c:v>
                </c:pt>
                <c:pt idx="12">
                  <c:v>203.8479488184119</c:v>
                </c:pt>
                <c:pt idx="13">
                  <c:v>243.6171459445339</c:v>
                </c:pt>
                <c:pt idx="14">
                  <c:v>292.0568935150595</c:v>
                </c:pt>
                <c:pt idx="15">
                  <c:v>351.1487283813641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25456"/>
        <c:axId val="1634132592"/>
      </c:scatterChart>
      <c:valAx>
        <c:axId val="1634125456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14312885752081"/>
              <c:y val="0.91610438626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34132592"/>
        <c:crosses val="autoZero"/>
        <c:crossBetween val="midCat"/>
      </c:valAx>
      <c:valAx>
        <c:axId val="1634132592"/>
        <c:scaling>
          <c:orientation val="minMax"/>
        </c:scaling>
        <c:delete val="0"/>
        <c:axPos val="l"/>
        <c:majorGridlines/>
        <c:numFmt formatCode="#,##0" sourceLinked="1"/>
        <c:majorTickMark val="none"/>
        <c:minorTickMark val="none"/>
        <c:tickLblPos val="nextTo"/>
        <c:crossAx val="1634125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3139532731684"/>
          <c:y val="0.375628832292286"/>
          <c:w val="0.250076483355221"/>
          <c:h val="0.206946486581484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5" l="0.700000000000001" r="0.700000000000001" t="0.75000000000001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Electricity usage  (TWh) of Fixed access Wi-Fi networks 2015-2025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'WANFANWIFI old'!$D$331</c:f>
              <c:strCache>
                <c:ptCount val="1"/>
                <c:pt idx="0">
                  <c:v>Fixed access WiFi Best</c:v>
                </c:pt>
              </c:strCache>
            </c:strRef>
          </c:tx>
          <c:dLbls>
            <c:dLbl>
              <c:idx val="2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'WANFANWIFI old'!$E$330:$Y$330</c:f>
              <c:numCache>
                <c:formatCode>General</c:formatCode>
                <c:ptCount val="21"/>
                <c:pt idx="0">
                  <c:v>2010.0</c:v>
                </c:pt>
                <c:pt idx="1">
                  <c:v>2011.0</c:v>
                </c:pt>
                <c:pt idx="2">
                  <c:v>2012.0</c:v>
                </c:pt>
                <c:pt idx="3">
                  <c:v>2013.0</c:v>
                </c:pt>
                <c:pt idx="4">
                  <c:v>2014.0</c:v>
                </c:pt>
                <c:pt idx="5">
                  <c:v>2015.0</c:v>
                </c:pt>
                <c:pt idx="6">
                  <c:v>2016.0</c:v>
                </c:pt>
                <c:pt idx="7">
                  <c:v>2017.0</c:v>
                </c:pt>
                <c:pt idx="8">
                  <c:v>2018.0</c:v>
                </c:pt>
                <c:pt idx="9">
                  <c:v>2019.0</c:v>
                </c:pt>
                <c:pt idx="10">
                  <c:v>2020.0</c:v>
                </c:pt>
                <c:pt idx="11">
                  <c:v>2021.0</c:v>
                </c:pt>
                <c:pt idx="12">
                  <c:v>2022.0</c:v>
                </c:pt>
                <c:pt idx="13">
                  <c:v>2023.0</c:v>
                </c:pt>
                <c:pt idx="14">
                  <c:v>2024.0</c:v>
                </c:pt>
                <c:pt idx="15">
                  <c:v>2025.0</c:v>
                </c:pt>
                <c:pt idx="16">
                  <c:v>2026.0</c:v>
                </c:pt>
                <c:pt idx="17">
                  <c:v>2027.0</c:v>
                </c:pt>
                <c:pt idx="18">
                  <c:v>2028.0</c:v>
                </c:pt>
                <c:pt idx="19">
                  <c:v>2029.0</c:v>
                </c:pt>
                <c:pt idx="20">
                  <c:v>2030.0</c:v>
                </c:pt>
              </c:numCache>
            </c:numRef>
          </c:xVal>
          <c:yVal>
            <c:numRef>
              <c:f>'WANFANWIFI old'!$E$331:$Y$331</c:f>
              <c:numCache>
                <c:formatCode>0</c:formatCode>
                <c:ptCount val="21"/>
                <c:pt idx="0">
                  <c:v>42.1</c:v>
                </c:pt>
                <c:pt idx="1">
                  <c:v>46.4</c:v>
                </c:pt>
                <c:pt idx="2">
                  <c:v>51.4</c:v>
                </c:pt>
                <c:pt idx="3">
                  <c:v>53.45600000000001</c:v>
                </c:pt>
                <c:pt idx="4">
                  <c:v>55.59424000000001</c:v>
                </c:pt>
                <c:pt idx="5">
                  <c:v>57.81800960000002</c:v>
                </c:pt>
                <c:pt idx="6">
                  <c:v>61.58131200000002</c:v>
                </c:pt>
                <c:pt idx="7">
                  <c:v>64.04456448</c:v>
                </c:pt>
                <c:pt idx="8">
                  <c:v>66.60634705920003</c:v>
                </c:pt>
                <c:pt idx="9">
                  <c:v>69.27060094156803</c:v>
                </c:pt>
                <c:pt idx="10">
                  <c:v>72.04142497923076</c:v>
                </c:pt>
                <c:pt idx="11">
                  <c:v>74.92308197840001</c:v>
                </c:pt>
                <c:pt idx="12">
                  <c:v>92.53000624332401</c:v>
                </c:pt>
                <c:pt idx="13">
                  <c:v>114.2745577105051</c:v>
                </c:pt>
                <c:pt idx="14">
                  <c:v>141.1290787724739</c:v>
                </c:pt>
                <c:pt idx="15">
                  <c:v>174.2944122840052</c:v>
                </c:pt>
                <c:pt idx="16" formatCode="#,##0">
                  <c:v>0.0</c:v>
                </c:pt>
                <c:pt idx="17" formatCode="#,##0">
                  <c:v>0.0</c:v>
                </c:pt>
                <c:pt idx="18" formatCode="#,##0">
                  <c:v>0.0</c:v>
                </c:pt>
                <c:pt idx="19" formatCode="#,##0">
                  <c:v>0.0</c:v>
                </c:pt>
                <c:pt idx="20" formatCode="#,##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196048"/>
        <c:axId val="1634203216"/>
      </c:scatterChart>
      <c:valAx>
        <c:axId val="1634196048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14312885752081"/>
              <c:y val="0.916104386266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634203216"/>
        <c:crosses val="autoZero"/>
        <c:crossBetween val="midCat"/>
      </c:valAx>
      <c:valAx>
        <c:axId val="1634203216"/>
        <c:scaling>
          <c:orientation val="minMax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63419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15" l="0.700000000000001" r="0.700000000000001" t="0.75000000000001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Expected Electricity usage (TWh) of Wireless Access Networks 2015-2025,  44% 5G in 2025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'WANFANWIFI old'!$J$235:$T$235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xVal>
          <c:yVal>
            <c:numRef>
              <c:f>'WANFANWIFI old'!$J$236:$T$236</c:f>
              <c:numCache>
                <c:formatCode>0</c:formatCode>
                <c:ptCount val="11"/>
                <c:pt idx="0">
                  <c:v>118.4984020382789</c:v>
                </c:pt>
                <c:pt idx="1">
                  <c:v>106.2199861919393</c:v>
                </c:pt>
                <c:pt idx="2">
                  <c:v>92.72358135507463</c:v>
                </c:pt>
                <c:pt idx="3">
                  <c:v>86.2534034007951</c:v>
                </c:pt>
                <c:pt idx="4">
                  <c:v>80.266661220934</c:v>
                </c:pt>
                <c:pt idx="5">
                  <c:v>76.4988361798128</c:v>
                </c:pt>
                <c:pt idx="6">
                  <c:v>75.58809536248626</c:v>
                </c:pt>
                <c:pt idx="7">
                  <c:v>84.33705160711775</c:v>
                </c:pt>
                <c:pt idx="8">
                  <c:v>98.96720290812773</c:v>
                </c:pt>
                <c:pt idx="9">
                  <c:v>115.5103585189842</c:v>
                </c:pt>
                <c:pt idx="10">
                  <c:v>136.5139196356755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586624"/>
        <c:axId val="1656098240"/>
      </c:scatterChart>
      <c:valAx>
        <c:axId val="1641586624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56098240"/>
        <c:crosses val="autoZero"/>
        <c:crossBetween val="midCat"/>
      </c:valAx>
      <c:valAx>
        <c:axId val="165609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TWh</a:t>
                </a:r>
              </a:p>
            </c:rich>
          </c:tx>
          <c:layout>
            <c:manualLayout>
              <c:xMode val="edge"/>
              <c:yMode val="edge"/>
              <c:x val="0.0264688742231482"/>
              <c:y val="0.458454861080456"/>
            </c:manualLayout>
          </c:layout>
          <c:overlay val="0"/>
        </c:title>
        <c:numFmt formatCode="0" sourceLinked="1"/>
        <c:majorTickMark val="none"/>
        <c:minorTickMark val="none"/>
        <c:tickLblPos val="nextTo"/>
        <c:crossAx val="164158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13" l="0.700000000000001" r="0.700000000000001" t="0.750000000000013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5G:</a:t>
            </a:r>
            <a:r>
              <a:rPr lang="en-US" baseline="0"/>
              <a:t> Necessary microJ/bit to keep power at 2018 level</a:t>
            </a:r>
            <a:endParaRPr lang="en-US"/>
          </a:p>
        </c:rich>
      </c:tx>
      <c:layout>
        <c:manualLayout>
          <c:xMode val="edge"/>
          <c:yMode val="edge"/>
          <c:x val="0.142191974414955"/>
          <c:y val="0.0227498678895475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'WANFANWIFI old'!$AH$98:$AO$98</c:f>
              <c:numCache>
                <c:formatCode>General</c:formatCode>
                <c:ptCount val="8"/>
                <c:pt idx="0">
                  <c:v>2018.0</c:v>
                </c:pt>
                <c:pt idx="1">
                  <c:v>2019.0</c:v>
                </c:pt>
                <c:pt idx="2">
                  <c:v>2020.0</c:v>
                </c:pt>
                <c:pt idx="3">
                  <c:v>2021.0</c:v>
                </c:pt>
                <c:pt idx="4">
                  <c:v>2022.0</c:v>
                </c:pt>
                <c:pt idx="5">
                  <c:v>2023.0</c:v>
                </c:pt>
                <c:pt idx="6">
                  <c:v>2024.0</c:v>
                </c:pt>
                <c:pt idx="7">
                  <c:v>2025.0</c:v>
                </c:pt>
              </c:numCache>
            </c:numRef>
          </c:xVal>
          <c:yVal>
            <c:numRef>
              <c:f>'WANFANWIFI old'!$AH$103:$AO$103</c:f>
              <c:numCache>
                <c:formatCode>0.00E+00</c:formatCode>
                <c:ptCount val="8"/>
                <c:pt idx="0">
                  <c:v>3.099806268513883</c:v>
                </c:pt>
                <c:pt idx="1">
                  <c:v>2.417848889440829</c:v>
                </c:pt>
                <c:pt idx="2">
                  <c:v>1.885922133763846</c:v>
                </c:pt>
                <c:pt idx="3">
                  <c:v>1.4710192643358</c:v>
                </c:pt>
                <c:pt idx="4">
                  <c:v>1.39746830111901</c:v>
                </c:pt>
                <c:pt idx="5">
                  <c:v>1.327594886063059</c:v>
                </c:pt>
                <c:pt idx="6">
                  <c:v>1.261215141759906</c:v>
                </c:pt>
                <c:pt idx="7">
                  <c:v>1.198154384671911</c:v>
                </c:pt>
              </c:numCache>
            </c:numRef>
          </c:yVal>
          <c:smooth val="1"/>
        </c:ser>
        <c:ser>
          <c:idx val="1"/>
          <c:order val="1"/>
          <c:dLbls>
            <c:dLbl>
              <c:idx val="7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'WANFANWIFI old'!$AH$98:$AO$98</c:f>
              <c:numCache>
                <c:formatCode>General</c:formatCode>
                <c:ptCount val="8"/>
                <c:pt idx="0">
                  <c:v>2018.0</c:v>
                </c:pt>
                <c:pt idx="1">
                  <c:v>2019.0</c:v>
                </c:pt>
                <c:pt idx="2">
                  <c:v>2020.0</c:v>
                </c:pt>
                <c:pt idx="3">
                  <c:v>2021.0</c:v>
                </c:pt>
                <c:pt idx="4">
                  <c:v>2022.0</c:v>
                </c:pt>
                <c:pt idx="5">
                  <c:v>2023.0</c:v>
                </c:pt>
                <c:pt idx="6">
                  <c:v>2024.0</c:v>
                </c:pt>
                <c:pt idx="7">
                  <c:v>2025.0</c:v>
                </c:pt>
              </c:numCache>
            </c:numRef>
          </c:xVal>
          <c:yVal>
            <c:numRef>
              <c:f>'WANFANWIFI old'!$AH$104:$AO$104</c:f>
              <c:numCache>
                <c:formatCode>0.00E+00</c:formatCode>
                <c:ptCount val="8"/>
                <c:pt idx="0">
                  <c:v>3.099806268513883</c:v>
                </c:pt>
                <c:pt idx="1">
                  <c:v>1.764918409788567</c:v>
                </c:pt>
                <c:pt idx="2">
                  <c:v>0.260309184307638</c:v>
                </c:pt>
                <c:pt idx="3">
                  <c:v>0.0316790500302981</c:v>
                </c:pt>
                <c:pt idx="4">
                  <c:v>0.00731184448242471</c:v>
                </c:pt>
                <c:pt idx="5">
                  <c:v>0.0034576179393549</c:v>
                </c:pt>
                <c:pt idx="6">
                  <c:v>0.00154788407917454</c:v>
                </c:pt>
                <c:pt idx="7">
                  <c:v>0.000782963965441994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472816"/>
        <c:axId val="1655895824"/>
      </c:scatterChart>
      <c:valAx>
        <c:axId val="1641472816"/>
        <c:scaling>
          <c:orientation val="minMax"/>
          <c:max val="2025.0"/>
          <c:min val="2018.0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655895824"/>
        <c:crosses val="autoZero"/>
        <c:crossBetween val="midCat"/>
      </c:valAx>
      <c:valAx>
        <c:axId val="1655895824"/>
        <c:scaling>
          <c:orientation val="minMax"/>
        </c:scaling>
        <c:delete val="0"/>
        <c:axPos val="l"/>
        <c:majorGridlines/>
        <c:title>
          <c:overlay val="0"/>
        </c:title>
        <c:numFmt formatCode="0.00E+00" sourceLinked="1"/>
        <c:majorTickMark val="none"/>
        <c:minorTickMark val="none"/>
        <c:tickLblPos val="nextTo"/>
        <c:crossAx val="1641472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communication (GB)</a:t>
            </a:r>
            <a:r>
              <a:rPr lang="en-US" baseline="0"/>
              <a:t> per capita 2015-2025, "data center to user=access"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473507001489"/>
          <c:y val="0.278020924467775"/>
          <c:w val="0.807899476362824"/>
          <c:h val="0.489309200933219"/>
        </c:manualLayout>
      </c:layout>
      <c:scatterChart>
        <c:scatterStyle val="smoothMarker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Traffic!$G$4:$Q$4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xVal>
          <c:yVal>
            <c:numRef>
              <c:f>Traffic!$G$38:$Q$38</c:f>
              <c:numCache>
                <c:formatCode>0.0</c:formatCode>
                <c:ptCount val="11"/>
                <c:pt idx="0">
                  <c:v>0.35757988791793</c:v>
                </c:pt>
                <c:pt idx="1">
                  <c:v>0.430893284515091</c:v>
                </c:pt>
                <c:pt idx="2">
                  <c:v>0.521736057343129</c:v>
                </c:pt>
                <c:pt idx="3">
                  <c:v>0.640376061779149</c:v>
                </c:pt>
                <c:pt idx="4">
                  <c:v>0.795428353837832</c:v>
                </c:pt>
                <c:pt idx="5">
                  <c:v>1.001211883119597</c:v>
                </c:pt>
                <c:pt idx="6">
                  <c:v>1.246770598463364</c:v>
                </c:pt>
                <c:pt idx="7">
                  <c:v>1.554181953858182</c:v>
                </c:pt>
                <c:pt idx="8">
                  <c:v>1.948319108042722</c:v>
                </c:pt>
                <c:pt idx="9">
                  <c:v>2.456679013035575</c:v>
                </c:pt>
                <c:pt idx="10">
                  <c:v>3.116070966366971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73744"/>
        <c:axId val="1544486608"/>
      </c:scatterChart>
      <c:valAx>
        <c:axId val="1544473744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544486608"/>
        <c:crosses val="autoZero"/>
        <c:crossBetween val="midCat"/>
      </c:valAx>
      <c:valAx>
        <c:axId val="1544486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GB/capita/day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1544473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Share of mobile communication of daily communication</a:t>
            </a:r>
            <a:r>
              <a:rPr lang="en-US" baseline="0"/>
              <a:t> 2015-2025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Traffic!$G$25:$Q$25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xVal>
          <c:yVal>
            <c:numRef>
              <c:f>Traffic!$G$39:$Q$39</c:f>
              <c:numCache>
                <c:formatCode>0%</c:formatCode>
                <c:ptCount val="11"/>
                <c:pt idx="0">
                  <c:v>0.0878561508723436</c:v>
                </c:pt>
                <c:pt idx="1">
                  <c:v>0.103891856449714</c:v>
                </c:pt>
                <c:pt idx="2">
                  <c:v>0.121633955186924</c:v>
                </c:pt>
                <c:pt idx="3">
                  <c:v>0.148506095775764</c:v>
                </c:pt>
                <c:pt idx="4">
                  <c:v>0.182315219574837</c:v>
                </c:pt>
                <c:pt idx="5">
                  <c:v>0.223229999121086</c:v>
                </c:pt>
                <c:pt idx="6">
                  <c:v>0.252345912180693</c:v>
                </c:pt>
                <c:pt idx="7">
                  <c:v>0.279450943865598</c:v>
                </c:pt>
                <c:pt idx="8">
                  <c:v>0.307912551747512</c:v>
                </c:pt>
                <c:pt idx="9">
                  <c:v>0.337675660951929</c:v>
                </c:pt>
                <c:pt idx="10">
                  <c:v>0.368585530598685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652656"/>
        <c:axId val="1652665456"/>
      </c:scatterChart>
      <c:valAx>
        <c:axId val="1652652656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2665456"/>
        <c:crosses val="autoZero"/>
        <c:crossBetween val="midCat"/>
      </c:valAx>
      <c:valAx>
        <c:axId val="165266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crossAx val="1652652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Daily data generation (GB) per capita 2015-2025, "within, between+access"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Traffic!$G$4:$Q$4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xVal>
          <c:yVal>
            <c:numRef>
              <c:f>Traffic!$G$36:$Q$36</c:f>
              <c:numCache>
                <c:formatCode>0</c:formatCode>
                <c:ptCount val="11"/>
                <c:pt idx="0">
                  <c:v>2.252602366172981</c:v>
                </c:pt>
                <c:pt idx="1">
                  <c:v>2.920084854748806</c:v>
                </c:pt>
                <c:pt idx="2">
                  <c:v>4.060681346016698</c:v>
                </c:pt>
                <c:pt idx="3">
                  <c:v>5.813819573591574</c:v>
                </c:pt>
                <c:pt idx="4">
                  <c:v>8.32709821366623</c:v>
                </c:pt>
                <c:pt idx="5">
                  <c:v>11.93035995928233</c:v>
                </c:pt>
                <c:pt idx="6">
                  <c:v>17.07515036236447</c:v>
                </c:pt>
                <c:pt idx="7">
                  <c:v>24.44315426058838</c:v>
                </c:pt>
                <c:pt idx="8">
                  <c:v>34.99252091478698</c:v>
                </c:pt>
                <c:pt idx="9">
                  <c:v>50.09680709308084</c:v>
                </c:pt>
                <c:pt idx="10">
                  <c:v>71.72205182692048</c:v>
                </c:pt>
              </c:numCache>
            </c:numRef>
          </c:yVal>
          <c:smooth val="1"/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Traffic!$G$4:$Q$4</c:f>
              <c:numCache>
                <c:formatCode>General</c:formatCode>
                <c:ptCount val="11"/>
                <c:pt idx="0">
                  <c:v>2015.0</c:v>
                </c:pt>
                <c:pt idx="1">
                  <c:v>2016.0</c:v>
                </c:pt>
                <c:pt idx="2">
                  <c:v>2017.0</c:v>
                </c:pt>
                <c:pt idx="3">
                  <c:v>2018.0</c:v>
                </c:pt>
                <c:pt idx="4">
                  <c:v>2019.0</c:v>
                </c:pt>
                <c:pt idx="5">
                  <c:v>2020.0</c:v>
                </c:pt>
                <c:pt idx="6">
                  <c:v>2021.0</c:v>
                </c:pt>
                <c:pt idx="7">
                  <c:v>2022.0</c:v>
                </c:pt>
                <c:pt idx="8">
                  <c:v>2023.0</c:v>
                </c:pt>
                <c:pt idx="9">
                  <c:v>2024.0</c:v>
                </c:pt>
                <c:pt idx="10">
                  <c:v>2025.0</c:v>
                </c:pt>
              </c:numCache>
            </c:numRef>
          </c:xVal>
          <c:yVal>
            <c:numRef>
              <c:f>Traffic!$G$37:$Q$37</c:f>
              <c:numCache>
                <c:formatCode>0</c:formatCode>
                <c:ptCount val="11"/>
                <c:pt idx="0">
                  <c:v>2.011982894689253</c:v>
                </c:pt>
                <c:pt idx="1">
                  <c:v>2.767943920921996</c:v>
                </c:pt>
                <c:pt idx="2">
                  <c:v>3.643005993196626</c:v>
                </c:pt>
                <c:pt idx="3">
                  <c:v>4.550956601935729</c:v>
                </c:pt>
                <c:pt idx="4">
                  <c:v>5.407370818895315</c:v>
                </c:pt>
                <c:pt idx="5">
                  <c:v>6.379775223881019</c:v>
                </c:pt>
                <c:pt idx="6">
                  <c:v>8.059843382403768</c:v>
                </c:pt>
                <c:pt idx="7">
                  <c:v>10.18234546974524</c:v>
                </c:pt>
                <c:pt idx="8">
                  <c:v>12.86379329548707</c:v>
                </c:pt>
                <c:pt idx="9">
                  <c:v>16.25138122063327</c:v>
                </c:pt>
                <c:pt idx="10">
                  <c:v>20.53106618799659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739056"/>
        <c:axId val="1652751360"/>
      </c:scatterChart>
      <c:valAx>
        <c:axId val="1652739056"/>
        <c:scaling>
          <c:orientation val="minMax"/>
          <c:max val="2025.0"/>
          <c:min val="201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52751360"/>
        <c:crosses val="autoZero"/>
        <c:crossBetween val="midCat"/>
      </c:valAx>
      <c:valAx>
        <c:axId val="165275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GB/capita/day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1652739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chart" Target="../charts/chart5.xml"/><Relationship Id="rId5" Type="http://schemas.openxmlformats.org/officeDocument/2006/relationships/chart" Target="../charts/chart6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image" Target="../media/image2.png"/><Relationship Id="rId6" Type="http://schemas.openxmlformats.org/officeDocument/2006/relationships/image" Target="../media/image3.png"/><Relationship Id="rId1" Type="http://schemas.openxmlformats.org/officeDocument/2006/relationships/image" Target="../media/image1.png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Relationship Id="rId6" Type="http://schemas.openxmlformats.org/officeDocument/2006/relationships/chart" Target="../charts/chart23.xml"/><Relationship Id="rId7" Type="http://schemas.openxmlformats.org/officeDocument/2006/relationships/chart" Target="../charts/chart24.xml"/><Relationship Id="rId8" Type="http://schemas.openxmlformats.org/officeDocument/2006/relationships/chart" Target="../charts/chart25.xml"/><Relationship Id="rId9" Type="http://schemas.openxmlformats.org/officeDocument/2006/relationships/chart" Target="../charts/chart26.xml"/><Relationship Id="rId10" Type="http://schemas.openxmlformats.org/officeDocument/2006/relationships/chart" Target="../charts/chart27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358588</xdr:colOff>
      <xdr:row>94</xdr:row>
      <xdr:rowOff>89647</xdr:rowOff>
    </xdr:from>
    <xdr:to>
      <xdr:col>14</xdr:col>
      <xdr:colOff>224117</xdr:colOff>
      <xdr:row>131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1238251</xdr:colOff>
      <xdr:row>246</xdr:row>
      <xdr:rowOff>66687</xdr:rowOff>
    </xdr:from>
    <xdr:to>
      <xdr:col>18</xdr:col>
      <xdr:colOff>462644</xdr:colOff>
      <xdr:row>272</xdr:row>
      <xdr:rowOff>2306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1459818</xdr:colOff>
      <xdr:row>294</xdr:row>
      <xdr:rowOff>24449</xdr:rowOff>
    </xdr:from>
    <xdr:to>
      <xdr:col>10</xdr:col>
      <xdr:colOff>2313214</xdr:colOff>
      <xdr:row>320</xdr:row>
      <xdr:rowOff>122463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4816928</xdr:colOff>
      <xdr:row>335</xdr:row>
      <xdr:rowOff>95250</xdr:rowOff>
    </xdr:from>
    <xdr:to>
      <xdr:col>11</xdr:col>
      <xdr:colOff>5660572</xdr:colOff>
      <xdr:row>358</xdr:row>
      <xdr:rowOff>54428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10884</xdr:colOff>
      <xdr:row>247</xdr:row>
      <xdr:rowOff>32655</xdr:rowOff>
    </xdr:from>
    <xdr:to>
      <xdr:col>26</xdr:col>
      <xdr:colOff>838199</xdr:colOff>
      <xdr:row>271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251010</xdr:colOff>
      <xdr:row>104</xdr:row>
      <xdr:rowOff>170330</xdr:rowOff>
    </xdr:from>
    <xdr:to>
      <xdr:col>35</xdr:col>
      <xdr:colOff>242046</xdr:colOff>
      <xdr:row>121</xdr:row>
      <xdr:rowOff>98612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6</xdr:col>
      <xdr:colOff>828072</xdr:colOff>
      <xdr:row>57</xdr:row>
      <xdr:rowOff>153507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2379"/>
        <a:stretch>
          <a:fillRect/>
        </a:stretch>
      </xdr:blipFill>
      <xdr:spPr bwMode="auto">
        <a:xfrm>
          <a:off x="3316941" y="6454588"/>
          <a:ext cx="4176390" cy="266362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8</xdr:col>
      <xdr:colOff>8965</xdr:colOff>
      <xdr:row>45</xdr:row>
      <xdr:rowOff>80682</xdr:rowOff>
    </xdr:from>
    <xdr:to>
      <xdr:col>14</xdr:col>
      <xdr:colOff>62753</xdr:colOff>
      <xdr:row>61</xdr:row>
      <xdr:rowOff>98612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744071</xdr:colOff>
      <xdr:row>62</xdr:row>
      <xdr:rowOff>107577</xdr:rowOff>
    </xdr:from>
    <xdr:to>
      <xdr:col>15</xdr:col>
      <xdr:colOff>89647</xdr:colOff>
      <xdr:row>81</xdr:row>
      <xdr:rowOff>134471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376844</xdr:colOff>
      <xdr:row>45</xdr:row>
      <xdr:rowOff>119841</xdr:rowOff>
    </xdr:from>
    <xdr:to>
      <xdr:col>20</xdr:col>
      <xdr:colOff>349135</xdr:colOff>
      <xdr:row>62</xdr:row>
      <xdr:rowOff>36714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228600</xdr:colOff>
      <xdr:row>61</xdr:row>
      <xdr:rowOff>38100</xdr:rowOff>
    </xdr:from>
    <xdr:to>
      <xdr:col>7</xdr:col>
      <xdr:colOff>171876</xdr:colOff>
      <xdr:row>84</xdr:row>
      <xdr:rowOff>114300</xdr:rowOff>
    </xdr:to>
    <xdr:pic>
      <xdr:nvPicPr>
        <xdr:cNvPr id="1946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 t="47042" r="59259" b="21751"/>
        <a:stretch>
          <a:fillRect/>
        </a:stretch>
      </xdr:blipFill>
      <xdr:spPr bwMode="auto">
        <a:xfrm>
          <a:off x="228600" y="10572750"/>
          <a:ext cx="8249076" cy="4019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24</xdr:col>
      <xdr:colOff>97870</xdr:colOff>
      <xdr:row>39</xdr:row>
      <xdr:rowOff>115192</xdr:rowOff>
    </xdr:from>
    <xdr:to>
      <xdr:col>29</xdr:col>
      <xdr:colOff>211675</xdr:colOff>
      <xdr:row>56</xdr:row>
      <xdr:rowOff>156261</xdr:rowOff>
    </xdr:to>
    <xdr:pic>
      <xdr:nvPicPr>
        <xdr:cNvPr id="1946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 l="49881" t="51619" r="19881" b="12286"/>
        <a:stretch>
          <a:fillRect/>
        </a:stretch>
      </xdr:blipFill>
      <xdr:spPr bwMode="auto">
        <a:xfrm>
          <a:off x="22057325" y="6654537"/>
          <a:ext cx="3854532" cy="28673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1146110</xdr:colOff>
      <xdr:row>303</xdr:row>
      <xdr:rowOff>111534</xdr:rowOff>
    </xdr:from>
    <xdr:to>
      <xdr:col>10</xdr:col>
      <xdr:colOff>2427514</xdr:colOff>
      <xdr:row>330</xdr:row>
      <xdr:rowOff>46263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4771406</xdr:colOff>
      <xdr:row>343</xdr:row>
      <xdr:rowOff>73478</xdr:rowOff>
    </xdr:from>
    <xdr:to>
      <xdr:col>12</xdr:col>
      <xdr:colOff>190005</xdr:colOff>
      <xdr:row>366</xdr:row>
      <xdr:rowOff>32657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5214257</xdr:colOff>
      <xdr:row>250</xdr:row>
      <xdr:rowOff>76200</xdr:rowOff>
    </xdr:from>
    <xdr:to>
      <xdr:col>23</xdr:col>
      <xdr:colOff>119742</xdr:colOff>
      <xdr:row>278</xdr:row>
      <xdr:rowOff>54428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867743</xdr:colOff>
      <xdr:row>21</xdr:row>
      <xdr:rowOff>144452</xdr:rowOff>
    </xdr:from>
    <xdr:to>
      <xdr:col>9</xdr:col>
      <xdr:colOff>124080</xdr:colOff>
      <xdr:row>55</xdr:row>
      <xdr:rowOff>122041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609600</xdr:colOff>
      <xdr:row>68</xdr:row>
      <xdr:rowOff>53789</xdr:rowOff>
    </xdr:from>
    <xdr:to>
      <xdr:col>11</xdr:col>
      <xdr:colOff>125505</xdr:colOff>
      <xdr:row>85</xdr:row>
      <xdr:rowOff>53789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591669</xdr:colOff>
      <xdr:row>52</xdr:row>
      <xdr:rowOff>108135</xdr:rowOff>
    </xdr:from>
    <xdr:to>
      <xdr:col>17</xdr:col>
      <xdr:colOff>627527</xdr:colOff>
      <xdr:row>80</xdr:row>
      <xdr:rowOff>44822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26893</xdr:colOff>
      <xdr:row>51</xdr:row>
      <xdr:rowOff>8965</xdr:rowOff>
    </xdr:from>
    <xdr:to>
      <xdr:col>23</xdr:col>
      <xdr:colOff>493058</xdr:colOff>
      <xdr:row>73</xdr:row>
      <xdr:rowOff>143435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383625</xdr:colOff>
      <xdr:row>93</xdr:row>
      <xdr:rowOff>70052</xdr:rowOff>
    </xdr:from>
    <xdr:to>
      <xdr:col>14</xdr:col>
      <xdr:colOff>249154</xdr:colOff>
      <xdr:row>130</xdr:row>
      <xdr:rowOff>47641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77346</xdr:colOff>
      <xdr:row>1</xdr:row>
      <xdr:rowOff>46453</xdr:rowOff>
    </xdr:from>
    <xdr:to>
      <xdr:col>26</xdr:col>
      <xdr:colOff>86871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730006</xdr:colOff>
      <xdr:row>19</xdr:row>
      <xdr:rowOff>48534</xdr:rowOff>
    </xdr:from>
    <xdr:to>
      <xdr:col>26</xdr:col>
      <xdr:colOff>515258</xdr:colOff>
      <xdr:row>48</xdr:row>
      <xdr:rowOff>173718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380257</xdr:colOff>
      <xdr:row>114</xdr:row>
      <xdr:rowOff>149678</xdr:rowOff>
    </xdr:from>
    <xdr:to>
      <xdr:col>9</xdr:col>
      <xdr:colOff>1115042</xdr:colOff>
      <xdr:row>140</xdr:row>
      <xdr:rowOff>13607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1961029</xdr:colOff>
      <xdr:row>115</xdr:row>
      <xdr:rowOff>0</xdr:rowOff>
    </xdr:from>
    <xdr:to>
      <xdr:col>5</xdr:col>
      <xdr:colOff>244930</xdr:colOff>
      <xdr:row>140</xdr:row>
      <xdr:rowOff>40822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96981</xdr:colOff>
      <xdr:row>68</xdr:row>
      <xdr:rowOff>166254</xdr:rowOff>
    </xdr:from>
    <xdr:to>
      <xdr:col>14</xdr:col>
      <xdr:colOff>568036</xdr:colOff>
      <xdr:row>94</xdr:row>
      <xdr:rowOff>27708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207818</xdr:colOff>
      <xdr:row>113</xdr:row>
      <xdr:rowOff>55418</xdr:rowOff>
    </xdr:from>
    <xdr:to>
      <xdr:col>16</xdr:col>
      <xdr:colOff>803564</xdr:colOff>
      <xdr:row>150</xdr:row>
      <xdr:rowOff>55418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685800</xdr:colOff>
      <xdr:row>177</xdr:row>
      <xdr:rowOff>10884</xdr:rowOff>
    </xdr:from>
    <xdr:to>
      <xdr:col>5</xdr:col>
      <xdr:colOff>1502228</xdr:colOff>
      <xdr:row>203</xdr:row>
      <xdr:rowOff>21771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2416628</xdr:colOff>
      <xdr:row>178</xdr:row>
      <xdr:rowOff>21771</xdr:rowOff>
    </xdr:from>
    <xdr:to>
      <xdr:col>10</xdr:col>
      <xdr:colOff>555171</xdr:colOff>
      <xdr:row>203</xdr:row>
      <xdr:rowOff>21771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1306284</xdr:colOff>
      <xdr:row>178</xdr:row>
      <xdr:rowOff>97971</xdr:rowOff>
    </xdr:from>
    <xdr:to>
      <xdr:col>17</xdr:col>
      <xdr:colOff>0</xdr:colOff>
      <xdr:row>210</xdr:row>
      <xdr:rowOff>21771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1523999</xdr:colOff>
      <xdr:row>207</xdr:row>
      <xdr:rowOff>152398</xdr:rowOff>
    </xdr:from>
    <xdr:to>
      <xdr:col>5</xdr:col>
      <xdr:colOff>2492828</xdr:colOff>
      <xdr:row>233</xdr:row>
      <xdr:rowOff>108856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4" Type="http://schemas.openxmlformats.org/officeDocument/2006/relationships/comments" Target="../comments9.xml"/><Relationship Id="rId1" Type="http://schemas.openxmlformats.org/officeDocument/2006/relationships/printerSettings" Target="../printerSettings/printerSettings10.bin"/><Relationship Id="rId2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4" Type="http://schemas.openxmlformats.org/officeDocument/2006/relationships/vmlDrawing" Target="../drawings/vmlDrawing12.vml"/><Relationship Id="rId5" Type="http://schemas.openxmlformats.org/officeDocument/2006/relationships/comments" Target="../comments10.xml"/><Relationship Id="rId1" Type="http://schemas.openxmlformats.org/officeDocument/2006/relationships/hyperlink" Target="http://www.theguardian.com/environment/2014/sep/18/world-population-new-study-11bn-2100" TargetMode="External"/><Relationship Id="rId2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4.vml"/><Relationship Id="rId5" Type="http://schemas.openxmlformats.org/officeDocument/2006/relationships/vmlDrawing" Target="../drawings/vmlDrawing5.vml"/><Relationship Id="rId6" Type="http://schemas.openxmlformats.org/officeDocument/2006/relationships/comments" Target="../comments4.xml"/><Relationship Id="rId1" Type="http://schemas.openxmlformats.org/officeDocument/2006/relationships/hyperlink" Target="http://www.convergedigest.com/2012/10/cisco-global-data-center-traffic.html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4" Type="http://schemas.openxmlformats.org/officeDocument/2006/relationships/comments" Target="../comments5.xml"/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4" Type="http://schemas.openxmlformats.org/officeDocument/2006/relationships/comments" Target="../comments6.xml"/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4" Type="http://schemas.openxmlformats.org/officeDocument/2006/relationships/comments" Target="../comments8.xml"/><Relationship Id="rId1" Type="http://schemas.openxmlformats.org/officeDocument/2006/relationships/printerSettings" Target="../printerSettings/printerSettings9.bin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W110"/>
  <sheetViews>
    <sheetView topLeftCell="E1" zoomScale="85" zoomScaleNormal="85" workbookViewId="0">
      <selection activeCell="E1" sqref="A1:XFD1048576"/>
    </sheetView>
  </sheetViews>
  <sheetFormatPr baseColWidth="10" defaultColWidth="11" defaultRowHeight="11" x14ac:dyDescent="0.15"/>
  <cols>
    <col min="1" max="1" width="24" style="351" bestFit="1" customWidth="1"/>
    <col min="2" max="2" width="11.6640625" style="351" bestFit="1" customWidth="1"/>
    <col min="3" max="3" width="14" style="351" customWidth="1"/>
    <col min="4" max="4" width="15.33203125" style="351" bestFit="1" customWidth="1"/>
    <col min="5" max="5" width="7.6640625" style="351" bestFit="1" customWidth="1"/>
    <col min="6" max="6" width="15.33203125" style="351" bestFit="1" customWidth="1"/>
    <col min="7" max="7" width="16.33203125" style="351" customWidth="1"/>
    <col min="8" max="8" width="7.5" style="351" bestFit="1" customWidth="1"/>
    <col min="9" max="9" width="13.5" style="351" bestFit="1" customWidth="1"/>
    <col min="10" max="10" width="7.5" style="351" bestFit="1" customWidth="1"/>
    <col min="11" max="12" width="13.5" style="351" bestFit="1" customWidth="1"/>
    <col min="13" max="13" width="7.5" style="351" bestFit="1" customWidth="1"/>
    <col min="14" max="15" width="13.5" style="351" bestFit="1" customWidth="1"/>
    <col min="16" max="16" width="12.6640625" style="351" bestFit="1" customWidth="1"/>
    <col min="17" max="18" width="13.5" style="351" bestFit="1" customWidth="1"/>
    <col min="19" max="19" width="12.6640625" style="351" bestFit="1" customWidth="1"/>
    <col min="20" max="21" width="13.5" style="351" bestFit="1" customWidth="1"/>
    <col min="22" max="23" width="13.33203125" style="351" bestFit="1" customWidth="1"/>
    <col min="24" max="24" width="9.33203125" style="351" bestFit="1" customWidth="1"/>
    <col min="25" max="25" width="5.83203125" style="351" bestFit="1" customWidth="1"/>
    <col min="26" max="26" width="4.6640625" style="351" bestFit="1" customWidth="1"/>
    <col min="27" max="27" width="13.33203125" style="351" bestFit="1" customWidth="1"/>
    <col min="28" max="28" width="9" style="351" bestFit="1" customWidth="1"/>
    <col min="29" max="30" width="9" style="351" customWidth="1"/>
    <col min="31" max="16384" width="11" style="351"/>
  </cols>
  <sheetData>
    <row r="1" spans="1:49" ht="12" thickBot="1" x14ac:dyDescent="0.2">
      <c r="B1" s="345" t="s">
        <v>142</v>
      </c>
    </row>
    <row r="2" spans="1:49" s="345" customFormat="1" ht="33" x14ac:dyDescent="0.15">
      <c r="B2" s="345">
        <v>2010</v>
      </c>
      <c r="C2" s="345">
        <v>2011</v>
      </c>
      <c r="D2" s="345">
        <v>2012</v>
      </c>
      <c r="E2" s="345">
        <v>2013</v>
      </c>
      <c r="F2" s="345">
        <v>2014</v>
      </c>
      <c r="G2" s="661">
        <v>2015</v>
      </c>
      <c r="H2" s="662">
        <v>2016</v>
      </c>
      <c r="I2" s="662">
        <v>2017</v>
      </c>
      <c r="J2" s="662">
        <v>2018</v>
      </c>
      <c r="K2" s="662">
        <v>2019</v>
      </c>
      <c r="L2" s="662">
        <v>2020</v>
      </c>
      <c r="M2" s="663">
        <v>2021</v>
      </c>
      <c r="N2" s="663">
        <v>2022</v>
      </c>
      <c r="O2" s="663">
        <v>2023</v>
      </c>
      <c r="P2" s="663">
        <v>2024</v>
      </c>
      <c r="Q2" s="664">
        <v>2025</v>
      </c>
      <c r="R2" s="658">
        <v>2026</v>
      </c>
      <c r="S2" s="658">
        <v>2027</v>
      </c>
      <c r="T2" s="658">
        <v>2028</v>
      </c>
      <c r="U2" s="658">
        <v>2029</v>
      </c>
      <c r="V2" s="658">
        <v>2030</v>
      </c>
      <c r="W2" s="659" t="s">
        <v>55</v>
      </c>
      <c r="X2" s="659" t="s">
        <v>61</v>
      </c>
      <c r="Y2" s="659" t="s">
        <v>56</v>
      </c>
      <c r="AB2" s="659" t="s">
        <v>378</v>
      </c>
      <c r="AC2" s="659"/>
      <c r="AD2" s="659">
        <v>2011</v>
      </c>
      <c r="AE2" s="345">
        <v>2012</v>
      </c>
      <c r="AF2" s="345">
        <v>2013</v>
      </c>
      <c r="AG2" s="345">
        <v>2014</v>
      </c>
      <c r="AH2" s="345">
        <v>2015</v>
      </c>
      <c r="AI2" s="345">
        <v>2016</v>
      </c>
      <c r="AJ2" s="345">
        <v>2017</v>
      </c>
      <c r="AK2" s="345">
        <v>2018</v>
      </c>
      <c r="AL2" s="345">
        <v>2019</v>
      </c>
      <c r="AM2" s="345">
        <v>2020</v>
      </c>
      <c r="AN2" s="345">
        <v>2021</v>
      </c>
      <c r="AO2" s="345">
        <v>2022</v>
      </c>
      <c r="AP2" s="345">
        <v>2023</v>
      </c>
      <c r="AQ2" s="345">
        <v>2024</v>
      </c>
      <c r="AR2" s="345">
        <v>2025</v>
      </c>
      <c r="AS2" s="345">
        <v>2026</v>
      </c>
      <c r="AT2" s="345">
        <v>2027</v>
      </c>
      <c r="AU2" s="345">
        <v>2028</v>
      </c>
      <c r="AV2" s="345">
        <v>2029</v>
      </c>
      <c r="AW2" s="345">
        <v>2030</v>
      </c>
    </row>
    <row r="3" spans="1:49" x14ac:dyDescent="0.15">
      <c r="A3" s="351" t="s">
        <v>18</v>
      </c>
      <c r="B3" s="348">
        <v>146</v>
      </c>
      <c r="C3" s="348">
        <v>148</v>
      </c>
      <c r="D3" s="348">
        <v>151</v>
      </c>
      <c r="E3" s="348">
        <f>D3*0.98</f>
        <v>147.97999999999999</v>
      </c>
      <c r="F3" s="348">
        <f t="shared" ref="F3" si="0">E3*0.98</f>
        <v>145.0204</v>
      </c>
      <c r="G3" s="665">
        <f>F3*0.98</f>
        <v>142.119992</v>
      </c>
      <c r="H3" s="666">
        <f>G3*$AA$3</f>
        <v>133.59279247999999</v>
      </c>
      <c r="I3" s="666">
        <f>H3*$AA$3</f>
        <v>125.57722493119998</v>
      </c>
      <c r="J3" s="666">
        <f t="shared" ref="J3:L3" si="1">I3*$AA$3</f>
        <v>118.04259143532798</v>
      </c>
      <c r="K3" s="666">
        <f t="shared" si="1"/>
        <v>110.96003594920829</v>
      </c>
      <c r="L3" s="666">
        <f t="shared" si="1"/>
        <v>104.30243379225578</v>
      </c>
      <c r="M3" s="667">
        <f>L$3/K$3*L$3</f>
        <v>98.044287764720437</v>
      </c>
      <c r="N3" s="667">
        <f>M$3/L$3*M$3</f>
        <v>92.161630498837212</v>
      </c>
      <c r="O3" s="667">
        <f t="shared" ref="O3:U3" si="2">N$3/M$3*N$3</f>
        <v>86.631932668906984</v>
      </c>
      <c r="P3" s="667">
        <f t="shared" si="2"/>
        <v>81.434016708772575</v>
      </c>
      <c r="Q3" s="668">
        <f>P$3/O$3*P$3</f>
        <v>76.54797570624622</v>
      </c>
      <c r="R3" s="348">
        <f t="shared" si="2"/>
        <v>71.955097163871443</v>
      </c>
      <c r="S3" s="348">
        <f t="shared" si="2"/>
        <v>67.63779133403915</v>
      </c>
      <c r="T3" s="348">
        <f t="shared" si="2"/>
        <v>63.579523853996797</v>
      </c>
      <c r="U3" s="348">
        <f t="shared" si="2"/>
        <v>59.764752422756985</v>
      </c>
      <c r="V3" s="348">
        <f>U$3/T$3*U$3</f>
        <v>56.178867277391561</v>
      </c>
      <c r="W3" s="348">
        <v>60</v>
      </c>
      <c r="X3" s="348">
        <v>215</v>
      </c>
      <c r="Y3" s="348">
        <v>215</v>
      </c>
      <c r="AA3" s="669">
        <v>0.94</v>
      </c>
      <c r="AB3" s="351">
        <v>1</v>
      </c>
      <c r="AC3" s="351" t="s">
        <v>55</v>
      </c>
      <c r="AD3" s="351">
        <v>0.95</v>
      </c>
      <c r="AE3" s="670">
        <f>AD3*0.95</f>
        <v>0.90249999999999997</v>
      </c>
      <c r="AF3" s="669">
        <f>AE3*0.95</f>
        <v>0.85737499999999989</v>
      </c>
      <c r="AG3" s="669">
        <f t="shared" ref="AG3:AW3" si="3">AF3*0.95</f>
        <v>0.81450624999999988</v>
      </c>
      <c r="AH3" s="669">
        <f t="shared" si="3"/>
        <v>0.77378093749999988</v>
      </c>
      <c r="AI3" s="669">
        <f t="shared" si="3"/>
        <v>0.7350918906249998</v>
      </c>
      <c r="AJ3" s="669">
        <f t="shared" si="3"/>
        <v>0.69833729609374973</v>
      </c>
      <c r="AK3" s="669">
        <f t="shared" si="3"/>
        <v>0.66342043128906225</v>
      </c>
      <c r="AL3" s="669">
        <f t="shared" si="3"/>
        <v>0.63024940972460908</v>
      </c>
      <c r="AM3" s="669">
        <f t="shared" si="3"/>
        <v>0.59873693923837856</v>
      </c>
      <c r="AN3" s="669">
        <f t="shared" si="3"/>
        <v>0.56880009227645956</v>
      </c>
      <c r="AO3" s="669">
        <f t="shared" si="3"/>
        <v>0.54036008766263655</v>
      </c>
      <c r="AP3" s="669">
        <f t="shared" si="3"/>
        <v>0.5133420832795047</v>
      </c>
      <c r="AQ3" s="669">
        <f t="shared" si="3"/>
        <v>0.48767497911552943</v>
      </c>
      <c r="AR3" s="669">
        <f t="shared" si="3"/>
        <v>0.46329123015975293</v>
      </c>
      <c r="AS3" s="669">
        <f t="shared" si="3"/>
        <v>0.44012666865176525</v>
      </c>
      <c r="AT3" s="669">
        <f t="shared" si="3"/>
        <v>0.41812033521917696</v>
      </c>
      <c r="AU3" s="669">
        <f t="shared" si="3"/>
        <v>0.39721431845821809</v>
      </c>
      <c r="AV3" s="669">
        <f t="shared" si="3"/>
        <v>0.37735360253530714</v>
      </c>
      <c r="AW3" s="669">
        <f t="shared" si="3"/>
        <v>0.35848592240854177</v>
      </c>
    </row>
    <row r="4" spans="1:49" x14ac:dyDescent="0.15">
      <c r="A4" s="351" t="s">
        <v>19</v>
      </c>
      <c r="B4" s="348">
        <v>162</v>
      </c>
      <c r="C4" s="348">
        <v>165</v>
      </c>
      <c r="D4" s="348">
        <v>169</v>
      </c>
      <c r="E4" s="348">
        <f>D4*0.98</f>
        <v>165.62</v>
      </c>
      <c r="F4" s="348">
        <f t="shared" ref="F4:G4" si="4">E4*0.98</f>
        <v>162.30760000000001</v>
      </c>
      <c r="G4" s="665">
        <f t="shared" si="4"/>
        <v>159.06144800000001</v>
      </c>
      <c r="H4" s="666">
        <f>G4*$AA$3</f>
        <v>149.51776112000002</v>
      </c>
      <c r="I4" s="666">
        <f t="shared" ref="I4:L4" si="5">H4*$AA$3</f>
        <v>140.54669545280001</v>
      </c>
      <c r="J4" s="666">
        <f t="shared" si="5"/>
        <v>132.11389372563201</v>
      </c>
      <c r="K4" s="666">
        <f t="shared" si="5"/>
        <v>124.18706010209408</v>
      </c>
      <c r="L4" s="666">
        <f t="shared" si="5"/>
        <v>116.73583649596843</v>
      </c>
      <c r="M4" s="667">
        <f t="shared" ref="M4:V4" si="6">L$4/K$4*L$4</f>
        <v>109.73168630621032</v>
      </c>
      <c r="N4" s="667">
        <f t="shared" si="6"/>
        <v>103.14778512783769</v>
      </c>
      <c r="O4" s="667">
        <f t="shared" si="6"/>
        <v>96.958918020167431</v>
      </c>
      <c r="P4" s="667">
        <f t="shared" si="6"/>
        <v>91.141382938957378</v>
      </c>
      <c r="Q4" s="668">
        <f t="shared" si="6"/>
        <v>85.672899962619937</v>
      </c>
      <c r="R4" s="348">
        <f t="shared" si="6"/>
        <v>80.532525964862742</v>
      </c>
      <c r="S4" s="348">
        <f t="shared" si="6"/>
        <v>75.700574406970986</v>
      </c>
      <c r="T4" s="348">
        <f t="shared" si="6"/>
        <v>71.158539942552736</v>
      </c>
      <c r="U4" s="348">
        <f t="shared" si="6"/>
        <v>66.889027545999582</v>
      </c>
      <c r="V4" s="348">
        <f t="shared" si="6"/>
        <v>62.87568589323962</v>
      </c>
      <c r="W4" s="348">
        <v>187</v>
      </c>
      <c r="X4" s="348">
        <v>268</v>
      </c>
      <c r="Y4" s="348">
        <v>334</v>
      </c>
      <c r="AB4" s="351">
        <v>1</v>
      </c>
      <c r="AC4" s="351" t="s">
        <v>16</v>
      </c>
      <c r="AD4" s="351">
        <v>0.97</v>
      </c>
      <c r="AE4" s="670">
        <f>AD4*0.97</f>
        <v>0.94089999999999996</v>
      </c>
      <c r="AF4" s="669">
        <f>AE4*0.97</f>
        <v>0.91267299999999996</v>
      </c>
      <c r="AG4" s="669">
        <f t="shared" ref="AG4:AW4" si="7">AF4*0.97</f>
        <v>0.88529280999999993</v>
      </c>
      <c r="AH4" s="669">
        <f t="shared" si="7"/>
        <v>0.8587340256999999</v>
      </c>
      <c r="AI4" s="669">
        <f t="shared" si="7"/>
        <v>0.83297200492899992</v>
      </c>
      <c r="AJ4" s="669">
        <f t="shared" si="7"/>
        <v>0.80798284478112992</v>
      </c>
      <c r="AK4" s="669">
        <f t="shared" si="7"/>
        <v>0.78374335943769602</v>
      </c>
      <c r="AL4" s="669">
        <f t="shared" si="7"/>
        <v>0.76023105865456508</v>
      </c>
      <c r="AM4" s="669">
        <f t="shared" si="7"/>
        <v>0.73742412689492809</v>
      </c>
      <c r="AN4" s="669">
        <f t="shared" si="7"/>
        <v>0.71530140308808021</v>
      </c>
      <c r="AO4" s="669">
        <f t="shared" si="7"/>
        <v>0.69384236099543783</v>
      </c>
      <c r="AP4" s="669">
        <f t="shared" si="7"/>
        <v>0.67302709016557472</v>
      </c>
      <c r="AQ4" s="669">
        <f t="shared" si="7"/>
        <v>0.65283627746060746</v>
      </c>
      <c r="AR4" s="669">
        <f t="shared" si="7"/>
        <v>0.63325118913678924</v>
      </c>
      <c r="AS4" s="669">
        <f t="shared" si="7"/>
        <v>0.61425365346268557</v>
      </c>
      <c r="AT4" s="669">
        <f t="shared" si="7"/>
        <v>0.595826043858805</v>
      </c>
      <c r="AU4" s="669">
        <f t="shared" si="7"/>
        <v>0.57795126254304086</v>
      </c>
      <c r="AV4" s="669">
        <f t="shared" si="7"/>
        <v>0.56061272466674961</v>
      </c>
      <c r="AW4" s="669">
        <f t="shared" si="7"/>
        <v>0.54379434292674711</v>
      </c>
    </row>
    <row r="5" spans="1:49" x14ac:dyDescent="0.15">
      <c r="A5" s="351" t="s">
        <v>20</v>
      </c>
      <c r="B5" s="348">
        <v>201</v>
      </c>
      <c r="C5" s="348">
        <v>215</v>
      </c>
      <c r="D5" s="348">
        <v>246</v>
      </c>
      <c r="E5" s="348">
        <v>284</v>
      </c>
      <c r="F5" s="348">
        <v>332</v>
      </c>
      <c r="G5" s="665">
        <v>384</v>
      </c>
      <c r="H5" s="667">
        <v>443</v>
      </c>
      <c r="I5" s="667">
        <v>511.06510416666663</v>
      </c>
      <c r="J5" s="667">
        <v>589.58812798394092</v>
      </c>
      <c r="K5" s="667">
        <v>680.17588723147344</v>
      </c>
      <c r="L5" s="667">
        <v>784.68207823839248</v>
      </c>
      <c r="M5" s="667">
        <f>L5*0.84</f>
        <v>659.13294572024961</v>
      </c>
      <c r="N5" s="667">
        <f t="shared" ref="N5:V5" si="8">M$5/L$5*M$5</f>
        <v>553.67167440500953</v>
      </c>
      <c r="O5" s="667">
        <f t="shared" si="8"/>
        <v>465.08420650020787</v>
      </c>
      <c r="P5" s="667">
        <f t="shared" si="8"/>
        <v>390.67073346017452</v>
      </c>
      <c r="Q5" s="668">
        <f t="shared" si="8"/>
        <v>328.16341610654649</v>
      </c>
      <c r="R5" s="348">
        <f t="shared" si="8"/>
        <v>275.65726952949899</v>
      </c>
      <c r="S5" s="348">
        <f t="shared" si="8"/>
        <v>231.55210640477912</v>
      </c>
      <c r="T5" s="348">
        <f t="shared" si="8"/>
        <v>194.50376938001443</v>
      </c>
      <c r="U5" s="348">
        <f t="shared" si="8"/>
        <v>163.38316627921211</v>
      </c>
      <c r="V5" s="348">
        <f t="shared" si="8"/>
        <v>137.24185967453815</v>
      </c>
      <c r="W5" s="348">
        <v>75</v>
      </c>
      <c r="X5" s="348">
        <v>167</v>
      </c>
      <c r="Y5" s="348">
        <v>167</v>
      </c>
      <c r="AB5" s="351">
        <v>1</v>
      </c>
      <c r="AC5" s="351" t="s">
        <v>56</v>
      </c>
      <c r="AD5" s="351">
        <v>0.99</v>
      </c>
      <c r="AE5" s="670">
        <f>AD5*0.99</f>
        <v>0.98009999999999997</v>
      </c>
      <c r="AF5" s="669">
        <f>AE5*0.99</f>
        <v>0.97029899999999991</v>
      </c>
      <c r="AG5" s="669">
        <f t="shared" ref="AG5:AW5" si="9">AF5*0.99</f>
        <v>0.96059600999999994</v>
      </c>
      <c r="AH5" s="669">
        <f t="shared" si="9"/>
        <v>0.95099004989999991</v>
      </c>
      <c r="AI5" s="669">
        <f t="shared" si="9"/>
        <v>0.94148014940099989</v>
      </c>
      <c r="AJ5" s="669">
        <f t="shared" si="9"/>
        <v>0.93206534790698992</v>
      </c>
      <c r="AK5" s="669">
        <f t="shared" si="9"/>
        <v>0.92274469442791995</v>
      </c>
      <c r="AL5" s="669">
        <f t="shared" si="9"/>
        <v>0.91351724748364072</v>
      </c>
      <c r="AM5" s="669">
        <f t="shared" si="9"/>
        <v>0.9043820750088043</v>
      </c>
      <c r="AN5" s="669">
        <f t="shared" si="9"/>
        <v>0.89533825425871627</v>
      </c>
      <c r="AO5" s="669">
        <f t="shared" si="9"/>
        <v>0.88638487171612912</v>
      </c>
      <c r="AP5" s="669">
        <f t="shared" si="9"/>
        <v>0.87752102299896784</v>
      </c>
      <c r="AQ5" s="669">
        <f t="shared" si="9"/>
        <v>0.86874581276897811</v>
      </c>
      <c r="AR5" s="669">
        <f t="shared" si="9"/>
        <v>0.86005835464128833</v>
      </c>
      <c r="AS5" s="669">
        <f t="shared" si="9"/>
        <v>0.85145777109487542</v>
      </c>
      <c r="AT5" s="669">
        <f t="shared" si="9"/>
        <v>0.84294319338392665</v>
      </c>
      <c r="AU5" s="669">
        <f t="shared" si="9"/>
        <v>0.83451376145008738</v>
      </c>
      <c r="AV5" s="669">
        <f t="shared" si="9"/>
        <v>0.82616862383558654</v>
      </c>
      <c r="AW5" s="669">
        <f t="shared" si="9"/>
        <v>0.81790693759723065</v>
      </c>
    </row>
    <row r="6" spans="1:49" x14ac:dyDescent="0.15">
      <c r="A6" s="351" t="s">
        <v>21</v>
      </c>
      <c r="B6" s="348">
        <v>350</v>
      </c>
      <c r="C6" s="348">
        <v>460</v>
      </c>
      <c r="D6" s="348">
        <v>700</v>
      </c>
      <c r="E6" s="348">
        <v>900</v>
      </c>
      <c r="F6" s="348">
        <v>1175</v>
      </c>
      <c r="G6" s="665">
        <v>1390</v>
      </c>
      <c r="H6" s="667">
        <f>G6*1.12</f>
        <v>1556.8000000000002</v>
      </c>
      <c r="I6" s="667">
        <f t="shared" ref="I6:V6" si="10">H6*1.12</f>
        <v>1743.6160000000004</v>
      </c>
      <c r="J6" s="667">
        <f t="shared" si="10"/>
        <v>1952.8499200000006</v>
      </c>
      <c r="K6" s="667">
        <f t="shared" si="10"/>
        <v>2187.1919104000008</v>
      </c>
      <c r="L6" s="667">
        <f t="shared" si="10"/>
        <v>2449.6549396480009</v>
      </c>
      <c r="M6" s="667">
        <f t="shared" si="10"/>
        <v>2743.6135324057614</v>
      </c>
      <c r="N6" s="667">
        <f t="shared" si="10"/>
        <v>3072.8471562944528</v>
      </c>
      <c r="O6" s="667">
        <f t="shared" si="10"/>
        <v>3441.5888150497876</v>
      </c>
      <c r="P6" s="667">
        <f t="shared" si="10"/>
        <v>3854.5794728557626</v>
      </c>
      <c r="Q6" s="668">
        <f>P6*1.12</f>
        <v>4317.1290095984541</v>
      </c>
      <c r="R6" s="348">
        <f t="shared" si="10"/>
        <v>4835.1844907502691</v>
      </c>
      <c r="S6" s="348">
        <f t="shared" si="10"/>
        <v>5415.4066296403016</v>
      </c>
      <c r="T6" s="348">
        <f t="shared" si="10"/>
        <v>6065.2554251971387</v>
      </c>
      <c r="U6" s="348">
        <f t="shared" si="10"/>
        <v>6793.0860762207958</v>
      </c>
      <c r="V6" s="348">
        <f t="shared" si="10"/>
        <v>7608.2564053672922</v>
      </c>
      <c r="W6" s="348">
        <v>30</v>
      </c>
      <c r="X6" s="348">
        <v>40</v>
      </c>
      <c r="Y6" s="348">
        <v>60</v>
      </c>
    </row>
    <row r="7" spans="1:49" x14ac:dyDescent="0.15">
      <c r="A7" s="351" t="s">
        <v>22</v>
      </c>
      <c r="B7" s="348">
        <v>50</v>
      </c>
      <c r="C7" s="348">
        <v>100</v>
      </c>
      <c r="D7" s="348">
        <v>150</v>
      </c>
      <c r="E7" s="348">
        <v>207</v>
      </c>
      <c r="F7" s="348">
        <v>256</v>
      </c>
      <c r="G7" s="665">
        <v>321</v>
      </c>
      <c r="H7" s="667">
        <f>G7*1.15</f>
        <v>369.15</v>
      </c>
      <c r="I7" s="667">
        <f>H7*1.15</f>
        <v>424.52249999999992</v>
      </c>
      <c r="J7" s="667">
        <f>I7*1.15</f>
        <v>488.20087499999988</v>
      </c>
      <c r="K7" s="667">
        <f>J7*1.15</f>
        <v>561.43100624999977</v>
      </c>
      <c r="L7" s="667">
        <v>561</v>
      </c>
      <c r="M7" s="667">
        <v>561</v>
      </c>
      <c r="N7" s="667">
        <v>561</v>
      </c>
      <c r="O7" s="667">
        <v>561</v>
      </c>
      <c r="P7" s="667">
        <v>561</v>
      </c>
      <c r="Q7" s="668">
        <v>561</v>
      </c>
      <c r="R7" s="348">
        <v>561</v>
      </c>
      <c r="S7" s="348">
        <v>561</v>
      </c>
      <c r="T7" s="348">
        <v>561</v>
      </c>
      <c r="U7" s="348">
        <v>561</v>
      </c>
      <c r="V7" s="348">
        <v>561</v>
      </c>
      <c r="W7" s="348">
        <v>78</v>
      </c>
      <c r="X7" s="348">
        <v>75</v>
      </c>
      <c r="Y7" s="348">
        <v>287</v>
      </c>
    </row>
    <row r="8" spans="1:49" x14ac:dyDescent="0.15">
      <c r="A8" s="351" t="s">
        <v>268</v>
      </c>
      <c r="B8" s="348">
        <v>1250</v>
      </c>
      <c r="C8" s="348">
        <v>1260</v>
      </c>
      <c r="D8" s="348">
        <v>1050</v>
      </c>
      <c r="E8" s="348">
        <f>1220-314</f>
        <v>906</v>
      </c>
      <c r="F8" s="348">
        <v>593</v>
      </c>
      <c r="G8" s="665">
        <v>764</v>
      </c>
      <c r="H8" s="667">
        <f t="shared" ref="H8:M8" si="11">G8*0.95</f>
        <v>725.8</v>
      </c>
      <c r="I8" s="667">
        <f t="shared" si="11"/>
        <v>689.50999999999988</v>
      </c>
      <c r="J8" s="667">
        <f t="shared" si="11"/>
        <v>655.03449999999987</v>
      </c>
      <c r="K8" s="667">
        <f t="shared" si="11"/>
        <v>622.28277499999979</v>
      </c>
      <c r="L8" s="667">
        <f t="shared" si="11"/>
        <v>591.16863624999974</v>
      </c>
      <c r="M8" s="667">
        <f t="shared" si="11"/>
        <v>561.61020443749976</v>
      </c>
      <c r="N8" s="667">
        <f t="shared" ref="N8:V8" si="12">M8*0.95</f>
        <v>533.52969421562477</v>
      </c>
      <c r="O8" s="667">
        <f t="shared" si="12"/>
        <v>506.85320950484351</v>
      </c>
      <c r="P8" s="667">
        <f t="shared" si="12"/>
        <v>481.51054902960129</v>
      </c>
      <c r="Q8" s="668">
        <f t="shared" si="12"/>
        <v>457.43502157812122</v>
      </c>
      <c r="R8" s="348">
        <f t="shared" si="12"/>
        <v>434.56327049921515</v>
      </c>
      <c r="S8" s="348">
        <f t="shared" si="12"/>
        <v>412.83510697425436</v>
      </c>
      <c r="T8" s="348">
        <f t="shared" si="12"/>
        <v>392.1933516255416</v>
      </c>
      <c r="U8" s="348">
        <f t="shared" si="12"/>
        <v>372.58368404426449</v>
      </c>
      <c r="V8" s="348">
        <f t="shared" si="12"/>
        <v>353.95449984205123</v>
      </c>
      <c r="W8" s="348">
        <v>10</v>
      </c>
      <c r="X8" s="348">
        <v>12</v>
      </c>
      <c r="Y8" s="348">
        <v>15</v>
      </c>
    </row>
    <row r="9" spans="1:49" x14ac:dyDescent="0.15">
      <c r="A9" s="351" t="s">
        <v>60</v>
      </c>
      <c r="B9" s="348">
        <v>0</v>
      </c>
      <c r="C9" s="348">
        <v>0</v>
      </c>
      <c r="D9" s="348">
        <v>10</v>
      </c>
      <c r="E9" s="348">
        <v>50</v>
      </c>
      <c r="F9" s="348">
        <v>100</v>
      </c>
      <c r="G9" s="665">
        <v>143.333333333333</v>
      </c>
      <c r="H9" s="667">
        <v>188.333333333333</v>
      </c>
      <c r="I9" s="667">
        <v>233.333333333333</v>
      </c>
      <c r="J9" s="667">
        <v>278.33333333333297</v>
      </c>
      <c r="K9" s="667">
        <v>323.33333333333297</v>
      </c>
      <c r="L9" s="667">
        <v>368.33333333333297</v>
      </c>
      <c r="M9" s="667">
        <f>L9*1.16</f>
        <v>427.2666666666662</v>
      </c>
      <c r="N9" s="667">
        <f>M9*1.16</f>
        <v>495.62933333333274</v>
      </c>
      <c r="O9" s="667">
        <f t="shared" ref="O9:V9" si="13">N9*1.16</f>
        <v>574.93002666666598</v>
      </c>
      <c r="P9" s="667">
        <f t="shared" si="13"/>
        <v>666.91883093333252</v>
      </c>
      <c r="Q9" s="668">
        <f t="shared" si="13"/>
        <v>773.62584388266566</v>
      </c>
      <c r="R9" s="348">
        <f t="shared" si="13"/>
        <v>897.40597890389211</v>
      </c>
      <c r="S9" s="348">
        <f t="shared" si="13"/>
        <v>1040.9909355285147</v>
      </c>
      <c r="T9" s="348">
        <f t="shared" si="13"/>
        <v>1207.5494852130769</v>
      </c>
      <c r="U9" s="348">
        <f>T9*1.16</f>
        <v>1400.757402847169</v>
      </c>
      <c r="V9" s="348">
        <f t="shared" si="13"/>
        <v>1624.8785873027159</v>
      </c>
      <c r="W9" s="348">
        <v>50</v>
      </c>
      <c r="X9" s="348">
        <v>60</v>
      </c>
      <c r="Y9" s="348">
        <v>200</v>
      </c>
    </row>
    <row r="10" spans="1:49" x14ac:dyDescent="0.15">
      <c r="A10" s="660" t="s">
        <v>89</v>
      </c>
      <c r="B10" s="348">
        <v>100</v>
      </c>
      <c r="C10" s="348">
        <f>B10*1.12</f>
        <v>112.00000000000001</v>
      </c>
      <c r="D10" s="348">
        <f t="shared" ref="D10:K10" si="14">C10*1.12</f>
        <v>125.44000000000003</v>
      </c>
      <c r="E10" s="348">
        <f t="shared" si="14"/>
        <v>140.49280000000005</v>
      </c>
      <c r="F10" s="348">
        <f t="shared" si="14"/>
        <v>157.35193600000005</v>
      </c>
      <c r="G10" s="665">
        <f t="shared" si="14"/>
        <v>176.23416832000007</v>
      </c>
      <c r="H10" s="667">
        <f t="shared" si="14"/>
        <v>197.38226851840008</v>
      </c>
      <c r="I10" s="667">
        <f t="shared" si="14"/>
        <v>221.0681407406081</v>
      </c>
      <c r="J10" s="667">
        <f t="shared" si="14"/>
        <v>247.59631762948109</v>
      </c>
      <c r="K10" s="667">
        <f t="shared" si="14"/>
        <v>277.30787574501886</v>
      </c>
      <c r="L10" s="667">
        <f t="shared" ref="L10:V10" si="15">K10*1.11</f>
        <v>307.81174207697097</v>
      </c>
      <c r="M10" s="667">
        <f t="shared" si="15"/>
        <v>341.67103370543782</v>
      </c>
      <c r="N10" s="667">
        <f t="shared" si="15"/>
        <v>379.25484741303603</v>
      </c>
      <c r="O10" s="667">
        <f t="shared" si="15"/>
        <v>420.97288062847002</v>
      </c>
      <c r="P10" s="667">
        <f t="shared" si="15"/>
        <v>467.27989749760178</v>
      </c>
      <c r="Q10" s="668">
        <f t="shared" si="15"/>
        <v>518.68068622233807</v>
      </c>
      <c r="R10" s="348">
        <f t="shared" si="15"/>
        <v>575.73556170679535</v>
      </c>
      <c r="S10" s="348">
        <f t="shared" si="15"/>
        <v>639.06647349454295</v>
      </c>
      <c r="T10" s="348">
        <f t="shared" si="15"/>
        <v>709.36378557894272</v>
      </c>
      <c r="U10" s="348">
        <f t="shared" si="15"/>
        <v>787.39380199262655</v>
      </c>
      <c r="V10" s="348">
        <f t="shared" si="15"/>
        <v>874.0071202118155</v>
      </c>
      <c r="W10" s="348">
        <v>5</v>
      </c>
      <c r="X10" s="348">
        <v>7</v>
      </c>
      <c r="Y10" s="348">
        <v>10</v>
      </c>
    </row>
    <row r="11" spans="1:49" x14ac:dyDescent="0.15">
      <c r="A11" s="660" t="s">
        <v>278</v>
      </c>
      <c r="B11" s="348">
        <v>0</v>
      </c>
      <c r="C11" s="348"/>
      <c r="D11" s="348"/>
      <c r="E11" s="348"/>
      <c r="F11" s="348"/>
      <c r="G11" s="665">
        <v>33.333333333333336</v>
      </c>
      <c r="H11" s="667">
        <v>104</v>
      </c>
      <c r="I11" s="667">
        <v>153</v>
      </c>
      <c r="J11" s="667">
        <v>236</v>
      </c>
      <c r="K11" s="667">
        <v>449</v>
      </c>
      <c r="L11" s="667">
        <v>738</v>
      </c>
      <c r="M11" s="667">
        <v>1230</v>
      </c>
      <c r="N11" s="667">
        <v>2138</v>
      </c>
      <c r="O11" s="667">
        <v>3606</v>
      </c>
      <c r="P11" s="667">
        <v>6103</v>
      </c>
      <c r="Q11" s="668">
        <v>10415</v>
      </c>
      <c r="R11" s="348">
        <v>11323.835700071109</v>
      </c>
      <c r="S11" s="348">
        <v>19235.120273568788</v>
      </c>
      <c r="T11" s="348">
        <v>32673.544701494884</v>
      </c>
      <c r="U11" s="348">
        <v>55500.589971747271</v>
      </c>
      <c r="V11" s="348">
        <v>94275.522149608776</v>
      </c>
      <c r="W11" s="348">
        <v>2</v>
      </c>
      <c r="X11" s="348"/>
      <c r="Y11" s="348"/>
      <c r="Z11" s="348"/>
    </row>
    <row r="12" spans="1:49" x14ac:dyDescent="0.15">
      <c r="A12" s="660" t="s">
        <v>280</v>
      </c>
      <c r="B12" s="348">
        <v>0</v>
      </c>
      <c r="C12" s="348"/>
      <c r="D12" s="348"/>
      <c r="E12" s="348"/>
      <c r="F12" s="348"/>
      <c r="G12" s="671">
        <v>50</v>
      </c>
      <c r="H12" s="397">
        <f>G12*1.68084339</f>
        <v>84.0421695</v>
      </c>
      <c r="I12" s="397">
        <f t="shared" ref="I12:V12" si="16">H12*1.68084339</f>
        <v>141.2617250853346</v>
      </c>
      <c r="J12" s="397">
        <f t="shared" si="16"/>
        <v>237.43883686968184</v>
      </c>
      <c r="K12" s="397">
        <f t="shared" si="16"/>
        <v>399.09749948169298</v>
      </c>
      <c r="L12" s="397">
        <f t="shared" si="16"/>
        <v>670.82039396933203</v>
      </c>
      <c r="M12" s="397">
        <f t="shared" si="16"/>
        <v>1127.5440250805475</v>
      </c>
      <c r="N12" s="397">
        <f t="shared" si="16"/>
        <v>1895.2249214906324</v>
      </c>
      <c r="O12" s="397">
        <f t="shared" si="16"/>
        <v>3185.5762818507983</v>
      </c>
      <c r="P12" s="397">
        <f t="shared" si="16"/>
        <v>5354.4548366896906</v>
      </c>
      <c r="Q12" s="672">
        <f>P12*1.68084339</f>
        <v>9000.0000193033957</v>
      </c>
      <c r="R12" s="397">
        <f t="shared" si="16"/>
        <v>15127.590542445985</v>
      </c>
      <c r="S12" s="397">
        <f t="shared" si="16"/>
        <v>25427.110569896849</v>
      </c>
      <c r="T12" s="397">
        <f t="shared" si="16"/>
        <v>42738.99072821025</v>
      </c>
      <c r="U12" s="397">
        <f t="shared" si="16"/>
        <v>71837.550060783484</v>
      </c>
      <c r="V12" s="397">
        <f t="shared" si="16"/>
        <v>120747.67117346202</v>
      </c>
      <c r="W12" s="348">
        <v>2</v>
      </c>
      <c r="X12" s="348"/>
      <c r="Y12" s="348"/>
      <c r="Z12" s="348"/>
      <c r="AA12" s="351">
        <f>13.6-1.45</f>
        <v>12.15</v>
      </c>
    </row>
    <row r="13" spans="1:49" x14ac:dyDescent="0.15">
      <c r="A13" s="660" t="s">
        <v>279</v>
      </c>
      <c r="B13" s="348">
        <v>0</v>
      </c>
      <c r="C13" s="348"/>
      <c r="D13" s="348"/>
      <c r="E13" s="348"/>
      <c r="F13" s="348"/>
      <c r="G13" s="671">
        <v>3</v>
      </c>
      <c r="H13" s="397">
        <f>G13*1.748223176</f>
        <v>5.2446695280000002</v>
      </c>
      <c r="I13" s="397">
        <f t="shared" ref="I13:S13" si="17">H13*1.748223176</f>
        <v>9.1688528193105814</v>
      </c>
      <c r="J13" s="397">
        <f t="shared" si="17"/>
        <v>16.029200996051699</v>
      </c>
      <c r="K13" s="397">
        <f t="shared" si="17"/>
        <v>28.022620674059866</v>
      </c>
      <c r="L13" s="397">
        <f t="shared" si="17"/>
        <v>48.989794914648201</v>
      </c>
      <c r="M13" s="397">
        <f t="shared" si="17"/>
        <v>85.645094857274927</v>
      </c>
      <c r="N13" s="397">
        <f t="shared" si="17"/>
        <v>149.72673974020643</v>
      </c>
      <c r="O13" s="397">
        <f t="shared" si="17"/>
        <v>261.75575648074908</v>
      </c>
      <c r="P13" s="397">
        <f t="shared" si="17"/>
        <v>457.60747993105775</v>
      </c>
      <c r="Q13" s="672">
        <f t="shared" si="17"/>
        <v>800.00000192643006</v>
      </c>
      <c r="R13" s="397">
        <f t="shared" si="17"/>
        <v>1398.5785441678297</v>
      </c>
      <c r="S13" s="397">
        <f t="shared" si="17"/>
        <v>2445.0274243705394</v>
      </c>
      <c r="T13" s="397">
        <f>S13*1.748223176</f>
        <v>4274.453609240164</v>
      </c>
      <c r="U13" s="397">
        <f>T13*1.748223176</f>
        <v>7472.6988644105022</v>
      </c>
      <c r="V13" s="397">
        <f>U13*1.748223176</f>
        <v>13063.945342031322</v>
      </c>
      <c r="W13" s="348">
        <f>3.35/0.6</f>
        <v>5.5833333333333339</v>
      </c>
      <c r="X13" s="348"/>
      <c r="Y13" s="348"/>
      <c r="Z13" s="348"/>
    </row>
    <row r="14" spans="1:49" x14ac:dyDescent="0.15">
      <c r="A14" s="660"/>
      <c r="B14" s="348"/>
      <c r="C14" s="348"/>
      <c r="D14" s="348"/>
      <c r="E14" s="348"/>
      <c r="F14" s="348"/>
      <c r="G14" s="665"/>
      <c r="H14" s="667"/>
      <c r="I14" s="667"/>
      <c r="J14" s="667"/>
      <c r="K14" s="667"/>
      <c r="L14" s="667"/>
      <c r="M14" s="667"/>
      <c r="N14" s="667"/>
      <c r="O14" s="667"/>
      <c r="P14" s="667"/>
      <c r="Q14" s="668"/>
      <c r="R14" s="348"/>
      <c r="S14" s="348"/>
      <c r="T14" s="348"/>
      <c r="U14" s="348"/>
      <c r="V14" s="348"/>
      <c r="W14" s="348"/>
      <c r="X14" s="348"/>
      <c r="Y14" s="348"/>
      <c r="Z14" s="348"/>
    </row>
    <row r="15" spans="1:49" x14ac:dyDescent="0.15">
      <c r="A15" s="660"/>
      <c r="B15" s="348"/>
      <c r="C15" s="348"/>
      <c r="D15" s="348"/>
      <c r="E15" s="348"/>
      <c r="F15" s="348"/>
      <c r="G15" s="665"/>
      <c r="H15" s="667"/>
      <c r="I15" s="667"/>
      <c r="J15" s="667"/>
      <c r="K15" s="667"/>
      <c r="L15" s="667"/>
      <c r="M15" s="667"/>
      <c r="N15" s="667"/>
      <c r="O15" s="667"/>
      <c r="P15" s="667"/>
      <c r="Q15" s="668"/>
      <c r="R15" s="348"/>
      <c r="S15" s="348"/>
      <c r="T15" s="348"/>
      <c r="U15" s="348"/>
      <c r="V15" s="348"/>
      <c r="W15" s="348"/>
      <c r="X15" s="348"/>
      <c r="Y15" s="348"/>
      <c r="Z15" s="348"/>
    </row>
    <row r="16" spans="1:49" x14ac:dyDescent="0.15">
      <c r="A16" s="351" t="s">
        <v>23</v>
      </c>
      <c r="B16" s="348">
        <v>250</v>
      </c>
      <c r="C16" s="348">
        <f>B16*1.015</f>
        <v>253.74999999999997</v>
      </c>
      <c r="D16" s="348">
        <f t="shared" ref="D16:V16" si="18">C16*1.015</f>
        <v>257.55624999999992</v>
      </c>
      <c r="E16" s="348">
        <f t="shared" si="18"/>
        <v>261.41959374999988</v>
      </c>
      <c r="F16" s="348">
        <f t="shared" si="18"/>
        <v>265.34088765624983</v>
      </c>
      <c r="G16" s="665">
        <f t="shared" si="18"/>
        <v>269.32100097109355</v>
      </c>
      <c r="H16" s="667">
        <f t="shared" si="18"/>
        <v>273.36081598565994</v>
      </c>
      <c r="I16" s="667">
        <f t="shared" si="18"/>
        <v>277.46122822544481</v>
      </c>
      <c r="J16" s="667">
        <f t="shared" si="18"/>
        <v>281.62314664882643</v>
      </c>
      <c r="K16" s="667">
        <f t="shared" si="18"/>
        <v>285.84749384855883</v>
      </c>
      <c r="L16" s="667">
        <f t="shared" si="18"/>
        <v>290.13520625628718</v>
      </c>
      <c r="M16" s="667">
        <f t="shared" si="18"/>
        <v>294.48723435013147</v>
      </c>
      <c r="N16" s="667">
        <f t="shared" si="18"/>
        <v>298.90454286538341</v>
      </c>
      <c r="O16" s="667">
        <f t="shared" si="18"/>
        <v>303.38811100836415</v>
      </c>
      <c r="P16" s="667">
        <f t="shared" si="18"/>
        <v>307.9389326734896</v>
      </c>
      <c r="Q16" s="668">
        <f t="shared" si="18"/>
        <v>312.5580166635919</v>
      </c>
      <c r="R16" s="348">
        <f t="shared" si="18"/>
        <v>317.24638691354573</v>
      </c>
      <c r="S16" s="348">
        <f t="shared" si="18"/>
        <v>322.00508271724891</v>
      </c>
      <c r="T16" s="348">
        <f t="shared" si="18"/>
        <v>326.83515895800764</v>
      </c>
      <c r="U16" s="348">
        <f t="shared" si="18"/>
        <v>331.73768634237774</v>
      </c>
      <c r="V16" s="348">
        <f t="shared" si="18"/>
        <v>336.71375163751338</v>
      </c>
      <c r="W16" s="348">
        <v>250</v>
      </c>
      <c r="X16" s="348">
        <v>500</v>
      </c>
      <c r="Y16" s="348">
        <v>1700</v>
      </c>
      <c r="AA16" s="351" t="s">
        <v>379</v>
      </c>
      <c r="AB16" s="351">
        <v>1</v>
      </c>
    </row>
    <row r="17" spans="1:28" x14ac:dyDescent="0.15">
      <c r="A17" s="351" t="s">
        <v>24</v>
      </c>
      <c r="B17" s="348">
        <f>B$16*$AA17</f>
        <v>95</v>
      </c>
      <c r="C17" s="348">
        <f t="shared" ref="B17:K20" si="19">C$16*$AA17</f>
        <v>96.424999999999997</v>
      </c>
      <c r="D17" s="348">
        <f t="shared" si="19"/>
        <v>97.871374999999972</v>
      </c>
      <c r="E17" s="348">
        <f t="shared" si="19"/>
        <v>99.339445624999954</v>
      </c>
      <c r="F17" s="348">
        <f t="shared" si="19"/>
        <v>100.82953730937494</v>
      </c>
      <c r="G17" s="665">
        <f t="shared" si="19"/>
        <v>102.34198036901554</v>
      </c>
      <c r="H17" s="667">
        <f t="shared" si="19"/>
        <v>103.87711007455079</v>
      </c>
      <c r="I17" s="667">
        <f t="shared" si="19"/>
        <v>105.43526672566902</v>
      </c>
      <c r="J17" s="667">
        <f t="shared" si="19"/>
        <v>107.01679572655405</v>
      </c>
      <c r="K17" s="667">
        <f t="shared" si="19"/>
        <v>108.62204766245236</v>
      </c>
      <c r="L17" s="667">
        <f t="shared" ref="L17:V20" si="20">L$16*$AA17</f>
        <v>110.25137837738913</v>
      </c>
      <c r="M17" s="667">
        <f t="shared" si="20"/>
        <v>111.90514905304997</v>
      </c>
      <c r="N17" s="667">
        <f t="shared" si="20"/>
        <v>113.5837262888457</v>
      </c>
      <c r="O17" s="667">
        <f t="shared" si="20"/>
        <v>115.28748218317838</v>
      </c>
      <c r="P17" s="667">
        <f t="shared" si="20"/>
        <v>117.01679441592606</v>
      </c>
      <c r="Q17" s="668">
        <f t="shared" si="20"/>
        <v>118.77204633216492</v>
      </c>
      <c r="R17" s="348">
        <f t="shared" si="20"/>
        <v>120.55362702714739</v>
      </c>
      <c r="S17" s="348">
        <f t="shared" si="20"/>
        <v>122.36193143255458</v>
      </c>
      <c r="T17" s="348">
        <f t="shared" si="20"/>
        <v>124.19736040404291</v>
      </c>
      <c r="U17" s="348">
        <f t="shared" si="20"/>
        <v>126.06032081010355</v>
      </c>
      <c r="V17" s="348">
        <f t="shared" si="20"/>
        <v>127.95122562225508</v>
      </c>
      <c r="W17" s="348">
        <v>41</v>
      </c>
      <c r="X17" s="348">
        <v>45</v>
      </c>
      <c r="Y17" s="348">
        <v>50</v>
      </c>
      <c r="AA17" s="351">
        <v>0.38</v>
      </c>
      <c r="AB17" s="351">
        <v>1</v>
      </c>
    </row>
    <row r="18" spans="1:28" x14ac:dyDescent="0.15">
      <c r="A18" s="351" t="s">
        <v>25</v>
      </c>
      <c r="B18" s="348">
        <f t="shared" si="19"/>
        <v>50</v>
      </c>
      <c r="C18" s="348">
        <f t="shared" si="19"/>
        <v>50.75</v>
      </c>
      <c r="D18" s="348">
        <f t="shared" si="19"/>
        <v>51.51124999999999</v>
      </c>
      <c r="E18" s="348">
        <f t="shared" si="19"/>
        <v>52.283918749999977</v>
      </c>
      <c r="F18" s="348">
        <f t="shared" si="19"/>
        <v>53.068177531249972</v>
      </c>
      <c r="G18" s="665">
        <f t="shared" si="19"/>
        <v>53.864200194218711</v>
      </c>
      <c r="H18" s="667">
        <f t="shared" si="19"/>
        <v>54.672163197131994</v>
      </c>
      <c r="I18" s="667">
        <f t="shared" si="19"/>
        <v>55.492245645088964</v>
      </c>
      <c r="J18" s="667">
        <f t="shared" si="19"/>
        <v>56.324629329765287</v>
      </c>
      <c r="K18" s="667">
        <f t="shared" si="19"/>
        <v>57.169498769711765</v>
      </c>
      <c r="L18" s="667">
        <f t="shared" si="20"/>
        <v>58.027041251257437</v>
      </c>
      <c r="M18" s="667">
        <f t="shared" si="20"/>
        <v>58.8974468700263</v>
      </c>
      <c r="N18" s="667">
        <f t="shared" si="20"/>
        <v>59.780908573076687</v>
      </c>
      <c r="O18" s="667">
        <f t="shared" si="20"/>
        <v>60.677622201672833</v>
      </c>
      <c r="P18" s="667">
        <f t="shared" si="20"/>
        <v>61.587786534697926</v>
      </c>
      <c r="Q18" s="668">
        <f t="shared" si="20"/>
        <v>62.51160333271838</v>
      </c>
      <c r="R18" s="348">
        <f t="shared" si="20"/>
        <v>63.449277382709148</v>
      </c>
      <c r="S18" s="348">
        <f t="shared" si="20"/>
        <v>64.401016543449785</v>
      </c>
      <c r="T18" s="348">
        <f t="shared" si="20"/>
        <v>65.367031791601534</v>
      </c>
      <c r="U18" s="348">
        <f t="shared" si="20"/>
        <v>66.347537268475548</v>
      </c>
      <c r="V18" s="348">
        <f t="shared" si="20"/>
        <v>67.342750327502685</v>
      </c>
      <c r="W18" s="348">
        <v>150</v>
      </c>
      <c r="X18" s="348">
        <v>150</v>
      </c>
      <c r="Y18" s="348">
        <v>150</v>
      </c>
      <c r="AA18" s="351">
        <v>0.2</v>
      </c>
      <c r="AB18" s="351">
        <v>1</v>
      </c>
    </row>
    <row r="19" spans="1:28" x14ac:dyDescent="0.15">
      <c r="A19" s="351" t="s">
        <v>26</v>
      </c>
      <c r="B19" s="348">
        <f t="shared" si="19"/>
        <v>75</v>
      </c>
      <c r="C19" s="348">
        <f t="shared" si="19"/>
        <v>76.124999999999986</v>
      </c>
      <c r="D19" s="348">
        <f t="shared" si="19"/>
        <v>77.26687499999997</v>
      </c>
      <c r="E19" s="348">
        <f t="shared" si="19"/>
        <v>78.425878124999954</v>
      </c>
      <c r="F19" s="348">
        <f t="shared" si="19"/>
        <v>79.602266296874944</v>
      </c>
      <c r="G19" s="665">
        <f t="shared" si="19"/>
        <v>80.796300291328066</v>
      </c>
      <c r="H19" s="667">
        <f t="shared" si="19"/>
        <v>82.008244795697976</v>
      </c>
      <c r="I19" s="667">
        <f t="shared" si="19"/>
        <v>83.238368467633435</v>
      </c>
      <c r="J19" s="667">
        <f t="shared" si="19"/>
        <v>84.48694399464793</v>
      </c>
      <c r="K19" s="667">
        <f t="shared" si="19"/>
        <v>85.754248154567648</v>
      </c>
      <c r="L19" s="667">
        <f t="shared" si="20"/>
        <v>87.040561876886144</v>
      </c>
      <c r="M19" s="667">
        <f t="shared" si="20"/>
        <v>88.346170305039436</v>
      </c>
      <c r="N19" s="667">
        <f t="shared" si="20"/>
        <v>89.671362859615016</v>
      </c>
      <c r="O19" s="667">
        <f t="shared" si="20"/>
        <v>91.016433302509242</v>
      </c>
      <c r="P19" s="667">
        <f t="shared" si="20"/>
        <v>92.381679802046875</v>
      </c>
      <c r="Q19" s="668">
        <f t="shared" si="20"/>
        <v>93.76740499907757</v>
      </c>
      <c r="R19" s="348">
        <f t="shared" si="20"/>
        <v>95.173916074063712</v>
      </c>
      <c r="S19" s="348">
        <f t="shared" si="20"/>
        <v>96.60152481517467</v>
      </c>
      <c r="T19" s="348">
        <f t="shared" si="20"/>
        <v>98.050547687402286</v>
      </c>
      <c r="U19" s="348">
        <f t="shared" si="20"/>
        <v>99.521305902713323</v>
      </c>
      <c r="V19" s="348">
        <f t="shared" si="20"/>
        <v>101.01412549125401</v>
      </c>
      <c r="W19" s="348">
        <v>100</v>
      </c>
      <c r="X19" s="348">
        <v>100</v>
      </c>
      <c r="Y19" s="348">
        <v>100</v>
      </c>
      <c r="AA19" s="351">
        <v>0.3</v>
      </c>
      <c r="AB19" s="351">
        <v>1</v>
      </c>
    </row>
    <row r="20" spans="1:28" ht="12" thickBot="1" x14ac:dyDescent="0.2">
      <c r="A20" s="351" t="s">
        <v>27</v>
      </c>
      <c r="B20" s="348">
        <f t="shared" si="19"/>
        <v>87.5</v>
      </c>
      <c r="C20" s="348">
        <f t="shared" si="19"/>
        <v>88.812499999999986</v>
      </c>
      <c r="D20" s="348">
        <f t="shared" si="19"/>
        <v>90.144687499999961</v>
      </c>
      <c r="E20" s="348">
        <f t="shared" si="19"/>
        <v>91.496857812499954</v>
      </c>
      <c r="F20" s="348">
        <f t="shared" si="19"/>
        <v>92.86931067968743</v>
      </c>
      <c r="G20" s="673">
        <f t="shared" si="19"/>
        <v>94.262350339882744</v>
      </c>
      <c r="H20" s="674">
        <f t="shared" si="19"/>
        <v>95.676285594980968</v>
      </c>
      <c r="I20" s="674">
        <f t="shared" si="19"/>
        <v>97.111429878905682</v>
      </c>
      <c r="J20" s="674">
        <f t="shared" si="19"/>
        <v>98.568101327089252</v>
      </c>
      <c r="K20" s="674">
        <f t="shared" si="19"/>
        <v>100.04662284699559</v>
      </c>
      <c r="L20" s="674">
        <f t="shared" si="20"/>
        <v>101.54732218970051</v>
      </c>
      <c r="M20" s="674">
        <f t="shared" si="20"/>
        <v>103.070532022546</v>
      </c>
      <c r="N20" s="674">
        <f t="shared" si="20"/>
        <v>104.61659000288418</v>
      </c>
      <c r="O20" s="674">
        <f t="shared" si="20"/>
        <v>106.18583885292745</v>
      </c>
      <c r="P20" s="674">
        <f t="shared" si="20"/>
        <v>107.77862643572135</v>
      </c>
      <c r="Q20" s="675">
        <f t="shared" si="20"/>
        <v>109.39530583225716</v>
      </c>
      <c r="R20" s="348">
        <f t="shared" si="20"/>
        <v>111.036235419741</v>
      </c>
      <c r="S20" s="348">
        <f t="shared" si="20"/>
        <v>112.70177895103711</v>
      </c>
      <c r="T20" s="348">
        <f t="shared" si="20"/>
        <v>114.39230563530266</v>
      </c>
      <c r="U20" s="348">
        <f t="shared" si="20"/>
        <v>116.1081902198322</v>
      </c>
      <c r="V20" s="348">
        <f t="shared" si="20"/>
        <v>117.84981307312968</v>
      </c>
      <c r="W20" s="348">
        <v>200</v>
      </c>
      <c r="X20" s="348">
        <v>200</v>
      </c>
      <c r="Y20" s="348">
        <v>200</v>
      </c>
      <c r="AA20" s="351">
        <v>0.35</v>
      </c>
      <c r="AB20" s="351">
        <v>1</v>
      </c>
    </row>
    <row r="22" spans="1:28" x14ac:dyDescent="0.15">
      <c r="N22" s="405">
        <f>0.95^5</f>
        <v>0.77378093749999999</v>
      </c>
    </row>
    <row r="23" spans="1:28" x14ac:dyDescent="0.15">
      <c r="A23" s="351" t="s">
        <v>33</v>
      </c>
    </row>
    <row r="25" spans="1:28" ht="12" thickBot="1" x14ac:dyDescent="0.2">
      <c r="A25" s="676"/>
      <c r="B25" s="677" t="s">
        <v>17</v>
      </c>
      <c r="C25" s="676"/>
    </row>
    <row r="26" spans="1:28" x14ac:dyDescent="0.15">
      <c r="B26" s="351">
        <v>2010</v>
      </c>
      <c r="C26" s="352">
        <v>2011</v>
      </c>
      <c r="D26" s="352">
        <v>2012</v>
      </c>
      <c r="E26" s="352">
        <v>2013</v>
      </c>
      <c r="F26" s="352">
        <v>2014</v>
      </c>
      <c r="G26" s="678">
        <v>2015</v>
      </c>
      <c r="H26" s="679">
        <v>2016</v>
      </c>
      <c r="I26" s="679">
        <v>2017</v>
      </c>
      <c r="J26" s="679">
        <v>2018</v>
      </c>
      <c r="K26" s="679">
        <v>2019</v>
      </c>
      <c r="L26" s="679">
        <v>2020</v>
      </c>
      <c r="M26" s="680">
        <v>2021</v>
      </c>
      <c r="N26" s="680">
        <v>2022</v>
      </c>
      <c r="O26" s="680">
        <v>2023</v>
      </c>
      <c r="P26" s="680">
        <v>2024</v>
      </c>
      <c r="Q26" s="681">
        <v>2025</v>
      </c>
      <c r="R26" s="345">
        <v>2026</v>
      </c>
      <c r="S26" s="345">
        <v>2027</v>
      </c>
      <c r="T26" s="345">
        <v>2028</v>
      </c>
      <c r="U26" s="345">
        <v>2029</v>
      </c>
      <c r="V26" s="345">
        <v>2030</v>
      </c>
    </row>
    <row r="27" spans="1:28" x14ac:dyDescent="0.15">
      <c r="A27" s="351" t="s">
        <v>18</v>
      </c>
      <c r="B27" s="346">
        <f>B3*$W$3/1000</f>
        <v>8.76</v>
      </c>
      <c r="C27" s="346">
        <f>C3*$W$3/1000*AD3</f>
        <v>8.4359999999999999</v>
      </c>
      <c r="D27" s="346">
        <f t="shared" ref="D27:U27" si="21">D3*$W$3/1000*AE3</f>
        <v>8.1766500000000004</v>
      </c>
      <c r="E27" s="346">
        <f t="shared" si="21"/>
        <v>7.6124611499999988</v>
      </c>
      <c r="F27" s="346">
        <f t="shared" si="21"/>
        <v>7.0872013306499992</v>
      </c>
      <c r="G27" s="682">
        <f>G3*$W$3/1000*AH3</f>
        <v>6.5981844388351485</v>
      </c>
      <c r="H27" s="683">
        <f>H3*$W$3/1000*AI3</f>
        <v>5.8921787038797859</v>
      </c>
      <c r="I27" s="683">
        <f t="shared" si="21"/>
        <v>5.2617155825646487</v>
      </c>
      <c r="J27" s="683">
        <f t="shared" si="21"/>
        <v>4.6987120152302317</v>
      </c>
      <c r="K27" s="683">
        <f t="shared" si="21"/>
        <v>4.195949829600595</v>
      </c>
      <c r="L27" s="683">
        <f t="shared" si="21"/>
        <v>3.7469831978333312</v>
      </c>
      <c r="M27" s="683">
        <f t="shared" si="21"/>
        <v>3.3460559956651648</v>
      </c>
      <c r="N27" s="683">
        <f t="shared" si="21"/>
        <v>2.9880280041289917</v>
      </c>
      <c r="O27" s="683">
        <f t="shared" si="21"/>
        <v>2.6683090076871898</v>
      </c>
      <c r="P27" s="683">
        <f t="shared" si="21"/>
        <v>2.3827999438646605</v>
      </c>
      <c r="Q27" s="684">
        <f>Q3*$W$3/1000*AR3</f>
        <v>2.1278403498711418</v>
      </c>
      <c r="R27" s="346">
        <f t="shared" si="21"/>
        <v>1.9001614324349292</v>
      </c>
      <c r="S27" s="346">
        <f t="shared" si="21"/>
        <v>1.6968441591643915</v>
      </c>
      <c r="T27" s="346">
        <f t="shared" si="21"/>
        <v>1.5152818341338015</v>
      </c>
      <c r="U27" s="346">
        <f t="shared" si="21"/>
        <v>1.3531466778814845</v>
      </c>
      <c r="V27" s="346">
        <f>V3*$W$3/1000*AW3</f>
        <v>1.2083599833481655</v>
      </c>
    </row>
    <row r="28" spans="1:28" x14ac:dyDescent="0.15">
      <c r="A28" s="351" t="s">
        <v>19</v>
      </c>
      <c r="B28" s="346">
        <f>B4*$W$4/1000</f>
        <v>30.294</v>
      </c>
      <c r="C28" s="346">
        <f t="shared" ref="C28:V28" si="22">C4*$W$4/1000*AD3</f>
        <v>29.312249999999999</v>
      </c>
      <c r="D28" s="346">
        <f t="shared" si="22"/>
        <v>28.521707500000002</v>
      </c>
      <c r="E28" s="346">
        <f t="shared" si="22"/>
        <v>26.553709682499999</v>
      </c>
      <c r="F28" s="346">
        <f t="shared" si="22"/>
        <v>24.7215037144075</v>
      </c>
      <c r="G28" s="682">
        <f>G4*$W$4/1000*AH3</f>
        <v>23.01571995811338</v>
      </c>
      <c r="H28" s="683">
        <f t="shared" si="22"/>
        <v>20.553037922595248</v>
      </c>
      <c r="I28" s="683">
        <f t="shared" si="22"/>
        <v>18.353862864877552</v>
      </c>
      <c r="J28" s="683">
        <f t="shared" si="22"/>
        <v>16.389999538335655</v>
      </c>
      <c r="K28" s="683">
        <f t="shared" si="22"/>
        <v>14.636269587733738</v>
      </c>
      <c r="L28" s="683">
        <f t="shared" si="22"/>
        <v>13.070188741846225</v>
      </c>
      <c r="M28" s="683">
        <f t="shared" si="22"/>
        <v>11.671678546468678</v>
      </c>
      <c r="N28" s="683">
        <f t="shared" si="22"/>
        <v>10.422808941996527</v>
      </c>
      <c r="O28" s="683">
        <f t="shared" si="22"/>
        <v>9.3075683852028988</v>
      </c>
      <c r="P28" s="683">
        <f t="shared" si="22"/>
        <v>8.3116585679861874</v>
      </c>
      <c r="Q28" s="684">
        <f t="shared" si="22"/>
        <v>7.4223111012116645</v>
      </c>
      <c r="R28" s="346">
        <f t="shared" si="22"/>
        <v>6.6281238133820164</v>
      </c>
      <c r="S28" s="346">
        <f t="shared" si="22"/>
        <v>5.9189145653501409</v>
      </c>
      <c r="T28" s="346">
        <f t="shared" si="22"/>
        <v>5.2855907068576764</v>
      </c>
      <c r="U28" s="346">
        <f t="shared" si="22"/>
        <v>4.7200325012239048</v>
      </c>
      <c r="V28" s="346">
        <f t="shared" si="22"/>
        <v>4.2149890235929481</v>
      </c>
    </row>
    <row r="29" spans="1:28" x14ac:dyDescent="0.15">
      <c r="A29" s="351" t="s">
        <v>20</v>
      </c>
      <c r="B29" s="346">
        <f>B5*$W$5/1000</f>
        <v>15.074999999999999</v>
      </c>
      <c r="C29" s="346">
        <f>C5*$W$5/1000*AD3</f>
        <v>15.31875</v>
      </c>
      <c r="D29" s="346">
        <f>D5*$W$5/1000*AE3</f>
        <v>16.651125</v>
      </c>
      <c r="E29" s="346">
        <f t="shared" ref="E29:V29" si="23">E5*$W$5/1000</f>
        <v>21.3</v>
      </c>
      <c r="F29" s="346">
        <f t="shared" si="23"/>
        <v>24.9</v>
      </c>
      <c r="G29" s="682">
        <f t="shared" si="23"/>
        <v>28.8</v>
      </c>
      <c r="H29" s="683">
        <f t="shared" si="23"/>
        <v>33.225000000000001</v>
      </c>
      <c r="I29" s="683">
        <f t="shared" si="23"/>
        <v>38.329882812500003</v>
      </c>
      <c r="J29" s="683">
        <f t="shared" si="23"/>
        <v>44.219109598795569</v>
      </c>
      <c r="K29" s="683">
        <f t="shared" si="23"/>
        <v>51.013191542360509</v>
      </c>
      <c r="L29" s="683">
        <f t="shared" si="23"/>
        <v>58.851155867879442</v>
      </c>
      <c r="M29" s="683">
        <f t="shared" si="23"/>
        <v>49.434970929018725</v>
      </c>
      <c r="N29" s="683">
        <f t="shared" si="23"/>
        <v>41.525375580375716</v>
      </c>
      <c r="O29" s="683">
        <f t="shared" si="23"/>
        <v>34.881315487515586</v>
      </c>
      <c r="P29" s="683">
        <f t="shared" si="23"/>
        <v>29.300305009513089</v>
      </c>
      <c r="Q29" s="684">
        <f t="shared" si="23"/>
        <v>24.612256207990988</v>
      </c>
      <c r="R29" s="346">
        <f t="shared" si="23"/>
        <v>20.674295214712423</v>
      </c>
      <c r="S29" s="346">
        <f t="shared" si="23"/>
        <v>17.366407980358435</v>
      </c>
      <c r="T29" s="346">
        <f t="shared" si="23"/>
        <v>14.587782703501084</v>
      </c>
      <c r="U29" s="346">
        <f t="shared" si="23"/>
        <v>12.253737470940909</v>
      </c>
      <c r="V29" s="346">
        <f t="shared" si="23"/>
        <v>10.29313947559036</v>
      </c>
    </row>
    <row r="30" spans="1:28" x14ac:dyDescent="0.15">
      <c r="A30" s="351" t="s">
        <v>21</v>
      </c>
      <c r="B30" s="346">
        <f>B6*$W$6/1000</f>
        <v>10.5</v>
      </c>
      <c r="C30" s="346">
        <f t="shared" ref="C30:V30" si="24">C6*$W$6/1000*AD3</f>
        <v>13.11</v>
      </c>
      <c r="D30" s="346">
        <f t="shared" si="24"/>
        <v>18.952500000000001</v>
      </c>
      <c r="E30" s="346">
        <f t="shared" si="24"/>
        <v>23.149124999999998</v>
      </c>
      <c r="F30" s="346">
        <f t="shared" si="24"/>
        <v>28.711345312499997</v>
      </c>
      <c r="G30" s="682">
        <f>G6*$W$6/1000*AH3</f>
        <v>32.266665093749999</v>
      </c>
      <c r="H30" s="683">
        <f>H6*$W$6/1000*AI3</f>
        <v>34.331731659749998</v>
      </c>
      <c r="I30" s="683">
        <f t="shared" si="24"/>
        <v>36.528962485973992</v>
      </c>
      <c r="J30" s="683">
        <f t="shared" si="24"/>
        <v>38.86681608507633</v>
      </c>
      <c r="K30" s="683">
        <f t="shared" si="24"/>
        <v>41.354292314521217</v>
      </c>
      <c r="L30" s="683">
        <f t="shared" si="24"/>
        <v>44.000967022650563</v>
      </c>
      <c r="M30" s="683">
        <f t="shared" si="24"/>
        <v>46.817028912100206</v>
      </c>
      <c r="N30" s="683">
        <f t="shared" si="24"/>
        <v>49.813318762474616</v>
      </c>
      <c r="O30" s="683">
        <f t="shared" si="24"/>
        <v>53.001371163272999</v>
      </c>
      <c r="P30" s="683">
        <f t="shared" si="24"/>
        <v>56.393458917722477</v>
      </c>
      <c r="Q30" s="684">
        <f>Q6*$W$6/1000*AR3</f>
        <v>60.002640288456718</v>
      </c>
      <c r="R30" s="346">
        <f t="shared" si="24"/>
        <v>63.842809266917939</v>
      </c>
      <c r="S30" s="346">
        <f t="shared" si="24"/>
        <v>67.928749060000683</v>
      </c>
      <c r="T30" s="346">
        <f t="shared" si="24"/>
        <v>72.276188999840741</v>
      </c>
      <c r="U30" s="346">
        <f t="shared" si="24"/>
        <v>76.901865095830544</v>
      </c>
      <c r="V30" s="346">
        <f t="shared" si="24"/>
        <v>81.823584461963705</v>
      </c>
    </row>
    <row r="31" spans="1:28" x14ac:dyDescent="0.15">
      <c r="A31" s="351" t="s">
        <v>22</v>
      </c>
      <c r="B31" s="346">
        <f>B7*$W$7/1000</f>
        <v>3.9</v>
      </c>
      <c r="C31" s="346">
        <f t="shared" ref="C31:V31" si="25">C7*$W$7/1000*AD3</f>
        <v>7.4099999999999993</v>
      </c>
      <c r="D31" s="346">
        <f t="shared" si="25"/>
        <v>10.559249999999999</v>
      </c>
      <c r="E31" s="346">
        <f t="shared" si="25"/>
        <v>13.84317675</v>
      </c>
      <c r="F31" s="346">
        <f t="shared" si="25"/>
        <v>16.264060799999996</v>
      </c>
      <c r="G31" s="682">
        <f>G7*$W$7/1000*AH3</f>
        <v>19.373927113124996</v>
      </c>
      <c r="H31" s="683">
        <f t="shared" si="25"/>
        <v>21.166015371089056</v>
      </c>
      <c r="I31" s="683">
        <f t="shared" si="25"/>
        <v>23.123871792914791</v>
      </c>
      <c r="J31" s="683">
        <f t="shared" si="25"/>
        <v>25.262829933759402</v>
      </c>
      <c r="K31" s="683">
        <f t="shared" si="25"/>
        <v>27.599641702632141</v>
      </c>
      <c r="L31" s="683">
        <f t="shared" si="25"/>
        <v>26.199530987192972</v>
      </c>
      <c r="M31" s="683">
        <f t="shared" si="25"/>
        <v>24.889554437833318</v>
      </c>
      <c r="N31" s="683">
        <f t="shared" si="25"/>
        <v>23.645076715941652</v>
      </c>
      <c r="O31" s="683">
        <f t="shared" si="25"/>
        <v>22.462822880144568</v>
      </c>
      <c r="P31" s="683">
        <f t="shared" si="25"/>
        <v>21.339681736137337</v>
      </c>
      <c r="Q31" s="684">
        <f t="shared" si="25"/>
        <v>20.272697649330471</v>
      </c>
      <c r="R31" s="346">
        <f t="shared" si="25"/>
        <v>19.259062766863945</v>
      </c>
      <c r="S31" s="346">
        <f t="shared" si="25"/>
        <v>18.296109628520746</v>
      </c>
      <c r="T31" s="346">
        <f t="shared" si="25"/>
        <v>17.381304147094706</v>
      </c>
      <c r="U31" s="346">
        <f t="shared" si="25"/>
        <v>16.512238939739969</v>
      </c>
      <c r="V31" s="346">
        <f t="shared" si="25"/>
        <v>15.686626992752972</v>
      </c>
    </row>
    <row r="32" spans="1:28" x14ac:dyDescent="0.15">
      <c r="A32" s="351" t="s">
        <v>37</v>
      </c>
      <c r="B32" s="346">
        <f>B8*$W$8/1000</f>
        <v>12.5</v>
      </c>
      <c r="C32" s="346">
        <f t="shared" ref="C32:V32" si="26">C8*$W$8/1000*AD3</f>
        <v>11.969999999999999</v>
      </c>
      <c r="D32" s="346">
        <f t="shared" si="26"/>
        <v>9.4762500000000003</v>
      </c>
      <c r="E32" s="346">
        <f t="shared" si="26"/>
        <v>7.7678174999999996</v>
      </c>
      <c r="F32" s="346">
        <f t="shared" si="26"/>
        <v>4.8300220624999994</v>
      </c>
      <c r="G32" s="682">
        <f t="shared" si="26"/>
        <v>5.9116863624999985</v>
      </c>
      <c r="H32" s="683">
        <f t="shared" si="26"/>
        <v>5.3352969421562486</v>
      </c>
      <c r="I32" s="683">
        <f t="shared" si="26"/>
        <v>4.8151054902960126</v>
      </c>
      <c r="J32" s="683">
        <f t="shared" si="26"/>
        <v>4.345632704992151</v>
      </c>
      <c r="K32" s="683">
        <f t="shared" si="26"/>
        <v>3.9219335162554159</v>
      </c>
      <c r="L32" s="683">
        <f t="shared" si="26"/>
        <v>3.5395449984205118</v>
      </c>
      <c r="M32" s="683">
        <f t="shared" si="26"/>
        <v>3.1944393610745117</v>
      </c>
      <c r="N32" s="683">
        <f t="shared" si="26"/>
        <v>2.8829815233697467</v>
      </c>
      <c r="O32" s="683">
        <f t="shared" si="26"/>
        <v>2.6018908248411958</v>
      </c>
      <c r="P32" s="683">
        <f t="shared" si="26"/>
        <v>2.3482064694191793</v>
      </c>
      <c r="Q32" s="684">
        <f t="shared" si="26"/>
        <v>2.1192563386508092</v>
      </c>
      <c r="R32" s="346">
        <f t="shared" si="26"/>
        <v>1.9126288456323548</v>
      </c>
      <c r="S32" s="346">
        <f t="shared" si="26"/>
        <v>1.7261475331832001</v>
      </c>
      <c r="T32" s="346">
        <f t="shared" si="26"/>
        <v>1.5578481486978379</v>
      </c>
      <c r="U32" s="346">
        <f t="shared" si="26"/>
        <v>1.4059579541997982</v>
      </c>
      <c r="V32" s="346">
        <f t="shared" si="26"/>
        <v>1.2688770536653178</v>
      </c>
    </row>
    <row r="33" spans="1:27" x14ac:dyDescent="0.15">
      <c r="A33" s="351" t="s">
        <v>60</v>
      </c>
      <c r="B33" s="346">
        <f>B9*$W$9/1000</f>
        <v>0</v>
      </c>
      <c r="C33" s="346">
        <f t="shared" ref="C33:V33" si="27">C9*$W$9/1000*AD3</f>
        <v>0</v>
      </c>
      <c r="D33" s="346">
        <f t="shared" si="27"/>
        <v>0.45124999999999998</v>
      </c>
      <c r="E33" s="346">
        <f t="shared" si="27"/>
        <v>2.1434374999999997</v>
      </c>
      <c r="F33" s="346">
        <f t="shared" si="27"/>
        <v>4.072531249999999</v>
      </c>
      <c r="G33" s="682">
        <f t="shared" si="27"/>
        <v>5.5454300520833195</v>
      </c>
      <c r="H33" s="683">
        <f t="shared" si="27"/>
        <v>6.9221153033854028</v>
      </c>
      <c r="I33" s="683">
        <f t="shared" si="27"/>
        <v>8.1472684544270688</v>
      </c>
      <c r="J33" s="683">
        <f t="shared" si="27"/>
        <v>9.2326010021061045</v>
      </c>
      <c r="K33" s="683">
        <f t="shared" si="27"/>
        <v>10.189032123881168</v>
      </c>
      <c r="L33" s="683">
        <f t="shared" si="27"/>
        <v>11.026738630973462</v>
      </c>
      <c r="M33" s="683">
        <f t="shared" si="27"/>
        <v>12.151465971332753</v>
      </c>
      <c r="N33" s="683">
        <f t="shared" si="27"/>
        <v>13.39091550040869</v>
      </c>
      <c r="O33" s="683">
        <f t="shared" si="27"/>
        <v>14.756788881450374</v>
      </c>
      <c r="P33" s="683">
        <f t="shared" si="27"/>
        <v>16.261981347358311</v>
      </c>
      <c r="Q33" s="684">
        <f t="shared" si="27"/>
        <v>17.92070344478886</v>
      </c>
      <c r="R33" s="346">
        <f t="shared" si="27"/>
        <v>19.748615196157317</v>
      </c>
      <c r="S33" s="346">
        <f t="shared" si="27"/>
        <v>21.76297394616536</v>
      </c>
      <c r="T33" s="346">
        <f t="shared" si="27"/>
        <v>23.98279728867422</v>
      </c>
      <c r="U33" s="346">
        <f t="shared" si="27"/>
        <v>26.429042612118987</v>
      </c>
      <c r="V33" s="346">
        <f t="shared" si="27"/>
        <v>29.124804958555121</v>
      </c>
    </row>
    <row r="34" spans="1:27" x14ac:dyDescent="0.15">
      <c r="A34" s="660" t="s">
        <v>89</v>
      </c>
      <c r="B34" s="346">
        <f>B10*$W$10/1000</f>
        <v>0.5</v>
      </c>
      <c r="C34" s="346">
        <f t="shared" ref="C34:V34" si="28">C10*$W$10/1000*AD3</f>
        <v>0.53200000000000014</v>
      </c>
      <c r="D34" s="346">
        <f t="shared" si="28"/>
        <v>0.56604800000000022</v>
      </c>
      <c r="E34" s="346">
        <f t="shared" si="28"/>
        <v>0.60227507200000008</v>
      </c>
      <c r="F34" s="346">
        <f t="shared" si="28"/>
        <v>0.64082067660800002</v>
      </c>
      <c r="G34" s="685">
        <f>G10*$W$10/1000*AH3</f>
        <v>0.68183319991091218</v>
      </c>
      <c r="H34" s="686">
        <f t="shared" si="28"/>
        <v>0.72547052470521045</v>
      </c>
      <c r="I34" s="686">
        <f t="shared" si="28"/>
        <v>0.77190063828634403</v>
      </c>
      <c r="J34" s="686">
        <f t="shared" si="28"/>
        <v>0.82130227913666998</v>
      </c>
      <c r="K34" s="686">
        <f t="shared" si="28"/>
        <v>0.87386562500141696</v>
      </c>
      <c r="L34" s="686">
        <f t="shared" si="28"/>
        <v>0.92149130156399406</v>
      </c>
      <c r="M34" s="686">
        <f t="shared" si="28"/>
        <v>0.97171257749923179</v>
      </c>
      <c r="N34" s="686">
        <f t="shared" si="28"/>
        <v>1.0246709129729399</v>
      </c>
      <c r="O34" s="686">
        <f t="shared" si="28"/>
        <v>1.0805154777299653</v>
      </c>
      <c r="P34" s="686">
        <f t="shared" si="28"/>
        <v>1.1394035712662485</v>
      </c>
      <c r="Q34" s="687">
        <f t="shared" si="28"/>
        <v>1.201501065900259</v>
      </c>
      <c r="R34" s="347">
        <f t="shared" si="28"/>
        <v>1.2669828739918232</v>
      </c>
      <c r="S34" s="347">
        <f t="shared" si="28"/>
        <v>1.3360334406243779</v>
      </c>
      <c r="T34" s="347">
        <f t="shared" si="28"/>
        <v>1.4088472631384066</v>
      </c>
      <c r="U34" s="347">
        <f t="shared" si="28"/>
        <v>1.4856294389794495</v>
      </c>
      <c r="V34" s="347">
        <f t="shared" si="28"/>
        <v>1.5665962434038296</v>
      </c>
    </row>
    <row r="35" spans="1:27" x14ac:dyDescent="0.15">
      <c r="A35" s="660" t="s">
        <v>278</v>
      </c>
      <c r="B35" s="346"/>
      <c r="C35" s="346"/>
      <c r="D35" s="346"/>
      <c r="E35" s="346"/>
      <c r="F35" s="346"/>
      <c r="G35" s="685">
        <f>G11*$W$11/1000*1</f>
        <v>6.6666666666666666E-2</v>
      </c>
      <c r="H35" s="686">
        <f>H11*$W$11/1000*AD4</f>
        <v>0.20175999999999999</v>
      </c>
      <c r="I35" s="686">
        <f t="shared" ref="I35:U35" si="29">I11*$W$11/1000*AE4</f>
        <v>0.28791539999999999</v>
      </c>
      <c r="J35" s="686">
        <f t="shared" si="29"/>
        <v>0.43078165599999996</v>
      </c>
      <c r="K35" s="686">
        <f t="shared" si="29"/>
        <v>0.79499294337999993</v>
      </c>
      <c r="L35" s="686">
        <f t="shared" si="29"/>
        <v>1.2674914219331999</v>
      </c>
      <c r="M35" s="686">
        <f t="shared" si="29"/>
        <v>2.0491111321253399</v>
      </c>
      <c r="N35" s="686">
        <f t="shared" si="29"/>
        <v>3.4549346442841116</v>
      </c>
      <c r="O35" s="686">
        <f t="shared" si="29"/>
        <v>5.6523571082646633</v>
      </c>
      <c r="P35" s="686">
        <f t="shared" si="29"/>
        <v>9.2793803019376213</v>
      </c>
      <c r="Q35" s="687">
        <f>Q11*$W$11/1000*AM4</f>
        <v>15.360544563221351</v>
      </c>
      <c r="R35" s="347">
        <f t="shared" si="29"/>
        <v>16.199911129199513</v>
      </c>
      <c r="S35" s="347">
        <f t="shared" si="29"/>
        <v>26.692282529288363</v>
      </c>
      <c r="T35" s="347">
        <f t="shared" si="29"/>
        <v>43.980361431683868</v>
      </c>
      <c r="U35" s="347">
        <f t="shared" si="29"/>
        <v>72.465597108046026</v>
      </c>
      <c r="V35" s="347">
        <f>V11*$W$11/1000*AR4</f>
        <v>119.40017301546294</v>
      </c>
    </row>
    <row r="36" spans="1:27" x14ac:dyDescent="0.15">
      <c r="A36" s="660" t="s">
        <v>280</v>
      </c>
      <c r="B36" s="346"/>
      <c r="C36" s="346"/>
      <c r="D36" s="346"/>
      <c r="E36" s="346"/>
      <c r="F36" s="346"/>
      <c r="G36" s="685">
        <f>G12*$W$12/1000*1</f>
        <v>0.1</v>
      </c>
      <c r="H36" s="686">
        <f>H12*$W$12/1000*AD4</f>
        <v>0.16304180883</v>
      </c>
      <c r="I36" s="686">
        <f t="shared" ref="I36:V36" si="30">I12*$W$12/1000*AE4</f>
        <v>0.26582631426558267</v>
      </c>
      <c r="J36" s="686">
        <f t="shared" si="30"/>
        <v>0.43340803112472626</v>
      </c>
      <c r="K36" s="686">
        <f t="shared" si="30"/>
        <v>0.70663629356024305</v>
      </c>
      <c r="L36" s="686">
        <f t="shared" si="30"/>
        <v>1.1521125948698889</v>
      </c>
      <c r="M36" s="686">
        <f t="shared" si="30"/>
        <v>1.8784252144341165</v>
      </c>
      <c r="N36" s="686">
        <f t="shared" si="30"/>
        <v>3.0626184471321891</v>
      </c>
      <c r="O36" s="686">
        <f t="shared" si="30"/>
        <v>4.9933485137655795</v>
      </c>
      <c r="P36" s="686">
        <f t="shared" si="30"/>
        <v>8.1412457380293191</v>
      </c>
      <c r="Q36" s="687">
        <f>Q12*$W$12/1000*AM4</f>
        <v>13.273634312578286</v>
      </c>
      <c r="R36" s="347">
        <f>R12*$W$12/1000*AN4</f>
        <v>21.641573480707169</v>
      </c>
      <c r="S36" s="347">
        <f t="shared" si="30"/>
        <v>35.284812862218565</v>
      </c>
      <c r="T36" s="347">
        <f t="shared" si="30"/>
        <v>57.528997132841639</v>
      </c>
      <c r="U36" s="347">
        <f t="shared" si="30"/>
        <v>93.796317527143856</v>
      </c>
      <c r="V36" s="347">
        <f t="shared" si="30"/>
        <v>152.92721271218568</v>
      </c>
    </row>
    <row r="37" spans="1:27" x14ac:dyDescent="0.15">
      <c r="A37" s="660" t="s">
        <v>279</v>
      </c>
      <c r="B37" s="346"/>
      <c r="C37" s="346"/>
      <c r="D37" s="346"/>
      <c r="E37" s="346"/>
      <c r="F37" s="346"/>
      <c r="G37" s="685">
        <f>G13*$W$13/1000</f>
        <v>1.6750000000000001E-2</v>
      </c>
      <c r="H37" s="686">
        <f>H13*$W$13/1000*AD4</f>
        <v>2.8404256052060005E-2</v>
      </c>
      <c r="I37" s="686">
        <f t="shared" ref="I37:U37" si="31">I13*$W$13/1000*AE4</f>
        <v>4.8167269365432079E-2</v>
      </c>
      <c r="J37" s="686">
        <f t="shared" si="31"/>
        <v>8.1680922530404682E-2</v>
      </c>
      <c r="K37" s="686">
        <f t="shared" si="31"/>
        <v>0.13851258735057259</v>
      </c>
      <c r="L37" s="686">
        <f t="shared" si="31"/>
        <v>0.23488638791277561</v>
      </c>
      <c r="M37" s="686">
        <f t="shared" si="31"/>
        <v>0.39831481226375931</v>
      </c>
      <c r="N37" s="686">
        <f t="shared" si="31"/>
        <v>0.67545289055928526</v>
      </c>
      <c r="O37" s="686">
        <f t="shared" si="31"/>
        <v>1.1454171256447758</v>
      </c>
      <c r="P37" s="686">
        <f t="shared" si="31"/>
        <v>1.9423714222823161</v>
      </c>
      <c r="Q37" s="687">
        <f>Q13*$W$13/1000*AM4</f>
        <v>3.293827774729007</v>
      </c>
      <c r="R37" s="347">
        <f t="shared" si="31"/>
        <v>5.5855956719277442</v>
      </c>
      <c r="S37" s="347">
        <f t="shared" si="31"/>
        <v>9.4719217712664925</v>
      </c>
      <c r="T37" s="347">
        <f t="shared" si="31"/>
        <v>16.062262166933444</v>
      </c>
      <c r="U37" s="347">
        <f t="shared" si="31"/>
        <v>27.238006409844395</v>
      </c>
      <c r="V37" s="347">
        <f>V13*$W$13/1000*AR4</f>
        <v>46.189570651514728</v>
      </c>
    </row>
    <row r="38" spans="1:27" x14ac:dyDescent="0.15">
      <c r="A38" s="351" t="s">
        <v>23</v>
      </c>
      <c r="B38" s="346">
        <f>B16*$W$16/1000</f>
        <v>62.5</v>
      </c>
      <c r="C38" s="346">
        <f>C16*$W$16/1000*AD3</f>
        <v>60.265624999999993</v>
      </c>
      <c r="D38" s="346">
        <f t="shared" ref="D38:V38" si="32">D16*$W$16/1000*AE3</f>
        <v>58.111128906249981</v>
      </c>
      <c r="E38" s="346">
        <f t="shared" si="32"/>
        <v>56.03365604785153</v>
      </c>
      <c r="F38" s="346">
        <f t="shared" si="32"/>
        <v>54.030452844140818</v>
      </c>
      <c r="G38" s="682">
        <f t="shared" si="32"/>
        <v>52.09886415496279</v>
      </c>
      <c r="H38" s="683">
        <f t="shared" si="32"/>
        <v>50.236329761422859</v>
      </c>
      <c r="I38" s="683">
        <f t="shared" si="32"/>
        <v>48.440380972451983</v>
      </c>
      <c r="J38" s="683">
        <f t="shared" si="32"/>
        <v>46.708637352686814</v>
      </c>
      <c r="K38" s="683">
        <f t="shared" si="32"/>
        <v>45.038803567328259</v>
      </c>
      <c r="L38" s="683">
        <f t="shared" si="32"/>
        <v>43.428666339796258</v>
      </c>
      <c r="M38" s="683">
        <f t="shared" si="32"/>
        <v>41.876091518148542</v>
      </c>
      <c r="N38" s="683">
        <f t="shared" si="32"/>
        <v>40.37902124637472</v>
      </c>
      <c r="O38" s="683">
        <f t="shared" si="32"/>
        <v>38.935471236816824</v>
      </c>
      <c r="P38" s="683">
        <f t="shared" si="32"/>
        <v>37.543528140100619</v>
      </c>
      <c r="Q38" s="684">
        <f t="shared" si="32"/>
        <v>36.201347009092011</v>
      </c>
      <c r="R38" s="346">
        <f t="shared" si="32"/>
        <v>34.907148853516965</v>
      </c>
      <c r="S38" s="346">
        <f t="shared" si="32"/>
        <v>33.659218282003728</v>
      </c>
      <c r="T38" s="346">
        <f t="shared" si="32"/>
        <v>32.455901228422093</v>
      </c>
      <c r="U38" s="346">
        <f t="shared" si="32"/>
        <v>31.295602759506</v>
      </c>
      <c r="V38" s="346">
        <f t="shared" si="32"/>
        <v>30.176784960853656</v>
      </c>
      <c r="AA38" s="351">
        <f>840*0.1/0.9*0.95^15</f>
        <v>43.240514814910306</v>
      </c>
    </row>
    <row r="39" spans="1:27" x14ac:dyDescent="0.15">
      <c r="A39" s="351" t="s">
        <v>24</v>
      </c>
      <c r="B39" s="346">
        <f>B17*$W$17/1000</f>
        <v>3.895</v>
      </c>
      <c r="C39" s="346">
        <f>C17*$W$17/1000*AD3</f>
        <v>3.7557537499999998</v>
      </c>
      <c r="D39" s="346">
        <f t="shared" ref="D39:V39" si="33">D17*$W$17/1000*AE3</f>
        <v>3.6214855534374988</v>
      </c>
      <c r="E39" s="346">
        <f t="shared" si="33"/>
        <v>3.4920174449021073</v>
      </c>
      <c r="F39" s="346">
        <f t="shared" si="33"/>
        <v>3.3671778212468562</v>
      </c>
      <c r="G39" s="682">
        <f t="shared" si="33"/>
        <v>3.2468012141372804</v>
      </c>
      <c r="H39" s="683">
        <f t="shared" si="33"/>
        <v>3.1307280707318728</v>
      </c>
      <c r="I39" s="683">
        <f t="shared" si="33"/>
        <v>3.018804542203207</v>
      </c>
      <c r="J39" s="683">
        <f t="shared" si="33"/>
        <v>2.9108822798194423</v>
      </c>
      <c r="K39" s="683">
        <f t="shared" si="33"/>
        <v>2.8068182383158971</v>
      </c>
      <c r="L39" s="683">
        <f t="shared" si="33"/>
        <v>2.7064744862961025</v>
      </c>
      <c r="M39" s="683">
        <f t="shared" si="33"/>
        <v>2.6097180234110176</v>
      </c>
      <c r="N39" s="683">
        <f t="shared" si="33"/>
        <v>2.5164206040740726</v>
      </c>
      <c r="O39" s="683">
        <f t="shared" si="33"/>
        <v>2.4264585674784245</v>
      </c>
      <c r="P39" s="683">
        <f t="shared" si="33"/>
        <v>2.3397126736910705</v>
      </c>
      <c r="Q39" s="684">
        <f t="shared" si="33"/>
        <v>2.2560679456066142</v>
      </c>
      <c r="R39" s="346">
        <f t="shared" si="33"/>
        <v>2.1754135165511772</v>
      </c>
      <c r="S39" s="346">
        <f t="shared" si="33"/>
        <v>2.0976424833344725</v>
      </c>
      <c r="T39" s="346">
        <f t="shared" si="33"/>
        <v>2.0226517645552651</v>
      </c>
      <c r="U39" s="346">
        <f t="shared" si="33"/>
        <v>1.950341963972414</v>
      </c>
      <c r="V39" s="346">
        <f t="shared" si="33"/>
        <v>1.8806172387603999</v>
      </c>
    </row>
    <row r="40" spans="1:27" x14ac:dyDescent="0.15">
      <c r="A40" s="351" t="s">
        <v>25</v>
      </c>
      <c r="B40" s="346">
        <f>B18*$W$18/1000</f>
        <v>7.5</v>
      </c>
      <c r="C40" s="346">
        <f>C18*$W$18/1000*AD3</f>
        <v>7.2318749999999996</v>
      </c>
      <c r="D40" s="346">
        <f t="shared" ref="D40:V40" si="34">D18*$W$18/1000*AE3</f>
        <v>6.9733354687499975</v>
      </c>
      <c r="E40" s="346">
        <f t="shared" si="34"/>
        <v>6.724038725742183</v>
      </c>
      <c r="F40" s="346">
        <f t="shared" si="34"/>
        <v>6.4836543412968997</v>
      </c>
      <c r="G40" s="682">
        <f t="shared" si="34"/>
        <v>6.2518636985955345</v>
      </c>
      <c r="H40" s="683">
        <f t="shared" si="34"/>
        <v>6.0283595713707445</v>
      </c>
      <c r="I40" s="683">
        <f t="shared" si="34"/>
        <v>5.8128457166942376</v>
      </c>
      <c r="J40" s="683">
        <f t="shared" si="34"/>
        <v>5.6050364823224177</v>
      </c>
      <c r="K40" s="683">
        <f t="shared" si="34"/>
        <v>5.4046564280793907</v>
      </c>
      <c r="L40" s="683">
        <f t="shared" si="34"/>
        <v>5.2114399607755511</v>
      </c>
      <c r="M40" s="683">
        <f t="shared" si="34"/>
        <v>5.0251309821778252</v>
      </c>
      <c r="N40" s="683">
        <f t="shared" si="34"/>
        <v>4.8454825495649674</v>
      </c>
      <c r="O40" s="683">
        <f t="shared" si="34"/>
        <v>4.6722565484180185</v>
      </c>
      <c r="P40" s="683">
        <f t="shared" si="34"/>
        <v>4.5052233768120749</v>
      </c>
      <c r="Q40" s="684">
        <f t="shared" si="34"/>
        <v>4.3441616410910413</v>
      </c>
      <c r="R40" s="346">
        <f t="shared" si="34"/>
        <v>4.1888578624220356</v>
      </c>
      <c r="S40" s="346">
        <f t="shared" si="34"/>
        <v>4.039106193840448</v>
      </c>
      <c r="T40" s="346">
        <f t="shared" si="34"/>
        <v>3.8947081474106517</v>
      </c>
      <c r="U40" s="346">
        <f t="shared" si="34"/>
        <v>3.7554723311407203</v>
      </c>
      <c r="V40" s="346">
        <f t="shared" si="34"/>
        <v>3.6212141953024393</v>
      </c>
    </row>
    <row r="41" spans="1:27" x14ac:dyDescent="0.15">
      <c r="A41" s="351" t="s">
        <v>26</v>
      </c>
      <c r="B41" s="346">
        <f>B19*$W$19/1000</f>
        <v>7.5</v>
      </c>
      <c r="C41" s="346">
        <f>C19*$W$19/1000*AD3</f>
        <v>7.2318749999999978</v>
      </c>
      <c r="D41" s="346">
        <f t="shared" ref="D41:V41" si="35">D19*$W$19/1000*AE3</f>
        <v>6.9733354687499967</v>
      </c>
      <c r="E41" s="346">
        <f t="shared" si="35"/>
        <v>6.724038725742183</v>
      </c>
      <c r="F41" s="346">
        <f t="shared" si="35"/>
        <v>6.4836543412968979</v>
      </c>
      <c r="G41" s="682">
        <f t="shared" si="35"/>
        <v>6.2518636985955345</v>
      </c>
      <c r="H41" s="683">
        <f t="shared" si="35"/>
        <v>6.0283595713707427</v>
      </c>
      <c r="I41" s="683">
        <f t="shared" si="35"/>
        <v>5.8128457166942358</v>
      </c>
      <c r="J41" s="683">
        <f t="shared" si="35"/>
        <v>5.6050364823224177</v>
      </c>
      <c r="K41" s="683">
        <f t="shared" si="35"/>
        <v>5.4046564280793907</v>
      </c>
      <c r="L41" s="683">
        <f t="shared" si="35"/>
        <v>5.2114399607755511</v>
      </c>
      <c r="M41" s="683">
        <f t="shared" si="35"/>
        <v>5.0251309821778243</v>
      </c>
      <c r="N41" s="683">
        <f t="shared" si="35"/>
        <v>4.8454825495649665</v>
      </c>
      <c r="O41" s="683">
        <f t="shared" si="35"/>
        <v>4.6722565484180185</v>
      </c>
      <c r="P41" s="683">
        <f t="shared" si="35"/>
        <v>4.505223376812074</v>
      </c>
      <c r="Q41" s="684">
        <f t="shared" si="35"/>
        <v>4.3441616410910413</v>
      </c>
      <c r="R41" s="346">
        <f t="shared" si="35"/>
        <v>4.1888578624220347</v>
      </c>
      <c r="S41" s="346">
        <f t="shared" si="35"/>
        <v>4.039106193840448</v>
      </c>
      <c r="T41" s="346">
        <f t="shared" si="35"/>
        <v>3.8947081474106513</v>
      </c>
      <c r="U41" s="346">
        <f t="shared" si="35"/>
        <v>3.7554723311407203</v>
      </c>
      <c r="V41" s="346">
        <f t="shared" si="35"/>
        <v>3.6212141953024379</v>
      </c>
    </row>
    <row r="42" spans="1:27" x14ac:dyDescent="0.15">
      <c r="A42" s="351" t="s">
        <v>27</v>
      </c>
      <c r="B42" s="346">
        <f>B20*$W$20/1000</f>
        <v>17.5</v>
      </c>
      <c r="C42" s="346">
        <f>C20*$W$20/1000*AD3</f>
        <v>16.874374999999993</v>
      </c>
      <c r="D42" s="346">
        <f t="shared" ref="D42:U42" si="36">D20*$W$20/1000*AE3</f>
        <v>16.271116093749995</v>
      </c>
      <c r="E42" s="346">
        <f t="shared" si="36"/>
        <v>15.689423693398426</v>
      </c>
      <c r="F42" s="346">
        <f t="shared" si="36"/>
        <v>15.128526796359429</v>
      </c>
      <c r="G42" s="682">
        <f t="shared" si="36"/>
        <v>14.58768196338958</v>
      </c>
      <c r="H42" s="683">
        <f t="shared" si="36"/>
        <v>14.066172333198399</v>
      </c>
      <c r="I42" s="683">
        <f t="shared" si="36"/>
        <v>13.563306672286554</v>
      </c>
      <c r="J42" s="683">
        <f t="shared" si="36"/>
        <v>13.078418458752306</v>
      </c>
      <c r="K42" s="683">
        <f t="shared" si="36"/>
        <v>12.610864998851913</v>
      </c>
      <c r="L42" s="683">
        <f t="shared" si="36"/>
        <v>12.160026575142954</v>
      </c>
      <c r="M42" s="683">
        <f t="shared" si="36"/>
        <v>11.725305625081589</v>
      </c>
      <c r="N42" s="683">
        <f t="shared" si="36"/>
        <v>11.306125948984921</v>
      </c>
      <c r="O42" s="683">
        <f t="shared" si="36"/>
        <v>10.901931946308709</v>
      </c>
      <c r="P42" s="683">
        <f t="shared" si="36"/>
        <v>10.512187879228172</v>
      </c>
      <c r="Q42" s="684">
        <f t="shared" si="36"/>
        <v>10.136377162545763</v>
      </c>
      <c r="R42" s="346">
        <f t="shared" si="36"/>
        <v>9.7740016789847495</v>
      </c>
      <c r="S42" s="346">
        <f t="shared" si="36"/>
        <v>9.4245811189610453</v>
      </c>
      <c r="T42" s="346">
        <f t="shared" si="36"/>
        <v>9.0876523439581849</v>
      </c>
      <c r="U42" s="346">
        <f t="shared" si="36"/>
        <v>8.7627687726616799</v>
      </c>
      <c r="V42" s="346">
        <f>V20*$W$20/1000*AW3</f>
        <v>8.4494997890390238</v>
      </c>
    </row>
    <row r="43" spans="1:27" x14ac:dyDescent="0.15">
      <c r="A43" s="351" t="s">
        <v>28</v>
      </c>
      <c r="B43" s="346">
        <f>'WANFANWIFI old'!G106*0.1/0.9</f>
        <v>37.643864052287576</v>
      </c>
      <c r="C43" s="346">
        <f>'WANFANWIFI old'!H106*0.1/0.9*AD3</f>
        <v>36.97635201633333</v>
      </c>
      <c r="D43" s="346">
        <f>'WANFANWIFI old'!I106*0.1/0.9*AE3</f>
        <v>36.465056648795453</v>
      </c>
      <c r="E43" s="346">
        <f>'WANFANWIFI old'!J106*0.1/0.9*AF3</f>
        <v>32.274012292579364</v>
      </c>
      <c r="F43" s="346">
        <f>'WANFANWIFI old'!K106*0.1/0.9*AG3</f>
        <v>28.819292447019379</v>
      </c>
      <c r="G43" s="682">
        <f>'WANFANWIFI old'!L130*0.1/0.9*AH3</f>
        <v>30.587034317233648</v>
      </c>
      <c r="H43" s="682">
        <f>'WANFANWIFI old'!M130*0.1/0.9*AI3</f>
        <v>28.274597076336466</v>
      </c>
      <c r="I43" s="682">
        <f>'WANFANWIFI old'!N130*0.1/0.9*AJ3</f>
        <v>25.780454650130931</v>
      </c>
      <c r="J43" s="682">
        <f>'WANFANWIFI old'!O130*0.1/0.9*AK3</f>
        <v>24.046741900755837</v>
      </c>
      <c r="K43" s="682">
        <f>'WANFANWIFI old'!P130*0.1/0.9*AL3</f>
        <v>22.513375864262297</v>
      </c>
      <c r="L43" s="682">
        <f>'WANFANWIFI old'!Q130*0.1/0.9*AM3</f>
        <v>21.273017156223307</v>
      </c>
      <c r="M43" s="682">
        <f>'WANFANWIFI old'!R130*0.1/0.9*AN3</f>
        <v>20.328442462808791</v>
      </c>
      <c r="N43" s="682">
        <f>'WANFANWIFI old'!S130*0.1/0.9*AO3</f>
        <v>22.858132708673669</v>
      </c>
      <c r="O43" s="682">
        <f>'WANFANWIFI old'!T130*0.1/0.9*AP3</f>
        <v>26.058322539992506</v>
      </c>
      <c r="P43" s="682">
        <f>'WANFANWIFI old'!U130*0.1/0.9*AQ3</f>
        <v>29.731719074092897</v>
      </c>
      <c r="Q43" s="682">
        <f>'WANFANWIFI old'!V130*0.1/0.9*AR3</f>
        <v>34.07543341997831</v>
      </c>
      <c r="R43" s="346">
        <f>'WANFANWIFI old'!W106*0.1/0.9*AS3</f>
        <v>1.4078301816772891</v>
      </c>
      <c r="S43" s="346" t="e">
        <f>'WANFANWIFI old'!X106*0.1/0.9*AT3</f>
        <v>#DIV/0!</v>
      </c>
      <c r="T43" s="346" t="e">
        <f>'WANFANWIFI old'!Y106*0.1/0.9*AU3</f>
        <v>#DIV/0!</v>
      </c>
      <c r="U43" s="346" t="e">
        <f>'WANFANWIFI old'!Z106*0.1/0.9*AV3</f>
        <v>#DIV/0!</v>
      </c>
      <c r="V43" s="346" t="e">
        <f>'WANFANWIFI old'!AA106*0.1/0.9*AW3</f>
        <v>#DIV/0!</v>
      </c>
    </row>
    <row r="44" spans="1:27" x14ac:dyDescent="0.15">
      <c r="A44" s="351" t="s">
        <v>29</v>
      </c>
      <c r="B44" s="346">
        <f>'DC old'!F7*0.1/0.9</f>
        <v>21.043200000000006</v>
      </c>
      <c r="C44" s="346">
        <f>'DC old'!G7*0.1/0.9*AD3</f>
        <v>20.487168</v>
      </c>
      <c r="D44" s="346">
        <f>'DC old'!H7*0.1/0.9*AE3</f>
        <v>21.928098816000002</v>
      </c>
      <c r="E44" s="346">
        <f>'DC old'!I7*0.1/0.9*AF3</f>
        <v>19.295966755435501</v>
      </c>
      <c r="F44" s="346">
        <f>'DC old'!J7*0.1/0.9*AG3</f>
        <v>18.662988830435918</v>
      </c>
      <c r="G44" s="682">
        <f>'DC old'!K7*0.1/0.9*AH3</f>
        <v>18.056782437306722</v>
      </c>
      <c r="H44" s="683">
        <f>'DC old'!L7*0.1/0.9*AI3</f>
        <v>17.436206549202943</v>
      </c>
      <c r="I44" s="683">
        <f>'DC old'!M7*0.1/0.9*AJ3</f>
        <v>18.061596986110345</v>
      </c>
      <c r="J44" s="683">
        <f>'DC old'!N7*0.1/0.9*AK3</f>
        <v>19.262803333357713</v>
      </c>
      <c r="K44" s="683">
        <f>'DC old'!O7*0.1/0.9*AL3</f>
        <v>20.551916735398208</v>
      </c>
      <c r="L44" s="683">
        <f>'DC old'!P7*0.1/0.9*AM3</f>
        <v>21.933750344648804</v>
      </c>
      <c r="M44" s="683">
        <f>'DC old'!Q7*0.1/0.9*AN3</f>
        <v>23.38431158872676</v>
      </c>
      <c r="N44" s="683">
        <f>'DC old'!R7*0.1/0.9*AO3</f>
        <v>30.37015493875785</v>
      </c>
      <c r="O44" s="683">
        <f>'DC old'!S7*0.1/0.9*AP3</f>
        <v>39.445248485815895</v>
      </c>
      <c r="P44" s="683">
        <f>'DC old'!T7*0.1/0.9*AQ3</f>
        <v>51.234112663742039</v>
      </c>
      <c r="Q44" s="684">
        <f>'DC old'!U7*0.1/0.9*AR3</f>
        <v>66.547475294598058</v>
      </c>
      <c r="R44" s="346">
        <f>'DC old'!V7*0.1/0.9*AS3</f>
        <v>0</v>
      </c>
      <c r="S44" s="346" t="e">
        <f>'DC old'!W7*0.1/0.9*AT3</f>
        <v>#DIV/0!</v>
      </c>
      <c r="T44" s="346" t="e">
        <f>'DC old'!X7*0.1/0.9*AU3</f>
        <v>#DIV/0!</v>
      </c>
      <c r="U44" s="346" t="e">
        <f>'DC old'!Y7*0.1/0.9*AV3</f>
        <v>#DIV/0!</v>
      </c>
      <c r="V44" s="346" t="e">
        <f>'DC old'!Z7*0.1/0.9*AW3</f>
        <v>#DIV/0!</v>
      </c>
    </row>
    <row r="45" spans="1:27" x14ac:dyDescent="0.15">
      <c r="B45" s="348"/>
      <c r="C45" s="360"/>
      <c r="D45" s="360"/>
      <c r="E45" s="360"/>
      <c r="F45" s="360"/>
      <c r="G45" s="688"/>
      <c r="H45" s="400"/>
      <c r="I45" s="400"/>
      <c r="J45" s="667"/>
      <c r="K45" s="667"/>
      <c r="L45" s="667"/>
      <c r="M45" s="667"/>
      <c r="N45" s="667"/>
      <c r="O45" s="667"/>
      <c r="P45" s="667"/>
      <c r="Q45" s="668"/>
      <c r="R45" s="348"/>
      <c r="S45" s="348"/>
      <c r="T45" s="348"/>
      <c r="U45" s="348"/>
      <c r="V45" s="348"/>
    </row>
    <row r="46" spans="1:27" x14ac:dyDescent="0.15">
      <c r="B46" s="348"/>
      <c r="C46" s="360"/>
      <c r="D46" s="360"/>
      <c r="E46" s="360"/>
      <c r="F46" s="360"/>
      <c r="G46" s="688"/>
      <c r="H46" s="400"/>
      <c r="I46" s="400"/>
      <c r="J46" s="667"/>
      <c r="K46" s="667"/>
      <c r="L46" s="667"/>
      <c r="M46" s="667"/>
      <c r="N46" s="667"/>
      <c r="O46" s="667"/>
      <c r="P46" s="667"/>
      <c r="Q46" s="668"/>
      <c r="R46" s="348"/>
      <c r="S46" s="348"/>
      <c r="T46" s="348"/>
      <c r="U46" s="348"/>
      <c r="V46" s="348"/>
    </row>
    <row r="47" spans="1:27" ht="12" thickBot="1" x14ac:dyDescent="0.2">
      <c r="A47" s="345" t="s">
        <v>30</v>
      </c>
      <c r="B47" s="349">
        <f>SUM(B27:B44)</f>
        <v>239.11106405228759</v>
      </c>
      <c r="C47" s="349">
        <f t="shared" ref="C47:U47" si="37">SUM(C27:C44)</f>
        <v>238.91202376633328</v>
      </c>
      <c r="D47" s="349">
        <f t="shared" si="37"/>
        <v>243.69833745573294</v>
      </c>
      <c r="E47" s="349">
        <f t="shared" si="37"/>
        <v>243.20515634015129</v>
      </c>
      <c r="F47" s="349">
        <f t="shared" si="37"/>
        <v>244.20323256846169</v>
      </c>
      <c r="G47" s="689">
        <f>SUM(G27:G44)</f>
        <v>253.45775436920553</v>
      </c>
      <c r="H47" s="689">
        <f t="shared" ref="H47:P47" si="38">SUM(H27:H44)</f>
        <v>253.74480542607705</v>
      </c>
      <c r="I47" s="689">
        <f t="shared" si="38"/>
        <v>256.42471436204289</v>
      </c>
      <c r="J47" s="689">
        <f t="shared" si="38"/>
        <v>262.00043005710421</v>
      </c>
      <c r="K47" s="689">
        <f t="shared" si="38"/>
        <v>269.75541032659237</v>
      </c>
      <c r="L47" s="689">
        <f t="shared" si="38"/>
        <v>275.93590597673489</v>
      </c>
      <c r="M47" s="689">
        <f t="shared" si="38"/>
        <v>266.77688907234813</v>
      </c>
      <c r="N47" s="689">
        <f t="shared" si="38"/>
        <v>270.00700246963964</v>
      </c>
      <c r="O47" s="689">
        <f t="shared" si="38"/>
        <v>279.66365072876812</v>
      </c>
      <c r="P47" s="689">
        <f t="shared" si="38"/>
        <v>297.21220020999573</v>
      </c>
      <c r="Q47" s="689">
        <f>SUM(Q27:Q44)</f>
        <v>325.51223721073234</v>
      </c>
      <c r="R47" s="349">
        <f t="shared" si="37"/>
        <v>235.30186964750141</v>
      </c>
      <c r="S47" s="349" t="e">
        <f t="shared" si="37"/>
        <v>#DIV/0!</v>
      </c>
      <c r="T47" s="349" t="e">
        <f t="shared" si="37"/>
        <v>#DIV/0!</v>
      </c>
      <c r="U47" s="349" t="e">
        <f t="shared" si="37"/>
        <v>#DIV/0!</v>
      </c>
      <c r="V47" s="349" t="e">
        <f>SUM(V27:V44)</f>
        <v>#DIV/0!</v>
      </c>
    </row>
    <row r="50" spans="1:22" x14ac:dyDescent="0.15">
      <c r="A50" s="690" t="s">
        <v>31</v>
      </c>
      <c r="B50" s="690"/>
      <c r="C50" s="690"/>
    </row>
    <row r="51" spans="1:22" x14ac:dyDescent="0.15">
      <c r="A51" s="350"/>
      <c r="B51" s="351">
        <v>2010</v>
      </c>
      <c r="C51" s="352">
        <v>2011</v>
      </c>
      <c r="D51" s="351">
        <v>2012</v>
      </c>
      <c r="E51" s="352">
        <v>2013</v>
      </c>
      <c r="F51" s="351">
        <v>2014</v>
      </c>
      <c r="G51" s="352">
        <v>2015</v>
      </c>
      <c r="H51" s="351">
        <v>2016</v>
      </c>
      <c r="I51" s="352">
        <v>2017</v>
      </c>
      <c r="J51" s="352">
        <v>2018</v>
      </c>
      <c r="K51" s="352">
        <v>2019</v>
      </c>
      <c r="L51" s="352">
        <v>2020</v>
      </c>
      <c r="M51" s="345">
        <v>2021</v>
      </c>
      <c r="N51" s="345">
        <v>2022</v>
      </c>
      <c r="O51" s="345">
        <v>2023</v>
      </c>
      <c r="P51" s="345">
        <v>2024</v>
      </c>
      <c r="Q51" s="345">
        <v>2025</v>
      </c>
      <c r="R51" s="345">
        <v>2026</v>
      </c>
      <c r="S51" s="345">
        <v>2027</v>
      </c>
      <c r="T51" s="345">
        <v>2028</v>
      </c>
      <c r="U51" s="345">
        <v>2029</v>
      </c>
      <c r="V51" s="345">
        <v>2030</v>
      </c>
    </row>
    <row r="52" spans="1:22" x14ac:dyDescent="0.15">
      <c r="A52" s="353" t="s">
        <v>18</v>
      </c>
      <c r="B52" s="354">
        <f>B3*$X$3/1000</f>
        <v>31.39</v>
      </c>
      <c r="C52" s="354">
        <f t="shared" ref="C52:V52" si="39">C3*$X$3/1000*AD4</f>
        <v>30.865400000000001</v>
      </c>
      <c r="D52" s="354">
        <f t="shared" si="39"/>
        <v>30.546318500000002</v>
      </c>
      <c r="E52" s="354">
        <f t="shared" si="39"/>
        <v>29.037330366099994</v>
      </c>
      <c r="F52" s="354">
        <f t="shared" si="39"/>
        <v>27.602886246014656</v>
      </c>
      <c r="G52" s="354">
        <f t="shared" si="39"/>
        <v>26.239303665461531</v>
      </c>
      <c r="H52" s="354">
        <f t="shared" si="39"/>
        <v>23.924997082167824</v>
      </c>
      <c r="I52" s="354">
        <f t="shared" si="39"/>
        <v>21.814812339520621</v>
      </c>
      <c r="J52" s="354">
        <f t="shared" si="39"/>
        <v>19.890745891174902</v>
      </c>
      <c r="K52" s="354">
        <f t="shared" si="39"/>
        <v>18.136382103573272</v>
      </c>
      <c r="L52" s="354">
        <f t="shared" si="39"/>
        <v>16.536753202038106</v>
      </c>
      <c r="M52" s="354">
        <f t="shared" si="39"/>
        <v>15.078211569618345</v>
      </c>
      <c r="N52" s="354">
        <f t="shared" si="39"/>
        <v>13.748313309178009</v>
      </c>
      <c r="O52" s="354">
        <f t="shared" si="39"/>
        <v>12.535712075308508</v>
      </c>
      <c r="P52" s="354">
        <f t="shared" si="39"/>
        <v>11.430062270266301</v>
      </c>
      <c r="Q52" s="354">
        <f t="shared" si="39"/>
        <v>10.421930778028813</v>
      </c>
      <c r="R52" s="354">
        <f t="shared" si="39"/>
        <v>9.5027164834066706</v>
      </c>
      <c r="S52" s="354">
        <f t="shared" si="39"/>
        <v>8.6645768895702009</v>
      </c>
      <c r="T52" s="354">
        <f t="shared" si="39"/>
        <v>7.9003612079101089</v>
      </c>
      <c r="U52" s="354">
        <f t="shared" si="39"/>
        <v>7.2035493493724365</v>
      </c>
      <c r="V52" s="354">
        <f t="shared" si="39"/>
        <v>6.5681962967577876</v>
      </c>
    </row>
    <row r="53" spans="1:22" x14ac:dyDescent="0.15">
      <c r="A53" s="353" t="s">
        <v>19</v>
      </c>
      <c r="B53" s="354">
        <f>B4*$X$4/1000</f>
        <v>43.415999999999997</v>
      </c>
      <c r="C53" s="354">
        <f t="shared" ref="C53:V53" si="40">C4*$X$4/1000*AD4</f>
        <v>42.8934</v>
      </c>
      <c r="D53" s="354">
        <f t="shared" si="40"/>
        <v>42.615242799999997</v>
      </c>
      <c r="E53" s="354">
        <f t="shared" si="40"/>
        <v>40.510049805680005</v>
      </c>
      <c r="F53" s="354">
        <f t="shared" si="40"/>
        <v>38.508853345279405</v>
      </c>
      <c r="G53" s="354">
        <f t="shared" si="40"/>
        <v>36.606515990022601</v>
      </c>
      <c r="H53" s="354">
        <f t="shared" si="40"/>
        <v>33.377821279702616</v>
      </c>
      <c r="I53" s="354">
        <f t="shared" si="40"/>
        <v>30.433897442832841</v>
      </c>
      <c r="J53" s="354">
        <f t="shared" si="40"/>
        <v>27.749627688374982</v>
      </c>
      <c r="K53" s="354">
        <f t="shared" si="40"/>
        <v>25.302110526260307</v>
      </c>
      <c r="L53" s="354">
        <f t="shared" si="40"/>
        <v>23.070464377844146</v>
      </c>
      <c r="M53" s="354">
        <f t="shared" si="40"/>
        <v>21.03564941971829</v>
      </c>
      <c r="N53" s="354">
        <f t="shared" si="40"/>
        <v>19.180305140899137</v>
      </c>
      <c r="O53" s="354">
        <f t="shared" si="40"/>
        <v>17.48860222747183</v>
      </c>
      <c r="P53" s="354">
        <f t="shared" si="40"/>
        <v>15.946107511008815</v>
      </c>
      <c r="Q53" s="354">
        <f t="shared" si="40"/>
        <v>14.539660828537839</v>
      </c>
      <c r="R53" s="354">
        <f t="shared" si="40"/>
        <v>13.257262743460801</v>
      </c>
      <c r="S53" s="354">
        <f t="shared" si="40"/>
        <v>12.087972169487561</v>
      </c>
      <c r="T53" s="354">
        <f t="shared" si="40"/>
        <v>11.021813024138758</v>
      </c>
      <c r="U53" s="354">
        <f t="shared" si="40"/>
        <v>10.049689115409722</v>
      </c>
      <c r="V53" s="354">
        <f t="shared" si="40"/>
        <v>9.1633065354305838</v>
      </c>
    </row>
    <row r="54" spans="1:22" x14ac:dyDescent="0.15">
      <c r="A54" s="353" t="s">
        <v>20</v>
      </c>
      <c r="B54" s="354">
        <f>B5*$X$5/1000</f>
        <v>33.567</v>
      </c>
      <c r="C54" s="354">
        <f t="shared" ref="C54:V54" si="41">C5*$X$5/1000*AD4</f>
        <v>34.827849999999998</v>
      </c>
      <c r="D54" s="354">
        <f t="shared" si="41"/>
        <v>38.6540538</v>
      </c>
      <c r="E54" s="354">
        <f t="shared" si="41"/>
        <v>43.286255043999994</v>
      </c>
      <c r="F54" s="354">
        <f t="shared" si="41"/>
        <v>49.084174557639997</v>
      </c>
      <c r="G54" s="354">
        <f t="shared" si="41"/>
        <v>55.068895600089597</v>
      </c>
      <c r="H54" s="354">
        <f t="shared" si="41"/>
        <v>61.624101896652341</v>
      </c>
      <c r="I54" s="354">
        <f t="shared" si="41"/>
        <v>68.959616734402289</v>
      </c>
      <c r="J54" s="354">
        <f t="shared" si="41"/>
        <v>77.16832527848959</v>
      </c>
      <c r="K54" s="354">
        <f t="shared" si="41"/>
        <v>86.354169415155624</v>
      </c>
      <c r="L54" s="354">
        <f t="shared" si="41"/>
        <v>96.633463904652373</v>
      </c>
      <c r="M54" s="354">
        <f t="shared" si="41"/>
        <v>78.736946389510749</v>
      </c>
      <c r="N54" s="354">
        <f t="shared" si="41"/>
        <v>64.154863918173348</v>
      </c>
      <c r="O54" s="354">
        <f t="shared" si="41"/>
        <v>52.273383120527626</v>
      </c>
      <c r="P54" s="354">
        <f t="shared" si="41"/>
        <v>42.592352566605904</v>
      </c>
      <c r="Q54" s="354">
        <f t="shared" si="41"/>
        <v>34.70424887127048</v>
      </c>
      <c r="R54" s="354">
        <f t="shared" si="41"/>
        <v>28.277021980311179</v>
      </c>
      <c r="S54" s="354">
        <f t="shared" si="41"/>
        <v>23.040117509557543</v>
      </c>
      <c r="T54" s="354">
        <f t="shared" si="41"/>
        <v>18.773087746787485</v>
      </c>
      <c r="U54" s="354">
        <f t="shared" si="41"/>
        <v>15.29631189608244</v>
      </c>
      <c r="V54" s="354">
        <f t="shared" si="41"/>
        <v>12.463434932927971</v>
      </c>
    </row>
    <row r="55" spans="1:22" x14ac:dyDescent="0.15">
      <c r="A55" s="353" t="s">
        <v>21</v>
      </c>
      <c r="B55" s="354">
        <f>B6*$X$6/1000</f>
        <v>14</v>
      </c>
      <c r="C55" s="354">
        <f t="shared" ref="C55:V55" si="42">C6*$X$6/1000*AD4</f>
        <v>17.847999999999999</v>
      </c>
      <c r="D55" s="354">
        <f t="shared" si="42"/>
        <v>26.345199999999998</v>
      </c>
      <c r="E55" s="354">
        <f t="shared" si="42"/>
        <v>32.856228000000002</v>
      </c>
      <c r="F55" s="354">
        <f t="shared" si="42"/>
        <v>41.608762069999997</v>
      </c>
      <c r="G55" s="354">
        <f t="shared" si="42"/>
        <v>47.745611828919998</v>
      </c>
      <c r="H55" s="354">
        <f t="shared" si="42"/>
        <v>51.870832690938691</v>
      </c>
      <c r="I55" s="354">
        <f t="shared" si="42"/>
        <v>56.352472635435802</v>
      </c>
      <c r="J55" s="354">
        <f t="shared" si="42"/>
        <v>61.221326271137457</v>
      </c>
      <c r="K55" s="354">
        <f t="shared" si="42"/>
        <v>66.510848860963733</v>
      </c>
      <c r="L55" s="354">
        <f t="shared" si="42"/>
        <v>72.25738620255099</v>
      </c>
      <c r="M55" s="354">
        <f t="shared" si="42"/>
        <v>78.500424370451398</v>
      </c>
      <c r="N55" s="354">
        <f t="shared" si="42"/>
        <v>85.282861036058407</v>
      </c>
      <c r="O55" s="354">
        <f t="shared" si="42"/>
        <v>92.651300229573877</v>
      </c>
      <c r="P55" s="354">
        <f t="shared" si="42"/>
        <v>100.65637256940906</v>
      </c>
      <c r="Q55" s="354">
        <f t="shared" si="42"/>
        <v>109.35308315940603</v>
      </c>
      <c r="R55" s="354">
        <f t="shared" si="42"/>
        <v>118.8011895443787</v>
      </c>
      <c r="S55" s="354">
        <f t="shared" si="42"/>
        <v>129.06561232101305</v>
      </c>
      <c r="T55" s="354">
        <f t="shared" si="42"/>
        <v>140.21688122554858</v>
      </c>
      <c r="U55" s="354">
        <f t="shared" si="42"/>
        <v>152.33161976343598</v>
      </c>
      <c r="V55" s="354">
        <f t="shared" si="42"/>
        <v>165.49307171099687</v>
      </c>
    </row>
    <row r="56" spans="1:22" x14ac:dyDescent="0.15">
      <c r="A56" s="353" t="s">
        <v>22</v>
      </c>
      <c r="B56" s="354">
        <f>B7*$X$7/1000</f>
        <v>3.75</v>
      </c>
      <c r="C56" s="354">
        <f t="shared" ref="C56:V56" si="43">C7*$X$7/1000*AD4</f>
        <v>7.2749999999999995</v>
      </c>
      <c r="D56" s="354">
        <f t="shared" si="43"/>
        <v>10.585125</v>
      </c>
      <c r="E56" s="354">
        <f t="shared" si="43"/>
        <v>14.169248325</v>
      </c>
      <c r="F56" s="354">
        <f t="shared" si="43"/>
        <v>16.997621951999999</v>
      </c>
      <c r="G56" s="354">
        <f t="shared" si="43"/>
        <v>20.674021668727498</v>
      </c>
      <c r="H56" s="354">
        <f t="shared" si="43"/>
        <v>23.061871171465526</v>
      </c>
      <c r="I56" s="354">
        <f t="shared" si="43"/>
        <v>25.725517291769787</v>
      </c>
      <c r="J56" s="354">
        <f t="shared" si="43"/>
        <v>28.696814538969193</v>
      </c>
      <c r="K56" s="354">
        <f t="shared" si="43"/>
        <v>32.011296618220129</v>
      </c>
      <c r="L56" s="354">
        <f t="shared" si="43"/>
        <v>31.027120139104102</v>
      </c>
      <c r="M56" s="354">
        <f t="shared" si="43"/>
        <v>30.096306534930978</v>
      </c>
      <c r="N56" s="354">
        <f t="shared" si="43"/>
        <v>29.193417338883048</v>
      </c>
      <c r="O56" s="354">
        <f t="shared" si="43"/>
        <v>28.317614818716557</v>
      </c>
      <c r="P56" s="354">
        <f t="shared" si="43"/>
        <v>27.46808637415506</v>
      </c>
      <c r="Q56" s="354">
        <f t="shared" si="43"/>
        <v>26.64404378293041</v>
      </c>
      <c r="R56" s="354">
        <f t="shared" si="43"/>
        <v>25.844722469442498</v>
      </c>
      <c r="S56" s="354">
        <f t="shared" si="43"/>
        <v>25.069380795359223</v>
      </c>
      <c r="T56" s="354">
        <f t="shared" si="43"/>
        <v>24.317299371498446</v>
      </c>
      <c r="U56" s="354">
        <f t="shared" si="43"/>
        <v>23.58778039035349</v>
      </c>
      <c r="V56" s="354">
        <f t="shared" si="43"/>
        <v>22.880146978642887</v>
      </c>
    </row>
    <row r="57" spans="1:22" x14ac:dyDescent="0.15">
      <c r="A57" s="353" t="s">
        <v>38</v>
      </c>
      <c r="B57" s="354">
        <f>B8*$X$8/1000</f>
        <v>15</v>
      </c>
      <c r="C57" s="354">
        <f t="shared" ref="C57:V57" si="44">C8*$X$8/1000*AD4</f>
        <v>14.666399999999999</v>
      </c>
      <c r="D57" s="354">
        <f t="shared" si="44"/>
        <v>11.85534</v>
      </c>
      <c r="E57" s="354">
        <f t="shared" si="44"/>
        <v>9.9225808559999997</v>
      </c>
      <c r="F57" s="354">
        <f t="shared" si="44"/>
        <v>6.2997436359599996</v>
      </c>
      <c r="G57" s="354">
        <f t="shared" si="44"/>
        <v>7.8728735476175986</v>
      </c>
      <c r="H57" s="354">
        <f t="shared" si="44"/>
        <v>7.2548529741296166</v>
      </c>
      <c r="I57" s="354">
        <f t="shared" si="44"/>
        <v>6.6853470156604411</v>
      </c>
      <c r="J57" s="354">
        <f t="shared" si="44"/>
        <v>6.1605472749310968</v>
      </c>
      <c r="K57" s="354">
        <f t="shared" si="44"/>
        <v>5.6769443138490043</v>
      </c>
      <c r="L57" s="354">
        <f t="shared" si="44"/>
        <v>5.2313041852118563</v>
      </c>
      <c r="M57" s="354">
        <f t="shared" si="44"/>
        <v>4.8206468066727259</v>
      </c>
      <c r="N57" s="354">
        <f t="shared" si="44"/>
        <v>4.4422260323489171</v>
      </c>
      <c r="O57" s="354">
        <f t="shared" si="44"/>
        <v>4.0935112888095269</v>
      </c>
      <c r="P57" s="354">
        <f t="shared" si="44"/>
        <v>3.7721706526379779</v>
      </c>
      <c r="Q57" s="354">
        <f t="shared" si="44"/>
        <v>3.4760552564058975</v>
      </c>
      <c r="R57" s="354">
        <f t="shared" si="44"/>
        <v>3.2031849187780344</v>
      </c>
      <c r="S57" s="354">
        <f t="shared" si="44"/>
        <v>2.9517349026539583</v>
      </c>
      <c r="T57" s="354">
        <f t="shared" si="44"/>
        <v>2.7200237127956224</v>
      </c>
      <c r="U57" s="354">
        <f t="shared" si="44"/>
        <v>2.5065018513411661</v>
      </c>
      <c r="V57" s="354">
        <f t="shared" si="44"/>
        <v>2.3097414560108835</v>
      </c>
    </row>
    <row r="58" spans="1:22" x14ac:dyDescent="0.15">
      <c r="A58" s="353" t="s">
        <v>60</v>
      </c>
      <c r="B58" s="354">
        <f>B9*$X$9/1000</f>
        <v>0</v>
      </c>
      <c r="C58" s="354">
        <f t="shared" ref="C58:V58" si="45">C9*$X$9/1000*AD4</f>
        <v>0</v>
      </c>
      <c r="D58" s="354">
        <f t="shared" si="45"/>
        <v>0.56453999999999993</v>
      </c>
      <c r="E58" s="354">
        <f t="shared" si="45"/>
        <v>2.738019</v>
      </c>
      <c r="F58" s="354">
        <f t="shared" si="45"/>
        <v>5.3117568599999991</v>
      </c>
      <c r="G58" s="354">
        <f t="shared" si="45"/>
        <v>7.3851126210199824</v>
      </c>
      <c r="H58" s="354">
        <f t="shared" si="45"/>
        <v>9.4125836556976825</v>
      </c>
      <c r="I58" s="354">
        <f t="shared" si="45"/>
        <v>11.311759826935804</v>
      </c>
      <c r="J58" s="354">
        <f t="shared" si="45"/>
        <v>13.088514102609507</v>
      </c>
      <c r="K58" s="354">
        <f t="shared" si="45"/>
        <v>14.748482537898544</v>
      </c>
      <c r="L58" s="354">
        <f t="shared" si="45"/>
        <v>16.297073204377895</v>
      </c>
      <c r="M58" s="354">
        <f t="shared" si="45"/>
        <v>18.337466769566003</v>
      </c>
      <c r="N58" s="354">
        <f t="shared" si="45"/>
        <v>20.633317609115668</v>
      </c>
      <c r="O58" s="354">
        <f t="shared" si="45"/>
        <v>23.216608973776953</v>
      </c>
      <c r="P58" s="354">
        <f t="shared" si="45"/>
        <v>26.123328417293823</v>
      </c>
      <c r="Q58" s="354">
        <f t="shared" si="45"/>
        <v>29.393969135139006</v>
      </c>
      <c r="R58" s="354">
        <f t="shared" si="45"/>
        <v>33.074094070858408</v>
      </c>
      <c r="S58" s="354">
        <f t="shared" si="45"/>
        <v>37.214970648529871</v>
      </c>
      <c r="T58" s="354">
        <f t="shared" si="45"/>
        <v>41.874284973725814</v>
      </c>
      <c r="U58" s="354">
        <f t="shared" si="45"/>
        <v>47.116945452436276</v>
      </c>
      <c r="V58" s="354">
        <f t="shared" si="45"/>
        <v>53.015987023081294</v>
      </c>
    </row>
    <row r="59" spans="1:22" x14ac:dyDescent="0.15">
      <c r="A59" s="353" t="s">
        <v>23</v>
      </c>
      <c r="B59" s="354">
        <f>B16*$X$16/1000</f>
        <v>125</v>
      </c>
      <c r="C59" s="354">
        <f>C16*$X$16/1000*AD4</f>
        <v>123.06874999999998</v>
      </c>
      <c r="D59" s="354">
        <f t="shared" ref="D59:V59" si="46">D16*$X$16/1000*AE4</f>
        <v>121.16733781249995</v>
      </c>
      <c r="E59" s="354">
        <f t="shared" si="46"/>
        <v>119.29530244329682</v>
      </c>
      <c r="F59" s="354">
        <f t="shared" si="46"/>
        <v>117.45219002054783</v>
      </c>
      <c r="G59" s="354">
        <f t="shared" si="46"/>
        <v>115.63755368473038</v>
      </c>
      <c r="H59" s="354">
        <f t="shared" si="46"/>
        <v>113.85095348030129</v>
      </c>
      <c r="I59" s="354">
        <f t="shared" si="46"/>
        <v>112.09195624903062</v>
      </c>
      <c r="J59" s="354">
        <f t="shared" si="46"/>
        <v>110.36013552498308</v>
      </c>
      <c r="K59" s="354">
        <f t="shared" si="46"/>
        <v>108.65507143112208</v>
      </c>
      <c r="L59" s="354">
        <f t="shared" si="46"/>
        <v>106.97635057751123</v>
      </c>
      <c r="M59" s="354">
        <f t="shared" si="46"/>
        <v>105.32356596108866</v>
      </c>
      <c r="N59" s="354">
        <f t="shared" si="46"/>
        <v>103.69631686698983</v>
      </c>
      <c r="O59" s="354">
        <f t="shared" si="46"/>
        <v>102.09420877139485</v>
      </c>
      <c r="P59" s="354">
        <f t="shared" si="46"/>
        <v>100.51685324587679</v>
      </c>
      <c r="Q59" s="354">
        <f t="shared" si="46"/>
        <v>98.963867863227975</v>
      </c>
      <c r="R59" s="354">
        <f t="shared" si="46"/>
        <v>97.434876104741093</v>
      </c>
      <c r="S59" s="354">
        <f t="shared" si="46"/>
        <v>95.929507268922848</v>
      </c>
      <c r="T59" s="354">
        <f t="shared" si="46"/>
        <v>94.447396381617978</v>
      </c>
      <c r="U59" s="354">
        <f t="shared" si="46"/>
        <v>92.988184107521974</v>
      </c>
      <c r="V59" s="354">
        <f t="shared" si="46"/>
        <v>91.551516663060752</v>
      </c>
    </row>
    <row r="60" spans="1:22" x14ac:dyDescent="0.15">
      <c r="A60" s="353" t="s">
        <v>24</v>
      </c>
      <c r="B60" s="354">
        <f>B17*$X$17/1000</f>
        <v>4.2750000000000004</v>
      </c>
      <c r="C60" s="354">
        <f>C17*$X$17/1000*AD4</f>
        <v>4.2089512500000001</v>
      </c>
      <c r="D60" s="354">
        <f t="shared" ref="D60:V60" si="47">D17*$X$17/1000*AE4</f>
        <v>4.1439229531874986</v>
      </c>
      <c r="E60" s="354">
        <f t="shared" si="47"/>
        <v>4.0798993435607507</v>
      </c>
      <c r="F60" s="354">
        <f t="shared" si="47"/>
        <v>4.0168648987027362</v>
      </c>
      <c r="G60" s="354">
        <f t="shared" si="47"/>
        <v>3.9548043360177783</v>
      </c>
      <c r="H60" s="354">
        <f t="shared" si="47"/>
        <v>3.8937026090263043</v>
      </c>
      <c r="I60" s="354">
        <f t="shared" si="47"/>
        <v>3.8335449037168474</v>
      </c>
      <c r="J60" s="354">
        <f t="shared" si="47"/>
        <v>3.7743166349544217</v>
      </c>
      <c r="K60" s="354">
        <f t="shared" si="47"/>
        <v>3.7160034429443751</v>
      </c>
      <c r="L60" s="354">
        <f t="shared" si="47"/>
        <v>3.6585911897508838</v>
      </c>
      <c r="M60" s="354">
        <f t="shared" si="47"/>
        <v>3.6020659558692327</v>
      </c>
      <c r="N60" s="354">
        <f t="shared" si="47"/>
        <v>3.5464140368510524</v>
      </c>
      <c r="O60" s="354">
        <f t="shared" si="47"/>
        <v>3.4916219399817039</v>
      </c>
      <c r="P60" s="354">
        <f t="shared" si="47"/>
        <v>3.4376763810089863</v>
      </c>
      <c r="Q60" s="354">
        <f t="shared" si="47"/>
        <v>3.3845642809223966</v>
      </c>
      <c r="R60" s="354">
        <f t="shared" si="47"/>
        <v>3.3322727627821451</v>
      </c>
      <c r="S60" s="354">
        <f t="shared" si="47"/>
        <v>3.2807891485971612</v>
      </c>
      <c r="T60" s="354">
        <f t="shared" si="47"/>
        <v>3.2301009562513352</v>
      </c>
      <c r="U60" s="354">
        <f t="shared" si="47"/>
        <v>3.1801958964772514</v>
      </c>
      <c r="V60" s="354">
        <f t="shared" si="47"/>
        <v>3.1310618698766777</v>
      </c>
    </row>
    <row r="61" spans="1:22" x14ac:dyDescent="0.15">
      <c r="A61" s="353" t="s">
        <v>25</v>
      </c>
      <c r="B61" s="354">
        <f>B18*$X$17/1000</f>
        <v>2.25</v>
      </c>
      <c r="C61" s="354">
        <f>C18*$X$17/1000*AD4</f>
        <v>2.2152374999999997</v>
      </c>
      <c r="D61" s="354">
        <f t="shared" ref="D61:V61" si="48">D18*$X$17/1000*AE4</f>
        <v>2.1810120806249995</v>
      </c>
      <c r="E61" s="354">
        <f t="shared" si="48"/>
        <v>2.1473154439793425</v>
      </c>
      <c r="F61" s="354">
        <f t="shared" si="48"/>
        <v>2.1141394203698618</v>
      </c>
      <c r="G61" s="354">
        <f t="shared" si="48"/>
        <v>2.0814759663251468</v>
      </c>
      <c r="H61" s="354">
        <f t="shared" si="48"/>
        <v>2.0493171626454236</v>
      </c>
      <c r="I61" s="354">
        <f t="shared" si="48"/>
        <v>2.0176552124825511</v>
      </c>
      <c r="J61" s="354">
        <f t="shared" si="48"/>
        <v>1.9864824394496954</v>
      </c>
      <c r="K61" s="354">
        <f t="shared" si="48"/>
        <v>1.9557912857601971</v>
      </c>
      <c r="L61" s="354">
        <f t="shared" si="48"/>
        <v>1.9255743103952023</v>
      </c>
      <c r="M61" s="354">
        <f t="shared" si="48"/>
        <v>1.895824187299596</v>
      </c>
      <c r="N61" s="354">
        <f t="shared" si="48"/>
        <v>1.8665337036058169</v>
      </c>
      <c r="O61" s="354">
        <f t="shared" si="48"/>
        <v>1.8376957578851074</v>
      </c>
      <c r="P61" s="354">
        <f t="shared" si="48"/>
        <v>1.8093033584257825</v>
      </c>
      <c r="Q61" s="354">
        <f t="shared" si="48"/>
        <v>1.7813496215381037</v>
      </c>
      <c r="R61" s="354">
        <f t="shared" si="48"/>
        <v>1.7538277698853397</v>
      </c>
      <c r="S61" s="354">
        <f t="shared" si="48"/>
        <v>1.7267311308406113</v>
      </c>
      <c r="T61" s="354">
        <f t="shared" si="48"/>
        <v>1.7000531348691239</v>
      </c>
      <c r="U61" s="354">
        <f t="shared" si="48"/>
        <v>1.6737873139353956</v>
      </c>
      <c r="V61" s="354">
        <f t="shared" si="48"/>
        <v>1.6479272999350938</v>
      </c>
    </row>
    <row r="62" spans="1:22" x14ac:dyDescent="0.15">
      <c r="A62" s="353" t="s">
        <v>26</v>
      </c>
      <c r="B62" s="354">
        <f>B19*$X$17/1000</f>
        <v>3.375</v>
      </c>
      <c r="C62" s="354">
        <f>C19*$X$17/1000*AD4</f>
        <v>3.3228562499999996</v>
      </c>
      <c r="D62" s="354">
        <f t="shared" ref="D62:V62" si="49">D19*$X$17/1000*AE4</f>
        <v>3.2715181209374986</v>
      </c>
      <c r="E62" s="354">
        <f t="shared" si="49"/>
        <v>3.2209731659690135</v>
      </c>
      <c r="F62" s="354">
        <f t="shared" si="49"/>
        <v>3.1712091305547916</v>
      </c>
      <c r="G62" s="354">
        <f t="shared" si="49"/>
        <v>3.1222139494877204</v>
      </c>
      <c r="H62" s="354">
        <f t="shared" si="49"/>
        <v>3.0739757439681346</v>
      </c>
      <c r="I62" s="354">
        <f t="shared" si="49"/>
        <v>3.0264828187238266</v>
      </c>
      <c r="J62" s="354">
        <f t="shared" si="49"/>
        <v>2.9797236591745428</v>
      </c>
      <c r="K62" s="354">
        <f t="shared" si="49"/>
        <v>2.933686928640296</v>
      </c>
      <c r="L62" s="354">
        <f t="shared" si="49"/>
        <v>2.8883614655928027</v>
      </c>
      <c r="M62" s="354">
        <f t="shared" si="49"/>
        <v>2.8437362809493938</v>
      </c>
      <c r="N62" s="354">
        <f t="shared" si="49"/>
        <v>2.7998005554087255</v>
      </c>
      <c r="O62" s="354">
        <f t="shared" si="49"/>
        <v>2.7565436368276606</v>
      </c>
      <c r="P62" s="354">
        <f t="shared" si="49"/>
        <v>2.713955037638673</v>
      </c>
      <c r="Q62" s="354">
        <f t="shared" si="49"/>
        <v>2.6720244323071558</v>
      </c>
      <c r="R62" s="354">
        <f t="shared" si="49"/>
        <v>2.6307416548280091</v>
      </c>
      <c r="S62" s="354">
        <f t="shared" si="49"/>
        <v>2.5900966962609164</v>
      </c>
      <c r="T62" s="354">
        <f t="shared" si="49"/>
        <v>2.5500797023036852</v>
      </c>
      <c r="U62" s="354">
        <f t="shared" si="49"/>
        <v>2.5106809709030928</v>
      </c>
      <c r="V62" s="354">
        <f t="shared" si="49"/>
        <v>2.4718909499026398</v>
      </c>
    </row>
    <row r="63" spans="1:22" x14ac:dyDescent="0.15">
      <c r="A63" s="353" t="s">
        <v>27</v>
      </c>
      <c r="B63" s="354">
        <f>B20*$X$17/1000</f>
        <v>3.9375</v>
      </c>
      <c r="C63" s="354">
        <f>C20*$X$17/1000*AD4</f>
        <v>3.8766656249999993</v>
      </c>
      <c r="D63" s="354">
        <f t="shared" ref="D63:V63" si="50">D20*$X$17/1000*AE4</f>
        <v>3.8167711410937488</v>
      </c>
      <c r="E63" s="354">
        <f t="shared" si="50"/>
        <v>3.7578020269638492</v>
      </c>
      <c r="F63" s="354">
        <f t="shared" si="50"/>
        <v>3.6997439856472569</v>
      </c>
      <c r="G63" s="354">
        <f t="shared" si="50"/>
        <v>3.6425829410690072</v>
      </c>
      <c r="H63" s="354">
        <f t="shared" si="50"/>
        <v>3.5863050346294898</v>
      </c>
      <c r="I63" s="354">
        <f t="shared" si="50"/>
        <v>3.5308966218444642</v>
      </c>
      <c r="J63" s="354">
        <f t="shared" si="50"/>
        <v>3.476344269036967</v>
      </c>
      <c r="K63" s="354">
        <f t="shared" si="50"/>
        <v>3.4226347500803453</v>
      </c>
      <c r="L63" s="354">
        <f t="shared" si="50"/>
        <v>3.3697550431916037</v>
      </c>
      <c r="M63" s="354">
        <f t="shared" si="50"/>
        <v>3.3176923277742927</v>
      </c>
      <c r="N63" s="354">
        <f t="shared" si="50"/>
        <v>3.2664339813101795</v>
      </c>
      <c r="O63" s="354">
        <f t="shared" si="50"/>
        <v>3.2159675762989379</v>
      </c>
      <c r="P63" s="354">
        <f t="shared" si="50"/>
        <v>3.1662808772451188</v>
      </c>
      <c r="Q63" s="354">
        <f t="shared" si="50"/>
        <v>3.1173618376916816</v>
      </c>
      <c r="R63" s="354">
        <f t="shared" si="50"/>
        <v>3.0691985972993443</v>
      </c>
      <c r="S63" s="354">
        <f t="shared" si="50"/>
        <v>3.0217794789710695</v>
      </c>
      <c r="T63" s="354">
        <f t="shared" si="50"/>
        <v>2.9750929860209663</v>
      </c>
      <c r="U63" s="354">
        <f t="shared" si="50"/>
        <v>2.9291277993869418</v>
      </c>
      <c r="V63" s="354">
        <f t="shared" si="50"/>
        <v>2.8838727748864135</v>
      </c>
    </row>
    <row r="64" spans="1:22" x14ac:dyDescent="0.15">
      <c r="A64" s="355" t="s">
        <v>28</v>
      </c>
      <c r="B64" s="354">
        <f>'WANFANWIFI old'!G130*0.15/0.85</f>
        <v>71.956300069204147</v>
      </c>
      <c r="C64" s="354">
        <f>'WANFANWIFI old'!H130*0.15/0.85*AD4</f>
        <v>72.691090340551469</v>
      </c>
      <c r="D64" s="354">
        <f>'WANFANWIFI old'!I130*0.15/0.85*AE4</f>
        <v>73.765846614794242</v>
      </c>
      <c r="E64" s="354">
        <f>'WANFANWIFI old'!J130*0.15/0.85*AF4</f>
        <v>61.895012447362539</v>
      </c>
      <c r="F64" s="354">
        <f>'WANFANWIFI old'!K130*0.15/0.85*AG4</f>
        <v>57.74376524122308</v>
      </c>
      <c r="G64" s="354">
        <f>'WANFANWIFI old'!L130*0.15/0.85*AH4</f>
        <v>53.912920439941672</v>
      </c>
      <c r="H64" s="354">
        <f>'WANFANWIFI old'!M130*0.15/0.85*AI4</f>
        <v>50.886202449560905</v>
      </c>
      <c r="I64" s="354">
        <f>'WANFANWIFI old'!N130*0.15/0.85*AJ4</f>
        <v>47.374246743023512</v>
      </c>
      <c r="J64" s="354">
        <f>'WANFANWIFI old'!O130*0.15/0.85*AK4</f>
        <v>45.118652080601883</v>
      </c>
      <c r="K64" s="354">
        <f>'WANFANWIFI old'!P130*0.15/0.85*AL4</f>
        <v>43.130910434114782</v>
      </c>
      <c r="L64" s="354">
        <f>'WANFANWIFI old'!Q130*0.15/0.85*AM4</f>
        <v>41.61263555476318</v>
      </c>
      <c r="M64" s="354">
        <f>'WANFANWIFI old'!R130*0.15/0.85*AN4</f>
        <v>40.602087836731435</v>
      </c>
      <c r="N64" s="354">
        <f>'WANFANWIFI old'!S130*0.15/0.85*AO4</f>
        <v>46.615799840031393</v>
      </c>
      <c r="O64" s="354">
        <f>'WANFANWIFI old'!T130*0.15/0.85*AP4</f>
        <v>54.260897735370762</v>
      </c>
      <c r="P64" s="354">
        <f>'WANFANWIFI old'!U130*0.15/0.85*AQ4</f>
        <v>63.213330010591932</v>
      </c>
      <c r="Q64" s="354">
        <f>'WANFANWIFI old'!V130*0.15/0.85*AR4</f>
        <v>73.973840398787644</v>
      </c>
      <c r="R64" s="354">
        <f>'WANFANWIFI old'!W130*0.15/0.85*AS4</f>
        <v>15.048541256019911</v>
      </c>
      <c r="S64" s="354" t="e">
        <f>'WANFANWIFI old'!X130*0.15/0.85*AT4</f>
        <v>#DIV/0!</v>
      </c>
      <c r="T64" s="354" t="e">
        <f>'WANFANWIFI old'!Y130*0.15/0.85*AU4</f>
        <v>#DIV/0!</v>
      </c>
      <c r="U64" s="354" t="e">
        <f>'WANFANWIFI old'!Z130*0.15/0.85*AV4</f>
        <v>#DIV/0!</v>
      </c>
      <c r="V64" s="354" t="e">
        <f>'WANFANWIFI old'!AA130*0.15/0.85*AW4</f>
        <v>#DIV/0!</v>
      </c>
    </row>
    <row r="65" spans="1:22" x14ac:dyDescent="0.15">
      <c r="A65" s="355" t="s">
        <v>29</v>
      </c>
      <c r="B65" s="354">
        <f>'DC old'!F8*0.15/0.85</f>
        <v>34.659388235294124</v>
      </c>
      <c r="C65" s="354">
        <f>'DC old'!G8*0.15/0.85*AD4</f>
        <v>39.754571294117646</v>
      </c>
      <c r="D65" s="354">
        <f>'DC old'!H8*0.15/0.85*AE4</f>
        <v>50.130514401882344</v>
      </c>
      <c r="E65" s="354">
        <f>'DC old'!I8*0.15/0.85*AF4</f>
        <v>52.180081202236231</v>
      </c>
      <c r="F65" s="354">
        <f>'DC old'!J8*0.15/0.85*AG4</f>
        <v>59.674706265313418</v>
      </c>
      <c r="G65" s="354">
        <f>'DC old'!K8*0.15/0.85*AH4</f>
        <v>68.245784326200393</v>
      </c>
      <c r="H65" s="354">
        <f>'DC old'!L8*0.15/0.85*AI4</f>
        <v>78.047926328972551</v>
      </c>
      <c r="I65" s="354">
        <f>'DC old'!M8*0.15/0.85*AJ4</f>
        <v>95.390175559270247</v>
      </c>
      <c r="J65" s="354">
        <f>'DC old'!N8*0.15/0.85*AK4</f>
        <v>119.91689749906978</v>
      </c>
      <c r="K65" s="354">
        <f>'DC old'!O8*0.15/0.85*AL4</f>
        <v>150.74993018403063</v>
      </c>
      <c r="L65" s="354">
        <f>'DC old'!P8*0.15/0.85*AM4</f>
        <v>189.51075223294856</v>
      </c>
      <c r="M65" s="354">
        <f>'DC old'!Q8*0.15/0.85*AN4</f>
        <v>238.23775684708428</v>
      </c>
      <c r="N65" s="354">
        <f>'DC old'!R8*0.15/0.85*AO4</f>
        <v>316.13197382580699</v>
      </c>
      <c r="O65" s="354">
        <f>'DC old'!S8*0.15/0.85*AP4</f>
        <v>419.49448398789281</v>
      </c>
      <c r="P65" s="354">
        <f>'DC old'!T8*0.15/0.85*AQ4</f>
        <v>556.6524004725743</v>
      </c>
      <c r="Q65" s="354">
        <f>'DC old'!U8*0.15/0.85*AR4</f>
        <v>738.65546933108715</v>
      </c>
      <c r="R65" s="354">
        <f>'DC old'!V8*0.15/0.85*AS4</f>
        <v>0</v>
      </c>
      <c r="S65" s="354" t="e">
        <f>'DC old'!W8*0.15/0.85*AT4</f>
        <v>#DIV/0!</v>
      </c>
      <c r="T65" s="354" t="e">
        <f>'DC old'!X8*0.15/0.85*AU4</f>
        <v>#DIV/0!</v>
      </c>
      <c r="U65" s="354" t="e">
        <f>'DC old'!Y8*0.15/0.85*AV4</f>
        <v>#DIV/0!</v>
      </c>
      <c r="V65" s="354" t="e">
        <f>'DC old'!Z8*0.15/0.85*AW4</f>
        <v>#DIV/0!</v>
      </c>
    </row>
    <row r="66" spans="1:22" x14ac:dyDescent="0.15">
      <c r="A66" s="356" t="s">
        <v>30</v>
      </c>
      <c r="B66" s="357">
        <f>SUM(B52:B65)</f>
        <v>386.5761883044982</v>
      </c>
      <c r="C66" s="357">
        <f t="shared" ref="C66:U66" si="51">SUM(C52:C65)</f>
        <v>397.51417225966901</v>
      </c>
      <c r="D66" s="357">
        <f t="shared" si="51"/>
        <v>419.64274322502035</v>
      </c>
      <c r="E66" s="357">
        <f t="shared" si="51"/>
        <v>419.09609747014861</v>
      </c>
      <c r="F66" s="357">
        <f t="shared" si="51"/>
        <v>433.28641762925304</v>
      </c>
      <c r="G66" s="357">
        <f t="shared" si="51"/>
        <v>452.18967056563093</v>
      </c>
      <c r="H66" s="357">
        <f t="shared" si="51"/>
        <v>465.91544355985849</v>
      </c>
      <c r="I66" s="357">
        <f t="shared" si="51"/>
        <v>488.54838139464965</v>
      </c>
      <c r="J66" s="357">
        <f t="shared" si="51"/>
        <v>521.58845315295707</v>
      </c>
      <c r="K66" s="357">
        <f t="shared" si="51"/>
        <v>563.30426283261329</v>
      </c>
      <c r="L66" s="357">
        <f t="shared" si="51"/>
        <v>610.99558558993294</v>
      </c>
      <c r="M66" s="357">
        <f t="shared" si="51"/>
        <v>642.4283812572653</v>
      </c>
      <c r="N66" s="357">
        <f t="shared" si="51"/>
        <v>714.55857719466053</v>
      </c>
      <c r="O66" s="357">
        <f t="shared" si="51"/>
        <v>817.72815213983677</v>
      </c>
      <c r="P66" s="357">
        <f t="shared" si="51"/>
        <v>959.49827974473862</v>
      </c>
      <c r="Q66" s="357">
        <f t="shared" si="51"/>
        <v>1151.0814695772806</v>
      </c>
      <c r="R66" s="357">
        <f t="shared" si="51"/>
        <v>355.22965035619217</v>
      </c>
      <c r="S66" s="357" t="e">
        <f t="shared" si="51"/>
        <v>#DIV/0!</v>
      </c>
      <c r="T66" s="357" t="e">
        <f t="shared" si="51"/>
        <v>#DIV/0!</v>
      </c>
      <c r="U66" s="357" t="e">
        <f t="shared" si="51"/>
        <v>#DIV/0!</v>
      </c>
      <c r="V66" s="357" t="e">
        <f>SUM(V52:V65)</f>
        <v>#DIV/0!</v>
      </c>
    </row>
    <row r="67" spans="1:22" x14ac:dyDescent="0.15">
      <c r="A67" s="691"/>
      <c r="B67" s="691"/>
      <c r="C67" s="691"/>
      <c r="D67" s="692"/>
      <c r="E67" s="692"/>
      <c r="F67" s="692"/>
      <c r="G67" s="692"/>
      <c r="H67" s="692"/>
      <c r="I67" s="692"/>
    </row>
    <row r="68" spans="1:22" x14ac:dyDescent="0.15">
      <c r="A68" s="690" t="s">
        <v>32</v>
      </c>
      <c r="B68" s="690"/>
      <c r="C68" s="690"/>
    </row>
    <row r="69" spans="1:22" x14ac:dyDescent="0.15">
      <c r="B69" s="352">
        <v>2010</v>
      </c>
      <c r="C69" s="352">
        <v>2011</v>
      </c>
      <c r="D69" s="352">
        <v>2012</v>
      </c>
      <c r="E69" s="352">
        <v>2013</v>
      </c>
      <c r="F69" s="352">
        <v>2014</v>
      </c>
      <c r="G69" s="352">
        <v>2015</v>
      </c>
      <c r="H69" s="352">
        <v>2016</v>
      </c>
      <c r="I69" s="352">
        <v>2017</v>
      </c>
      <c r="J69" s="352">
        <v>2018</v>
      </c>
      <c r="K69" s="352">
        <v>2019</v>
      </c>
      <c r="L69" s="352">
        <v>2020</v>
      </c>
      <c r="M69" s="345">
        <v>2021</v>
      </c>
      <c r="N69" s="345">
        <v>2022</v>
      </c>
      <c r="O69" s="345">
        <v>2023</v>
      </c>
      <c r="P69" s="345">
        <v>2024</v>
      </c>
      <c r="Q69" s="345">
        <v>2025</v>
      </c>
      <c r="R69" s="345">
        <v>2026</v>
      </c>
      <c r="S69" s="345">
        <v>2027</v>
      </c>
      <c r="T69" s="345">
        <v>2028</v>
      </c>
      <c r="U69" s="345">
        <v>2029</v>
      </c>
      <c r="V69" s="345">
        <v>2030</v>
      </c>
    </row>
    <row r="70" spans="1:22" x14ac:dyDescent="0.15">
      <c r="A70" s="655" t="s">
        <v>18</v>
      </c>
      <c r="B70" s="358">
        <f>B3*$Y$3/1000</f>
        <v>31.39</v>
      </c>
      <c r="C70" s="358">
        <f t="shared" ref="C70:V70" si="52">C3*$Y$3/1000*AD5</f>
        <v>31.501799999999999</v>
      </c>
      <c r="D70" s="358">
        <f t="shared" si="52"/>
        <v>31.818946500000003</v>
      </c>
      <c r="E70" s="358">
        <f t="shared" si="52"/>
        <v>30.870741894299993</v>
      </c>
      <c r="F70" s="358">
        <f t="shared" si="52"/>
        <v>29.950793785849857</v>
      </c>
      <c r="G70" s="358">
        <f t="shared" si="52"/>
        <v>29.058260131031528</v>
      </c>
      <c r="H70" s="358">
        <f t="shared" si="52"/>
        <v>27.04161687793794</v>
      </c>
      <c r="I70" s="358">
        <f t="shared" si="52"/>
        <v>25.164928666609047</v>
      </c>
      <c r="J70" s="358">
        <f t="shared" si="52"/>
        <v>23.418482617146374</v>
      </c>
      <c r="K70" s="358">
        <f t="shared" si="52"/>
        <v>21.793239923516417</v>
      </c>
      <c r="L70" s="358">
        <f t="shared" si="52"/>
        <v>20.280789072824373</v>
      </c>
      <c r="M70" s="358">
        <f t="shared" si="52"/>
        <v>18.873302311170363</v>
      </c>
      <c r="N70" s="358">
        <f t="shared" si="52"/>
        <v>17.563495130775141</v>
      </c>
      <c r="O70" s="358">
        <f t="shared" si="52"/>
        <v>16.344588568699347</v>
      </c>
      <c r="P70" s="358">
        <f t="shared" si="52"/>
        <v>15.210274122031615</v>
      </c>
      <c r="Q70" s="358">
        <f t="shared" si="52"/>
        <v>14.154681097962619</v>
      </c>
      <c r="R70" s="358">
        <f t="shared" si="52"/>
        <v>13.172346229764011</v>
      </c>
      <c r="S70" s="358">
        <f t="shared" si="52"/>
        <v>12.258185401418388</v>
      </c>
      <c r="T70" s="358">
        <f t="shared" si="52"/>
        <v>11.407467334559952</v>
      </c>
      <c r="U70" s="358">
        <f t="shared" si="52"/>
        <v>10.615789101541489</v>
      </c>
      <c r="V70" s="358">
        <f t="shared" si="52"/>
        <v>9.8790533378945113</v>
      </c>
    </row>
    <row r="71" spans="1:22" x14ac:dyDescent="0.15">
      <c r="A71" s="655" t="s">
        <v>19</v>
      </c>
      <c r="B71" s="358">
        <f>B4*$Y$4/1000</f>
        <v>54.107999999999997</v>
      </c>
      <c r="C71" s="358">
        <f t="shared" ref="C71:V71" si="53">C4*$Y$4/1000*AD5</f>
        <v>54.558900000000001</v>
      </c>
      <c r="D71" s="358">
        <f t="shared" si="53"/>
        <v>55.322724599999994</v>
      </c>
      <c r="E71" s="358">
        <f t="shared" si="53"/>
        <v>53.674107406920001</v>
      </c>
      <c r="F71" s="358">
        <f t="shared" si="53"/>
        <v>52.074619006193785</v>
      </c>
      <c r="G71" s="358">
        <f t="shared" si="53"/>
        <v>50.522795359809209</v>
      </c>
      <c r="H71" s="358">
        <f t="shared" si="53"/>
        <v>47.016513361838449</v>
      </c>
      <c r="I71" s="358">
        <f t="shared" si="53"/>
        <v>43.753567334526863</v>
      </c>
      <c r="J71" s="358">
        <f t="shared" si="53"/>
        <v>40.717069761510686</v>
      </c>
      <c r="K71" s="358">
        <f t="shared" si="53"/>
        <v>37.891305120061851</v>
      </c>
      <c r="L71" s="358">
        <f t="shared" si="53"/>
        <v>35.261648544729553</v>
      </c>
      <c r="M71" s="358">
        <f t="shared" si="53"/>
        <v>32.814490135725322</v>
      </c>
      <c r="N71" s="358">
        <f t="shared" si="53"/>
        <v>30.537164520305986</v>
      </c>
      <c r="O71" s="358">
        <f t="shared" si="53"/>
        <v>28.417885302596751</v>
      </c>
      <c r="P71" s="358">
        <f t="shared" si="53"/>
        <v>26.445684062596527</v>
      </c>
      <c r="Q71" s="358">
        <f t="shared" si="53"/>
        <v>24.61035358865233</v>
      </c>
      <c r="R71" s="358">
        <f t="shared" si="53"/>
        <v>22.90239504959986</v>
      </c>
      <c r="S71" s="358">
        <f t="shared" si="53"/>
        <v>21.31296883315763</v>
      </c>
      <c r="T71" s="358">
        <f t="shared" si="53"/>
        <v>19.833848796136493</v>
      </c>
      <c r="U71" s="358">
        <f t="shared" si="53"/>
        <v>18.457379689684622</v>
      </c>
      <c r="V71" s="358">
        <f t="shared" si="53"/>
        <v>17.176437539220515</v>
      </c>
    </row>
    <row r="72" spans="1:22" x14ac:dyDescent="0.15">
      <c r="A72" s="655" t="s">
        <v>20</v>
      </c>
      <c r="B72" s="358">
        <f>B5*$Y$5/1000</f>
        <v>33.567</v>
      </c>
      <c r="C72" s="358">
        <f t="shared" ref="C72:V72" si="54">C5*$Y$5/1000*AD5</f>
        <v>35.545949999999998</v>
      </c>
      <c r="D72" s="358">
        <f t="shared" si="54"/>
        <v>40.264468199999996</v>
      </c>
      <c r="E72" s="358">
        <f t="shared" si="54"/>
        <v>46.019340971999995</v>
      </c>
      <c r="F72" s="358">
        <f t="shared" si="54"/>
        <v>53.259285178440003</v>
      </c>
      <c r="G72" s="358">
        <f t="shared" si="54"/>
        <v>60.985089919987196</v>
      </c>
      <c r="H72" s="358">
        <f t="shared" si="54"/>
        <v>69.651642932835372</v>
      </c>
      <c r="I72" s="358">
        <f t="shared" si="54"/>
        <v>79.54979437774378</v>
      </c>
      <c r="J72" s="358">
        <f t="shared" si="54"/>
        <v>90.854565938143452</v>
      </c>
      <c r="K72" s="358">
        <f t="shared" si="54"/>
        <v>103.7658515195093</v>
      </c>
      <c r="L72" s="358">
        <f t="shared" si="54"/>
        <v>118.51195182528953</v>
      </c>
      <c r="M72" s="358">
        <f t="shared" si="54"/>
        <v>98.554539137910766</v>
      </c>
      <c r="N72" s="358">
        <f t="shared" si="54"/>
        <v>81.957954747086575</v>
      </c>
      <c r="O72" s="358">
        <f t="shared" si="54"/>
        <v>68.156235167677167</v>
      </c>
      <c r="P72" s="358">
        <f t="shared" si="54"/>
        <v>56.678725165440333</v>
      </c>
      <c r="Q72" s="358">
        <f t="shared" si="54"/>
        <v>47.134027847580164</v>
      </c>
      <c r="R72" s="358">
        <f t="shared" si="54"/>
        <v>39.196657558047654</v>
      </c>
      <c r="S72" s="358">
        <f t="shared" si="54"/>
        <v>32.595940425272417</v>
      </c>
      <c r="T72" s="358">
        <f t="shared" si="54"/>
        <v>27.106784057656544</v>
      </c>
      <c r="U72" s="358">
        <f t="shared" si="54"/>
        <v>22.542001622347176</v>
      </c>
      <c r="V72" s="358">
        <f t="shared" si="54"/>
        <v>18.745928549143908</v>
      </c>
    </row>
    <row r="73" spans="1:22" x14ac:dyDescent="0.15">
      <c r="A73" s="655" t="s">
        <v>21</v>
      </c>
      <c r="B73" s="358">
        <f>B6*$Y$6/1000</f>
        <v>21</v>
      </c>
      <c r="C73" s="358">
        <f t="shared" ref="C73:V73" si="55">C6*$Y$6/1000*AD5</f>
        <v>27.324000000000002</v>
      </c>
      <c r="D73" s="358">
        <f t="shared" si="55"/>
        <v>41.164200000000001</v>
      </c>
      <c r="E73" s="358">
        <f t="shared" si="55"/>
        <v>52.396145999999995</v>
      </c>
      <c r="F73" s="358">
        <f t="shared" si="55"/>
        <v>67.722018704999996</v>
      </c>
      <c r="G73" s="358">
        <f t="shared" si="55"/>
        <v>79.312570161659991</v>
      </c>
      <c r="H73" s="358">
        <f t="shared" si="55"/>
        <v>87.941777795248612</v>
      </c>
      <c r="I73" s="358">
        <f t="shared" si="55"/>
        <v>97.50984321937166</v>
      </c>
      <c r="J73" s="358">
        <f t="shared" si="55"/>
        <v>108.11891416163931</v>
      </c>
      <c r="K73" s="358">
        <f t="shared" si="55"/>
        <v>119.88225202242567</v>
      </c>
      <c r="L73" s="358">
        <f t="shared" si="55"/>
        <v>132.92544104246556</v>
      </c>
      <c r="M73" s="358">
        <f t="shared" si="55"/>
        <v>147.38772902788585</v>
      </c>
      <c r="N73" s="358">
        <f t="shared" si="55"/>
        <v>163.42351394611984</v>
      </c>
      <c r="O73" s="358">
        <f t="shared" si="55"/>
        <v>181.20399226345771</v>
      </c>
      <c r="P73" s="358">
        <f t="shared" si="55"/>
        <v>200.91898662172193</v>
      </c>
      <c r="Q73" s="358">
        <f t="shared" si="55"/>
        <v>222.77897236616528</v>
      </c>
      <c r="R73" s="358">
        <f t="shared" si="55"/>
        <v>247.01732455960405</v>
      </c>
      <c r="S73" s="358">
        <f t="shared" si="55"/>
        <v>273.89280947168902</v>
      </c>
      <c r="T73" s="358">
        <f t="shared" si="55"/>
        <v>303.6923471422088</v>
      </c>
      <c r="U73" s="358">
        <f t="shared" si="55"/>
        <v>336.73407451128116</v>
      </c>
      <c r="V73" s="358">
        <f t="shared" si="55"/>
        <v>373.37074181810857</v>
      </c>
    </row>
    <row r="74" spans="1:22" x14ac:dyDescent="0.15">
      <c r="A74" s="655" t="s">
        <v>22</v>
      </c>
      <c r="B74" s="358">
        <f>B7*$Y$7/1000</f>
        <v>14.35</v>
      </c>
      <c r="C74" s="358">
        <f t="shared" ref="C74:V74" si="56">C7*$Y$7/1000*AD5</f>
        <v>28.413</v>
      </c>
      <c r="D74" s="358">
        <f t="shared" si="56"/>
        <v>42.193304999999995</v>
      </c>
      <c r="E74" s="358">
        <f t="shared" si="56"/>
        <v>57.644493290999996</v>
      </c>
      <c r="F74" s="358">
        <f t="shared" si="56"/>
        <v>70.576910046719988</v>
      </c>
      <c r="G74" s="358">
        <f t="shared" si="56"/>
        <v>87.611860327137293</v>
      </c>
      <c r="H74" s="358">
        <f t="shared" si="56"/>
        <v>99.746102982445791</v>
      </c>
      <c r="I74" s="358">
        <f t="shared" si="56"/>
        <v>113.56093824551452</v>
      </c>
      <c r="J74" s="358">
        <f t="shared" si="56"/>
        <v>129.28912819251826</v>
      </c>
      <c r="K74" s="358">
        <f t="shared" si="56"/>
        <v>147.19567244718203</v>
      </c>
      <c r="L74" s="358">
        <f t="shared" si="56"/>
        <v>145.61184475094257</v>
      </c>
      <c r="M74" s="358">
        <f t="shared" si="56"/>
        <v>144.15572630343314</v>
      </c>
      <c r="N74" s="358">
        <f t="shared" si="56"/>
        <v>142.71416904039882</v>
      </c>
      <c r="O74" s="358">
        <f t="shared" si="56"/>
        <v>141.28702734999482</v>
      </c>
      <c r="P74" s="358">
        <f t="shared" si="56"/>
        <v>139.87415707649487</v>
      </c>
      <c r="Q74" s="358">
        <f t="shared" si="56"/>
        <v>138.47541550572993</v>
      </c>
      <c r="R74" s="358">
        <f t="shared" si="56"/>
        <v>137.0906613506726</v>
      </c>
      <c r="S74" s="358">
        <f t="shared" si="56"/>
        <v>135.71975473716589</v>
      </c>
      <c r="T74" s="358">
        <f t="shared" si="56"/>
        <v>134.36255718979422</v>
      </c>
      <c r="U74" s="358">
        <f t="shared" si="56"/>
        <v>133.01893161789627</v>
      </c>
      <c r="V74" s="358">
        <f t="shared" si="56"/>
        <v>131.68874230171733</v>
      </c>
    </row>
    <row r="75" spans="1:22" x14ac:dyDescent="0.15">
      <c r="A75" s="656" t="s">
        <v>37</v>
      </c>
      <c r="B75" s="358">
        <f>B8*$Y$8/1000</f>
        <v>18.75</v>
      </c>
      <c r="C75" s="358">
        <f t="shared" ref="C75:V75" si="57">C8*$Y$8/1000*AD5</f>
        <v>18.710999999999999</v>
      </c>
      <c r="D75" s="358">
        <f t="shared" si="57"/>
        <v>15.436574999999999</v>
      </c>
      <c r="E75" s="358">
        <f t="shared" si="57"/>
        <v>13.186363409999998</v>
      </c>
      <c r="F75" s="358">
        <f t="shared" si="57"/>
        <v>8.5445015089499989</v>
      </c>
      <c r="G75" s="358">
        <f t="shared" si="57"/>
        <v>10.898345971853999</v>
      </c>
      <c r="H75" s="358">
        <f t="shared" si="57"/>
        <v>10.249894386528686</v>
      </c>
      <c r="I75" s="358">
        <f t="shared" si="57"/>
        <v>9.6400256705302265</v>
      </c>
      <c r="J75" s="358">
        <f t="shared" si="57"/>
        <v>9.066444143133678</v>
      </c>
      <c r="K75" s="358">
        <f t="shared" si="57"/>
        <v>8.5269907166172239</v>
      </c>
      <c r="L75" s="358">
        <f t="shared" si="57"/>
        <v>8.0196347689784968</v>
      </c>
      <c r="M75" s="358">
        <f t="shared" si="57"/>
        <v>7.5424665002242763</v>
      </c>
      <c r="N75" s="358">
        <f t="shared" si="57"/>
        <v>7.0936897434609323</v>
      </c>
      <c r="O75" s="358">
        <f t="shared" si="57"/>
        <v>6.6716152037250067</v>
      </c>
      <c r="P75" s="358">
        <f t="shared" si="57"/>
        <v>6.2746540991033681</v>
      </c>
      <c r="Q75" s="358">
        <f t="shared" si="57"/>
        <v>5.9013121802067179</v>
      </c>
      <c r="R75" s="358">
        <f t="shared" si="57"/>
        <v>5.5501841054844183</v>
      </c>
      <c r="S75" s="358">
        <f t="shared" si="57"/>
        <v>5.2199481512080936</v>
      </c>
      <c r="T75" s="358">
        <f t="shared" si="57"/>
        <v>4.909361236211212</v>
      </c>
      <c r="U75" s="358">
        <f t="shared" si="57"/>
        <v>4.617254242656645</v>
      </c>
      <c r="V75" s="358">
        <f t="shared" si="57"/>
        <v>4.3425276152185743</v>
      </c>
    </row>
    <row r="76" spans="1:22" x14ac:dyDescent="0.15">
      <c r="A76" s="656" t="s">
        <v>60</v>
      </c>
      <c r="B76" s="358">
        <f>B9*$Y$9/1000</f>
        <v>0</v>
      </c>
      <c r="C76" s="358">
        <f t="shared" ref="C76:V76" si="58">C9*$Y$9/1000*AD5</f>
        <v>0</v>
      </c>
      <c r="D76" s="358">
        <f t="shared" si="58"/>
        <v>1.9601999999999999</v>
      </c>
      <c r="E76" s="358">
        <f t="shared" si="58"/>
        <v>9.7029899999999998</v>
      </c>
      <c r="F76" s="358">
        <f t="shared" si="58"/>
        <v>19.211920199999998</v>
      </c>
      <c r="G76" s="358">
        <f t="shared" si="58"/>
        <v>27.261714763799933</v>
      </c>
      <c r="H76" s="358">
        <f t="shared" si="58"/>
        <v>35.462418960770933</v>
      </c>
      <c r="I76" s="358">
        <f t="shared" si="58"/>
        <v>43.496382902326133</v>
      </c>
      <c r="J76" s="358">
        <f t="shared" si="58"/>
        <v>51.36612132315414</v>
      </c>
      <c r="K76" s="358">
        <f t="shared" si="58"/>
        <v>59.074115337275359</v>
      </c>
      <c r="L76" s="358">
        <f t="shared" si="58"/>
        <v>66.62281285898186</v>
      </c>
      <c r="M76" s="358">
        <f t="shared" si="58"/>
        <v>76.509638287254759</v>
      </c>
      <c r="N76" s="358">
        <f t="shared" si="58"/>
        <v>87.863668609083348</v>
      </c>
      <c r="O76" s="358">
        <f t="shared" si="58"/>
        <v>100.9026370306713</v>
      </c>
      <c r="P76" s="358">
        <f t="shared" si="58"/>
        <v>115.87658836602292</v>
      </c>
      <c r="Q76" s="358">
        <f t="shared" si="58"/>
        <v>133.07267407954072</v>
      </c>
      <c r="R76" s="358">
        <f t="shared" si="58"/>
        <v>152.82065891294457</v>
      </c>
      <c r="S76" s="358">
        <f t="shared" si="58"/>
        <v>175.49924469562549</v>
      </c>
      <c r="T76" s="358">
        <f t="shared" si="58"/>
        <v>201.54333260845627</v>
      </c>
      <c r="U76" s="358">
        <f t="shared" si="58"/>
        <v>231.4523631675512</v>
      </c>
      <c r="V76" s="358">
        <f t="shared" si="58"/>
        <v>265.79989386161577</v>
      </c>
    </row>
    <row r="77" spans="1:22" x14ac:dyDescent="0.15">
      <c r="A77" s="655" t="s">
        <v>23</v>
      </c>
      <c r="B77" s="358">
        <f>B16*$Y$16/1000</f>
        <v>425</v>
      </c>
      <c r="C77" s="358">
        <f>C16*$Y$16/1000*AD5</f>
        <v>427.06124999999992</v>
      </c>
      <c r="D77" s="358">
        <f t="shared" ref="D77:V77" si="59">D16*$Y$16/1000*AE5</f>
        <v>429.13249706249985</v>
      </c>
      <c r="E77" s="358">
        <f t="shared" si="59"/>
        <v>431.21378967325285</v>
      </c>
      <c r="F77" s="358">
        <f t="shared" si="59"/>
        <v>433.30517655316811</v>
      </c>
      <c r="G77" s="358">
        <f t="shared" si="59"/>
        <v>435.40670665945089</v>
      </c>
      <c r="H77" s="358">
        <f t="shared" si="59"/>
        <v>437.51842918674919</v>
      </c>
      <c r="I77" s="358">
        <f t="shared" si="59"/>
        <v>439.64039356830494</v>
      </c>
      <c r="J77" s="358">
        <f t="shared" si="59"/>
        <v>441.77264947711103</v>
      </c>
      <c r="K77" s="358">
        <f t="shared" si="59"/>
        <v>443.91524682707501</v>
      </c>
      <c r="L77" s="358">
        <f t="shared" si="59"/>
        <v>446.06823577418635</v>
      </c>
      <c r="M77" s="358">
        <f t="shared" si="59"/>
        <v>448.2316667176911</v>
      </c>
      <c r="N77" s="358">
        <f t="shared" si="59"/>
        <v>450.4055903012719</v>
      </c>
      <c r="O77" s="358">
        <f t="shared" si="59"/>
        <v>452.59005741423306</v>
      </c>
      <c r="P77" s="358">
        <f t="shared" si="59"/>
        <v>454.78511919269204</v>
      </c>
      <c r="Q77" s="358">
        <f t="shared" si="59"/>
        <v>456.99082702077646</v>
      </c>
      <c r="R77" s="358">
        <f t="shared" si="59"/>
        <v>459.20723253182717</v>
      </c>
      <c r="S77" s="358">
        <f t="shared" si="59"/>
        <v>461.43438760960652</v>
      </c>
      <c r="T77" s="358">
        <f t="shared" si="59"/>
        <v>463.672344389513</v>
      </c>
      <c r="U77" s="358">
        <f t="shared" si="59"/>
        <v>465.92115525980222</v>
      </c>
      <c r="V77" s="358">
        <f t="shared" si="59"/>
        <v>468.18087286281218</v>
      </c>
    </row>
    <row r="78" spans="1:22" x14ac:dyDescent="0.15">
      <c r="A78" s="655" t="s">
        <v>24</v>
      </c>
      <c r="B78" s="358">
        <f>B17*$Y$17/1000</f>
        <v>4.75</v>
      </c>
      <c r="C78" s="358">
        <f>C17*$Y$17/1000*AD5</f>
        <v>4.7730375</v>
      </c>
      <c r="D78" s="358">
        <f t="shared" ref="D78:V78" si="60">D17*$Y$17/1000*AE5</f>
        <v>4.7961867318749984</v>
      </c>
      <c r="E78" s="358">
        <f t="shared" si="60"/>
        <v>4.8194482375245906</v>
      </c>
      <c r="F78" s="358">
        <f t="shared" si="60"/>
        <v>4.8428225614765843</v>
      </c>
      <c r="G78" s="358">
        <f t="shared" si="60"/>
        <v>4.8663102508997458</v>
      </c>
      <c r="H78" s="358">
        <f t="shared" si="60"/>
        <v>4.8899118556166092</v>
      </c>
      <c r="I78" s="358">
        <f t="shared" si="60"/>
        <v>4.9136279281163482</v>
      </c>
      <c r="J78" s="358">
        <f t="shared" si="60"/>
        <v>4.9374590235677118</v>
      </c>
      <c r="K78" s="358">
        <f t="shared" si="60"/>
        <v>4.9614056998320146</v>
      </c>
      <c r="L78" s="358">
        <f t="shared" si="60"/>
        <v>4.9854685174762006</v>
      </c>
      <c r="M78" s="358">
        <f t="shared" si="60"/>
        <v>5.0096480397859597</v>
      </c>
      <c r="N78" s="358">
        <f t="shared" si="60"/>
        <v>5.0339448327789214</v>
      </c>
      <c r="O78" s="358">
        <f t="shared" si="60"/>
        <v>5.0583594652178991</v>
      </c>
      <c r="P78" s="358">
        <f t="shared" si="60"/>
        <v>5.0828925086242043</v>
      </c>
      <c r="Q78" s="358">
        <f t="shared" si="60"/>
        <v>5.1075445372910311</v>
      </c>
      <c r="R78" s="358">
        <f t="shared" si="60"/>
        <v>5.1323161282968925</v>
      </c>
      <c r="S78" s="358">
        <f t="shared" si="60"/>
        <v>5.1572078615191321</v>
      </c>
      <c r="T78" s="358">
        <f t="shared" si="60"/>
        <v>5.1822203196474996</v>
      </c>
      <c r="U78" s="358">
        <f t="shared" si="60"/>
        <v>5.20735408819779</v>
      </c>
      <c r="V78" s="358">
        <f t="shared" si="60"/>
        <v>5.232609755525548</v>
      </c>
    </row>
    <row r="79" spans="1:22" x14ac:dyDescent="0.15">
      <c r="A79" s="655" t="s">
        <v>25</v>
      </c>
      <c r="B79" s="358">
        <f>B18*$Y17/1000</f>
        <v>2.5</v>
      </c>
      <c r="C79" s="358">
        <f>C18*$Y$17/1000*AD5</f>
        <v>2.5121250000000002</v>
      </c>
      <c r="D79" s="358">
        <f t="shared" ref="D79:V79" si="61">D18*$Y$17/1000*AE5</f>
        <v>2.5243088062499996</v>
      </c>
      <c r="E79" s="358">
        <f t="shared" si="61"/>
        <v>2.5365517039603107</v>
      </c>
      <c r="F79" s="358">
        <f t="shared" si="61"/>
        <v>2.5488539797245187</v>
      </c>
      <c r="G79" s="358">
        <f t="shared" si="61"/>
        <v>2.5612159215261818</v>
      </c>
      <c r="H79" s="358">
        <f t="shared" si="61"/>
        <v>2.5736378187455839</v>
      </c>
      <c r="I79" s="358">
        <f t="shared" si="61"/>
        <v>2.5861199621664994</v>
      </c>
      <c r="J79" s="358">
        <f t="shared" si="61"/>
        <v>2.5986626439830061</v>
      </c>
      <c r="K79" s="358">
        <f t="shared" si="61"/>
        <v>2.6112661578063237</v>
      </c>
      <c r="L79" s="358">
        <f t="shared" si="61"/>
        <v>2.623930798671684</v>
      </c>
      <c r="M79" s="358">
        <f t="shared" si="61"/>
        <v>2.6366568630452418</v>
      </c>
      <c r="N79" s="358">
        <f t="shared" si="61"/>
        <v>2.6494446488310111</v>
      </c>
      <c r="O79" s="358">
        <f t="shared" si="61"/>
        <v>2.6622944553778409</v>
      </c>
      <c r="P79" s="358">
        <f t="shared" si="61"/>
        <v>2.6752065834864238</v>
      </c>
      <c r="Q79" s="358">
        <f t="shared" si="61"/>
        <v>2.6881813354163322</v>
      </c>
      <c r="R79" s="358">
        <f t="shared" si="61"/>
        <v>2.701219014893101</v>
      </c>
      <c r="S79" s="358">
        <f t="shared" si="61"/>
        <v>2.7143199271153327</v>
      </c>
      <c r="T79" s="358">
        <f t="shared" si="61"/>
        <v>2.7274843787618419</v>
      </c>
      <c r="U79" s="358">
        <f t="shared" si="61"/>
        <v>2.7407126779988369</v>
      </c>
      <c r="V79" s="358">
        <f t="shared" si="61"/>
        <v>2.754005134487131</v>
      </c>
    </row>
    <row r="80" spans="1:22" x14ac:dyDescent="0.15">
      <c r="A80" s="655" t="s">
        <v>26</v>
      </c>
      <c r="B80" s="358">
        <f>B19*$Y$17/1000</f>
        <v>3.75</v>
      </c>
      <c r="C80" s="358">
        <f>C19*$Y$17/1000*AD5</f>
        <v>3.7681874999999989</v>
      </c>
      <c r="D80" s="358">
        <f t="shared" ref="D80:V80" si="62">D19*$Y$17/1000*AE5</f>
        <v>3.7864632093749986</v>
      </c>
      <c r="E80" s="358">
        <f t="shared" si="62"/>
        <v>3.8048275559404661</v>
      </c>
      <c r="F80" s="358">
        <f t="shared" si="62"/>
        <v>3.8232809695867767</v>
      </c>
      <c r="G80" s="358">
        <f t="shared" si="62"/>
        <v>3.8418238822892725</v>
      </c>
      <c r="H80" s="358">
        <f t="shared" si="62"/>
        <v>3.8604567281183755</v>
      </c>
      <c r="I80" s="358">
        <f t="shared" si="62"/>
        <v>3.8791799432497482</v>
      </c>
      <c r="J80" s="358">
        <f t="shared" si="62"/>
        <v>3.8979939659745098</v>
      </c>
      <c r="K80" s="358">
        <f t="shared" si="62"/>
        <v>3.9168992367094857</v>
      </c>
      <c r="L80" s="358">
        <f t="shared" si="62"/>
        <v>3.935896198007526</v>
      </c>
      <c r="M80" s="358">
        <f t="shared" si="62"/>
        <v>3.9549852945678627</v>
      </c>
      <c r="N80" s="358">
        <f t="shared" si="62"/>
        <v>3.9741669732465161</v>
      </c>
      <c r="O80" s="358">
        <f t="shared" si="62"/>
        <v>3.9934416830667621</v>
      </c>
      <c r="P80" s="358">
        <f t="shared" si="62"/>
        <v>4.0128098752296353</v>
      </c>
      <c r="Q80" s="358">
        <f t="shared" si="62"/>
        <v>4.0322720031244987</v>
      </c>
      <c r="R80" s="358">
        <f t="shared" si="62"/>
        <v>4.0518285223396511</v>
      </c>
      <c r="S80" s="358">
        <f t="shared" si="62"/>
        <v>4.0714798906729985</v>
      </c>
      <c r="T80" s="358">
        <f t="shared" si="62"/>
        <v>4.0912265681427629</v>
      </c>
      <c r="U80" s="358">
        <f t="shared" si="62"/>
        <v>4.1110690169982549</v>
      </c>
      <c r="V80" s="358">
        <f t="shared" si="62"/>
        <v>4.1310077017306952</v>
      </c>
    </row>
    <row r="81" spans="1:24" x14ac:dyDescent="0.15">
      <c r="A81" s="655" t="s">
        <v>27</v>
      </c>
      <c r="B81" s="358">
        <f>B20*$Y$17/1000</f>
        <v>4.375</v>
      </c>
      <c r="C81" s="358">
        <f>C20*$Y$17/1000*AD5</f>
        <v>4.3962187499999992</v>
      </c>
      <c r="D81" s="358">
        <f t="shared" ref="D81:V81" si="63">D20*$Y$17/1000*AE5</f>
        <v>4.4175404109374981</v>
      </c>
      <c r="E81" s="358">
        <f t="shared" si="63"/>
        <v>4.438965481930544</v>
      </c>
      <c r="F81" s="358">
        <f t="shared" si="63"/>
        <v>4.4604944645179065</v>
      </c>
      <c r="G81" s="358">
        <f t="shared" si="63"/>
        <v>4.4821278626708176</v>
      </c>
      <c r="H81" s="358">
        <f t="shared" si="63"/>
        <v>4.5038661828047708</v>
      </c>
      <c r="I81" s="358">
        <f t="shared" si="63"/>
        <v>4.525709933791374</v>
      </c>
      <c r="J81" s="358">
        <f t="shared" si="63"/>
        <v>4.5476596269702609</v>
      </c>
      <c r="K81" s="358">
        <f t="shared" si="63"/>
        <v>4.5697157761610674</v>
      </c>
      <c r="L81" s="358">
        <f t="shared" si="63"/>
        <v>4.5918788976754472</v>
      </c>
      <c r="M81" s="358">
        <f t="shared" si="63"/>
        <v>4.614149510329173</v>
      </c>
      <c r="N81" s="358">
        <f t="shared" si="63"/>
        <v>4.6365281354542693</v>
      </c>
      <c r="O81" s="358">
        <f t="shared" si="63"/>
        <v>4.659015296911222</v>
      </c>
      <c r="P81" s="358">
        <f t="shared" si="63"/>
        <v>4.6816115211012406</v>
      </c>
      <c r="Q81" s="358">
        <f t="shared" si="63"/>
        <v>4.7043173369785816</v>
      </c>
      <c r="R81" s="358">
        <f t="shared" si="63"/>
        <v>4.7271332760629265</v>
      </c>
      <c r="S81" s="358">
        <f t="shared" si="63"/>
        <v>4.7500598724518319</v>
      </c>
      <c r="T81" s="358">
        <f t="shared" si="63"/>
        <v>4.7730976628332229</v>
      </c>
      <c r="U81" s="358">
        <f t="shared" si="63"/>
        <v>4.7962471864979639</v>
      </c>
      <c r="V81" s="358">
        <f t="shared" si="63"/>
        <v>4.8195089853524786</v>
      </c>
    </row>
    <row r="82" spans="1:24" x14ac:dyDescent="0.15">
      <c r="A82" s="657" t="s">
        <v>28</v>
      </c>
      <c r="B82" s="358">
        <f>'WANFANWIFI old'!G153*0.2/0.8</f>
        <v>136.41127952941176</v>
      </c>
      <c r="C82" s="358">
        <f>'WANFANWIFI old'!H153*0.2/0.8*AD5</f>
        <v>141.48770183424472</v>
      </c>
      <c r="D82" s="358">
        <f>'WANFANWIFI old'!I153*0.2/0.8</f>
        <v>151.12119163914059</v>
      </c>
      <c r="E82" s="358">
        <f>'WANFANWIFI old'!J153*0.2/0.8</f>
        <v>165.0488853827114</v>
      </c>
      <c r="F82" s="358">
        <f>'WANFANWIFI old'!K153*0.2/0.8</f>
        <v>183.06755846287365</v>
      </c>
      <c r="G82" s="358">
        <f>'WANFANWIFI old'!L153*0.2/0.8</f>
        <v>205.30861403983749</v>
      </c>
      <c r="H82" s="358">
        <f>'WANFANWIFI old'!M153*0.2/0.8</f>
        <v>231.95619723517427</v>
      </c>
      <c r="I82" s="358">
        <f>'WANFANWIFI old'!N153*0.2/0.8</f>
        <v>263.68872692521268</v>
      </c>
      <c r="J82" s="358">
        <f>'WANFANWIFI old'!O153*0.2/0.8</f>
        <v>309.93761352170202</v>
      </c>
      <c r="K82" s="358">
        <f>'WANFANWIFI old'!P153*0.2/0.8</f>
        <v>369.1075370681807</v>
      </c>
      <c r="L82" s="358">
        <f>'WANFANWIFI old'!Q153*0.2/0.8</f>
        <v>446.49995907939694</v>
      </c>
      <c r="M82" s="358">
        <f>'WANFANWIFI old'!R153*0.2/0.8</f>
        <v>548.35836433907855</v>
      </c>
      <c r="N82" s="358">
        <f>'WANFANWIFI old'!S153*0.2/0.8</f>
        <v>675.35536764435301</v>
      </c>
      <c r="O82" s="358">
        <f>'WANFANWIFI old'!T153*0.2/0.8</f>
        <v>847.49584081071544</v>
      </c>
      <c r="P82" s="358">
        <f>'WANFANWIFI old'!U153*0.2/0.8</f>
        <v>1059.9620204472103</v>
      </c>
      <c r="Q82" s="358">
        <f>'WANFANWIFI old'!V153*0.2/0.8</f>
        <v>1330.4867724315257</v>
      </c>
      <c r="R82" s="358">
        <f>'WANFANWIFI old'!W153*0.2/0.8</f>
        <v>396.07184290988982</v>
      </c>
      <c r="S82" s="358" t="e">
        <f>'WANFANWIFI old'!X153*0.2/0.8</f>
        <v>#DIV/0!</v>
      </c>
      <c r="T82" s="358" t="e">
        <f>'WANFANWIFI old'!Y153*0.2/0.8</f>
        <v>#DIV/0!</v>
      </c>
      <c r="U82" s="358" t="e">
        <f>'WANFANWIFI old'!Z153*0.2/0.8</f>
        <v>#DIV/0!</v>
      </c>
      <c r="V82" s="358" t="e">
        <f>'WANFANWIFI old'!AA153*0.2/0.8</f>
        <v>#DIV/0!</v>
      </c>
    </row>
    <row r="83" spans="1:24" x14ac:dyDescent="0.15">
      <c r="A83" s="657" t="s">
        <v>29</v>
      </c>
      <c r="B83" s="358">
        <f>'DC old'!F9*0.2/0.8</f>
        <v>49.802239999999998</v>
      </c>
      <c r="C83" s="358">
        <f>'DC old'!G9*0.2/0.8*AD5</f>
        <v>61.540300799999997</v>
      </c>
      <c r="D83" s="358">
        <f>'DC old'!H9*0.2/0.8*AE5</f>
        <v>83.602498636799965</v>
      </c>
      <c r="E83" s="358">
        <f>'DC old'!I9*0.2/0.8*AF5</f>
        <v>94.124014709557969</v>
      </c>
      <c r="F83" s="358">
        <f>'DC old'!J9*0.2/0.8*AG5</f>
        <v>116.4116503266868</v>
      </c>
      <c r="G83" s="358">
        <f>'DC old'!K9*0.2/0.8*AH5</f>
        <v>143.96054461920932</v>
      </c>
      <c r="H83" s="358">
        <f>'DC old'!L9*0.2/0.8*AI5</f>
        <v>177.62816175818372</v>
      </c>
      <c r="I83" s="358">
        <f>'DC old'!M9*0.2/0.8*AJ5</f>
        <v>234.49087174128152</v>
      </c>
      <c r="J83" s="358">
        <f>'DC old'!N9*0.2/0.8*AK5</f>
        <v>318.11689280060534</v>
      </c>
      <c r="K83" s="358">
        <f>'DC old'!O9*0.2/0.8*AL5</f>
        <v>431.38190470125124</v>
      </c>
      <c r="L83" s="358">
        <f>'DC old'!P9*0.2/0.8*AM5</f>
        <v>584.76968925031758</v>
      </c>
      <c r="M83" s="358">
        <f>'DC old'!Q9*0.2/0.8*AN5</f>
        <v>793.19467698004576</v>
      </c>
      <c r="N83" s="358">
        <f>'DC old'!R9*0.2/0.8*AO5</f>
        <v>1076.195236666</v>
      </c>
      <c r="O83" s="358">
        <f>'DC old'!S9*0.2/0.8*AP5</f>
        <v>1460.1842698587782</v>
      </c>
      <c r="P83" s="358">
        <f>'DC old'!T9*0.2/0.8*AQ5</f>
        <v>1981.3066473383562</v>
      </c>
      <c r="Q83" s="358">
        <f>'DC old'!U9*0.2/0.8*AR5</f>
        <v>2688.7210272659145</v>
      </c>
      <c r="R83" s="358">
        <f>'DC old'!V9*0.2/0.8*AS5</f>
        <v>0</v>
      </c>
      <c r="S83" s="358" t="e">
        <f>'DC old'!W9*0.2/0.8*AT5</f>
        <v>#DIV/0!</v>
      </c>
      <c r="T83" s="358" t="e">
        <f>'DC old'!X9*0.2/0.8*AU5</f>
        <v>#DIV/0!</v>
      </c>
      <c r="U83" s="358" t="e">
        <f>'DC old'!Y9*0.2/0.8*AV5</f>
        <v>#DIV/0!</v>
      </c>
      <c r="V83" s="358" t="e">
        <f>'DC old'!Z9*0.2/0.8*AW5</f>
        <v>#DIV/0!</v>
      </c>
    </row>
    <row r="84" spans="1:24" s="348" customFormat="1" x14ac:dyDescent="0.15">
      <c r="A84" s="359" t="s">
        <v>30</v>
      </c>
      <c r="B84" s="359">
        <f>SUM(B70:B83)</f>
        <v>799.75351952941173</v>
      </c>
      <c r="C84" s="359">
        <f t="shared" ref="C84:V84" si="64">SUM(C70:C83)</f>
        <v>841.59347138424459</v>
      </c>
      <c r="D84" s="359">
        <f t="shared" si="64"/>
        <v>907.5411057968779</v>
      </c>
      <c r="E84" s="359">
        <f t="shared" si="64"/>
        <v>969.48066571909817</v>
      </c>
      <c r="F84" s="359">
        <f t="shared" si="64"/>
        <v>1049.799885749188</v>
      </c>
      <c r="G84" s="359">
        <f t="shared" si="64"/>
        <v>1146.0779798711631</v>
      </c>
      <c r="H84" s="359">
        <f t="shared" si="64"/>
        <v>1240.0406280629984</v>
      </c>
      <c r="I84" s="359">
        <f t="shared" si="64"/>
        <v>1366.4001104187455</v>
      </c>
      <c r="J84" s="359">
        <f t="shared" si="64"/>
        <v>1538.63965719716</v>
      </c>
      <c r="K84" s="359">
        <f t="shared" si="64"/>
        <v>1758.5934025536035</v>
      </c>
      <c r="L84" s="359">
        <f t="shared" si="64"/>
        <v>2020.7091813799439</v>
      </c>
      <c r="M84" s="359">
        <f t="shared" si="64"/>
        <v>2331.8380394481483</v>
      </c>
      <c r="N84" s="359">
        <f t="shared" si="64"/>
        <v>2749.403934939166</v>
      </c>
      <c r="O84" s="359">
        <f t="shared" si="64"/>
        <v>3319.6272598711225</v>
      </c>
      <c r="P84" s="359">
        <f t="shared" si="64"/>
        <v>4073.7853769801113</v>
      </c>
      <c r="Q84" s="359">
        <f t="shared" si="64"/>
        <v>5078.8583785968649</v>
      </c>
      <c r="R84" s="359">
        <f t="shared" si="64"/>
        <v>1489.6418001494267</v>
      </c>
      <c r="S84" s="359" t="e">
        <f t="shared" si="64"/>
        <v>#DIV/0!</v>
      </c>
      <c r="T84" s="359" t="e">
        <f t="shared" si="64"/>
        <v>#DIV/0!</v>
      </c>
      <c r="U84" s="359" t="e">
        <f t="shared" si="64"/>
        <v>#DIV/0!</v>
      </c>
      <c r="V84" s="359" t="e">
        <f t="shared" si="64"/>
        <v>#DIV/0!</v>
      </c>
    </row>
    <row r="90" spans="1:24" ht="12" thickBot="1" x14ac:dyDescent="0.2"/>
    <row r="91" spans="1:24" x14ac:dyDescent="0.15">
      <c r="D91" s="351">
        <v>2010</v>
      </c>
      <c r="E91" s="352">
        <v>2011</v>
      </c>
      <c r="F91" s="351">
        <v>2012</v>
      </c>
      <c r="G91" s="352">
        <v>2013</v>
      </c>
      <c r="H91" s="351">
        <v>2014</v>
      </c>
      <c r="I91" s="678">
        <v>2015</v>
      </c>
      <c r="J91" s="680">
        <v>2016</v>
      </c>
      <c r="K91" s="679">
        <v>2017</v>
      </c>
      <c r="L91" s="679">
        <v>2018</v>
      </c>
      <c r="M91" s="679">
        <v>2019</v>
      </c>
      <c r="N91" s="679">
        <v>2020</v>
      </c>
      <c r="O91" s="680">
        <v>2021</v>
      </c>
      <c r="P91" s="680">
        <v>2022</v>
      </c>
      <c r="Q91" s="680">
        <v>2023</v>
      </c>
      <c r="R91" s="680">
        <v>2024</v>
      </c>
      <c r="S91" s="681">
        <v>2025</v>
      </c>
      <c r="T91" s="345">
        <v>2026</v>
      </c>
      <c r="U91" s="345">
        <v>2027</v>
      </c>
      <c r="V91" s="345">
        <v>2028</v>
      </c>
      <c r="W91" s="345">
        <v>2029</v>
      </c>
      <c r="X91" s="345">
        <v>2030</v>
      </c>
    </row>
    <row r="92" spans="1:24" ht="12" thickBot="1" x14ac:dyDescent="0.2">
      <c r="C92" s="351" t="s">
        <v>153</v>
      </c>
      <c r="D92" s="348">
        <f>B47</f>
        <v>239.11106405228759</v>
      </c>
      <c r="E92" s="348">
        <f t="shared" ref="E92:V92" si="65">C47</f>
        <v>238.91202376633328</v>
      </c>
      <c r="F92" s="348">
        <f t="shared" si="65"/>
        <v>243.69833745573294</v>
      </c>
      <c r="G92" s="348">
        <f t="shared" si="65"/>
        <v>243.20515634015129</v>
      </c>
      <c r="H92" s="348">
        <f t="shared" si="65"/>
        <v>244.20323256846169</v>
      </c>
      <c r="I92" s="673">
        <f>G47</f>
        <v>253.45775436920553</v>
      </c>
      <c r="J92" s="674">
        <f t="shared" si="65"/>
        <v>253.74480542607705</v>
      </c>
      <c r="K92" s="674">
        <f t="shared" si="65"/>
        <v>256.42471436204289</v>
      </c>
      <c r="L92" s="674">
        <f t="shared" si="65"/>
        <v>262.00043005710421</v>
      </c>
      <c r="M92" s="674">
        <f t="shared" si="65"/>
        <v>269.75541032659237</v>
      </c>
      <c r="N92" s="674">
        <f t="shared" si="65"/>
        <v>275.93590597673489</v>
      </c>
      <c r="O92" s="674">
        <f t="shared" si="65"/>
        <v>266.77688907234813</v>
      </c>
      <c r="P92" s="674">
        <f t="shared" si="65"/>
        <v>270.00700246963964</v>
      </c>
      <c r="Q92" s="674">
        <f t="shared" si="65"/>
        <v>279.66365072876812</v>
      </c>
      <c r="R92" s="674">
        <f t="shared" si="65"/>
        <v>297.21220020999573</v>
      </c>
      <c r="S92" s="675">
        <f>Q47</f>
        <v>325.51223721073234</v>
      </c>
      <c r="T92" s="348">
        <f t="shared" si="65"/>
        <v>235.30186964750141</v>
      </c>
      <c r="U92" s="348" t="e">
        <f t="shared" si="65"/>
        <v>#DIV/0!</v>
      </c>
      <c r="V92" s="348" t="e">
        <f t="shared" si="65"/>
        <v>#DIV/0!</v>
      </c>
      <c r="W92" s="348" t="e">
        <f>U47</f>
        <v>#DIV/0!</v>
      </c>
      <c r="X92" s="348" t="e">
        <f>V47</f>
        <v>#DIV/0!</v>
      </c>
    </row>
    <row r="93" spans="1:24" x14ac:dyDescent="0.15">
      <c r="C93" s="351" t="s">
        <v>154</v>
      </c>
      <c r="D93" s="693">
        <f>B66</f>
        <v>386.5761883044982</v>
      </c>
      <c r="E93" s="693">
        <f t="shared" ref="E93:V93" si="66">C66</f>
        <v>397.51417225966901</v>
      </c>
      <c r="F93" s="693">
        <f t="shared" si="66"/>
        <v>419.64274322502035</v>
      </c>
      <c r="G93" s="693">
        <f t="shared" si="66"/>
        <v>419.09609747014861</v>
      </c>
      <c r="H93" s="693">
        <f t="shared" si="66"/>
        <v>433.28641762925304</v>
      </c>
      <c r="I93" s="693">
        <f t="shared" si="66"/>
        <v>452.18967056563093</v>
      </c>
      <c r="J93" s="693">
        <f t="shared" si="66"/>
        <v>465.91544355985849</v>
      </c>
      <c r="K93" s="693">
        <f t="shared" si="66"/>
        <v>488.54838139464965</v>
      </c>
      <c r="L93" s="693">
        <f t="shared" si="66"/>
        <v>521.58845315295707</v>
      </c>
      <c r="M93" s="693">
        <f t="shared" si="66"/>
        <v>563.30426283261329</v>
      </c>
      <c r="N93" s="693">
        <f t="shared" si="66"/>
        <v>610.99558558993294</v>
      </c>
      <c r="O93" s="693">
        <f t="shared" si="66"/>
        <v>642.4283812572653</v>
      </c>
      <c r="P93" s="693">
        <f t="shared" si="66"/>
        <v>714.55857719466053</v>
      </c>
      <c r="Q93" s="693">
        <f t="shared" si="66"/>
        <v>817.72815213983677</v>
      </c>
      <c r="R93" s="693">
        <f t="shared" si="66"/>
        <v>959.49827974473862</v>
      </c>
      <c r="S93" s="693">
        <f t="shared" si="66"/>
        <v>1151.0814695772806</v>
      </c>
      <c r="T93" s="693">
        <f t="shared" si="66"/>
        <v>355.22965035619217</v>
      </c>
      <c r="U93" s="693" t="e">
        <f t="shared" si="66"/>
        <v>#DIV/0!</v>
      </c>
      <c r="V93" s="693" t="e">
        <f t="shared" si="66"/>
        <v>#DIV/0!</v>
      </c>
      <c r="W93" s="693" t="e">
        <f>U66</f>
        <v>#DIV/0!</v>
      </c>
      <c r="X93" s="693" t="e">
        <f>V66</f>
        <v>#DIV/0!</v>
      </c>
    </row>
    <row r="94" spans="1:24" x14ac:dyDescent="0.15">
      <c r="C94" s="351" t="s">
        <v>155</v>
      </c>
      <c r="D94" s="693">
        <f>B84</f>
        <v>799.75351952941173</v>
      </c>
      <c r="E94" s="693">
        <f t="shared" ref="E94:V94" si="67">C84</f>
        <v>841.59347138424459</v>
      </c>
      <c r="F94" s="693">
        <f t="shared" si="67"/>
        <v>907.5411057968779</v>
      </c>
      <c r="G94" s="693">
        <f t="shared" si="67"/>
        <v>969.48066571909817</v>
      </c>
      <c r="H94" s="693">
        <f t="shared" si="67"/>
        <v>1049.799885749188</v>
      </c>
      <c r="I94" s="693">
        <f t="shared" si="67"/>
        <v>1146.0779798711631</v>
      </c>
      <c r="J94" s="693">
        <f t="shared" si="67"/>
        <v>1240.0406280629984</v>
      </c>
      <c r="K94" s="693">
        <f t="shared" si="67"/>
        <v>1366.4001104187455</v>
      </c>
      <c r="L94" s="693">
        <f t="shared" si="67"/>
        <v>1538.63965719716</v>
      </c>
      <c r="M94" s="693">
        <f t="shared" si="67"/>
        <v>1758.5934025536035</v>
      </c>
      <c r="N94" s="693">
        <f t="shared" si="67"/>
        <v>2020.7091813799439</v>
      </c>
      <c r="O94" s="693">
        <f t="shared" si="67"/>
        <v>2331.8380394481483</v>
      </c>
      <c r="P94" s="693">
        <f t="shared" si="67"/>
        <v>2749.403934939166</v>
      </c>
      <c r="Q94" s="693">
        <f t="shared" si="67"/>
        <v>3319.6272598711225</v>
      </c>
      <c r="R94" s="693">
        <f t="shared" si="67"/>
        <v>4073.7853769801113</v>
      </c>
      <c r="S94" s="693">
        <f t="shared" si="67"/>
        <v>5078.8583785968649</v>
      </c>
      <c r="T94" s="693">
        <f t="shared" si="67"/>
        <v>1489.6418001494267</v>
      </c>
      <c r="U94" s="693" t="e">
        <f t="shared" si="67"/>
        <v>#DIV/0!</v>
      </c>
      <c r="V94" s="693" t="e">
        <f t="shared" si="67"/>
        <v>#DIV/0!</v>
      </c>
      <c r="W94" s="693" t="e">
        <f>U84</f>
        <v>#DIV/0!</v>
      </c>
      <c r="X94" s="693" t="e">
        <f>V84</f>
        <v>#DIV/0!</v>
      </c>
    </row>
    <row r="110" spans="4:4" x14ac:dyDescent="0.15">
      <c r="D110" s="351" t="s">
        <v>235</v>
      </c>
    </row>
  </sheetData>
  <phoneticPr fontId="6" type="noConversion"/>
  <pageMargins left="0.75" right="0.75" top="1" bottom="1" header="0.5" footer="0.5"/>
  <pageSetup orientation="portrait" horizontalDpi="200" verticalDpi="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58"/>
  <sheetViews>
    <sheetView tabSelected="1" topLeftCell="O1" zoomScale="96" zoomScaleNormal="96" workbookViewId="0">
      <selection activeCell="AE29" sqref="AE29"/>
    </sheetView>
  </sheetViews>
  <sheetFormatPr baseColWidth="10" defaultColWidth="11" defaultRowHeight="13" x14ac:dyDescent="0.15"/>
  <cols>
    <col min="1" max="1" width="49.33203125" customWidth="1"/>
    <col min="2" max="2" width="20.1640625" customWidth="1"/>
    <col min="3" max="3" width="12.83203125" customWidth="1"/>
    <col min="4" max="4" width="17.6640625" bestFit="1" customWidth="1"/>
    <col min="5" max="5" width="29" customWidth="1"/>
    <col min="6" max="6" width="39.5" customWidth="1"/>
    <col min="7" max="7" width="13.33203125" bestFit="1" customWidth="1"/>
    <col min="8" max="8" width="12.1640625" bestFit="1" customWidth="1"/>
    <col min="9" max="9" width="11.33203125" bestFit="1" customWidth="1"/>
    <col min="10" max="10" width="19.5" customWidth="1"/>
    <col min="11" max="11" width="17.1640625" customWidth="1"/>
    <col min="12" max="12" width="18.83203125" customWidth="1"/>
    <col min="13" max="13" width="16.33203125" customWidth="1"/>
    <col min="14" max="15" width="11.1640625" bestFit="1" customWidth="1"/>
    <col min="16" max="16" width="27.83203125" customWidth="1"/>
    <col min="17" max="17" width="20.5" bestFit="1" customWidth="1"/>
    <col min="18" max="18" width="13.1640625" bestFit="1" customWidth="1"/>
    <col min="27" max="27" width="11" customWidth="1"/>
  </cols>
  <sheetData>
    <row r="1" spans="1:28" ht="14" thickBot="1" x14ac:dyDescent="0.2">
      <c r="A1" s="14" t="s">
        <v>52</v>
      </c>
      <c r="B1" s="10">
        <v>2010</v>
      </c>
      <c r="C1" s="10">
        <v>2011</v>
      </c>
      <c r="D1" s="1">
        <v>2012</v>
      </c>
      <c r="E1" s="1">
        <v>2013</v>
      </c>
      <c r="F1" s="1">
        <v>2014</v>
      </c>
      <c r="G1" s="1">
        <v>2015</v>
      </c>
      <c r="H1" s="1">
        <v>2016</v>
      </c>
      <c r="I1" s="1">
        <v>2017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t="s">
        <v>95</v>
      </c>
      <c r="Z1" t="s">
        <v>110</v>
      </c>
    </row>
    <row r="2" spans="1:28" ht="16" thickBot="1" x14ac:dyDescent="0.25">
      <c r="A2" s="130" t="s">
        <v>15</v>
      </c>
      <c r="B2" s="586">
        <f>'WAN FAN Wi-Fi NDBS'!E297+'WAN FAN Wi-Fi NDBS'!E338+'WAN FAN Wi-Fi NDBS'!E236+'NDBS DataCenters '!D18+'Cons Dev Best '!G47+'Prod NDBS'!$D$89</f>
        <v>1608.8942311111109</v>
      </c>
      <c r="C2" s="586">
        <f>'WAN FAN Wi-Fi NDBS'!F297+'WAN FAN Wi-Fi NDBS'!F338+'WAN FAN Wi-Fi NDBS'!F236+'NDBS DataCenters '!E18+'Cons Dev Best '!H47+'Prod NDBS'!$D$89</f>
        <v>1594.6494995254402</v>
      </c>
      <c r="D2" s="586">
        <f>'WAN FAN Wi-Fi NDBS'!G297+'WAN FAN Wi-Fi NDBS'!G338+'WAN FAN Wi-Fi NDBS'!G236+'NDBS DataCenters '!F18+'Cons Dev Best '!I47+'Prod NDBS'!$D$89</f>
        <v>1609.3618636162623</v>
      </c>
      <c r="E2" s="586">
        <f>'WAN FAN Wi-Fi NDBS'!H297+'WAN FAN Wi-Fi NDBS'!H338+'WAN FAN Wi-Fi NDBS'!H236+'NDBS DataCenters '!G18+'Cons Dev Best '!J47+'Prod NDBS'!$D$89</f>
        <v>1501.1211806290303</v>
      </c>
      <c r="F2" s="586">
        <f>'WAN FAN Wi-Fi NDBS'!I297+'WAN FAN Wi-Fi NDBS'!I338+'WAN FAN Wi-Fi NDBS'!I236+'NDBS DataCenters '!H18+'Cons Dev Best '!K47+'Prod NDBS'!$D$89</f>
        <v>1460.4122767363374</v>
      </c>
      <c r="G2" s="564">
        <f>'WAN FAN Wi-Fi NDBS'!J297+'WAN FAN Wi-Fi NDBS'!J338+'WAN FAN Wi-Fi NDBS'!J236+'NDBS DataCenters '!I18+'Cons Dev Best '!L47+'Prod NDBS'!I89</f>
        <v>1743.8964456078272</v>
      </c>
      <c r="H2" s="244">
        <f>'WAN FAN Wi-Fi NDBS'!K297+'WAN FAN Wi-Fi NDBS'!K338+'WAN FAN Wi-Fi NDBS'!K236+'NDBS DataCenters '!J18+'Cons Dev Best '!M47+'Prod NDBS'!J89</f>
        <v>1552.3765858034187</v>
      </c>
      <c r="I2" s="244">
        <f>'WAN FAN Wi-Fi NDBS'!L297+'WAN FAN Wi-Fi NDBS'!L338+'WAN FAN Wi-Fi NDBS'!L236+'NDBS DataCenters '!K18+'Cons Dev Best '!N47+'Prod NDBS'!K89</f>
        <v>1534.6691168710686</v>
      </c>
      <c r="J2" s="244">
        <f>'WAN FAN Wi-Fi NDBS'!M297+'WAN FAN Wi-Fi NDBS'!M338+'WAN FAN Wi-Fi NDBS'!M236+'NDBS DataCenters '!L18+'Cons Dev Best '!O47+'Prod NDBS'!L89</f>
        <v>1539.1313463216552</v>
      </c>
      <c r="K2" s="244">
        <f>'WAN FAN Wi-Fi NDBS'!N297+'WAN FAN Wi-Fi NDBS'!N338+'WAN FAN Wi-Fi NDBS'!N236+'NDBS DataCenters '!M18+'Cons Dev Best '!P47+'Prod NDBS'!M89</f>
        <v>1552.9721612427968</v>
      </c>
      <c r="L2" s="244">
        <f>'WAN FAN Wi-Fi NDBS'!O297+'WAN FAN Wi-Fi NDBS'!O338+'WAN FAN Wi-Fi NDBS'!O236+'NDBS DataCenters '!N18+'Cons Dev Best '!Q47+'Prod NDBS'!N89</f>
        <v>1573.9421581296783</v>
      </c>
      <c r="M2" s="244">
        <f>'WAN FAN Wi-Fi NDBS'!P297+'WAN FAN Wi-Fi NDBS'!P338+'WAN FAN Wi-Fi NDBS'!P236+'NDBS DataCenters '!O18+'Cons Dev Best '!R47+'Prod NDBS'!O89</f>
        <v>1577.7660551363426</v>
      </c>
      <c r="N2" s="244">
        <f>'WAN FAN Wi-Fi NDBS'!Q297+'WAN FAN Wi-Fi NDBS'!Q338+'WAN FAN Wi-Fi NDBS'!Q236+'NDBS DataCenters '!P18+'Cons Dev Best '!S47+'Prod NDBS'!P89</f>
        <v>1720.0344248525457</v>
      </c>
      <c r="O2" s="244">
        <f>'WAN FAN Wi-Fi NDBS'!R297+'WAN FAN Wi-Fi NDBS'!R338+'WAN FAN Wi-Fi NDBS'!R236+'NDBS DataCenters '!Q18+'Cons Dev Best '!T47+'Prod NDBS'!Q89</f>
        <v>1922.8997100700794</v>
      </c>
      <c r="P2" s="244">
        <f>'WAN FAN Wi-Fi NDBS'!S297+'WAN FAN Wi-Fi NDBS'!S338+'WAN FAN Wi-Fi NDBS'!S236+'NDBS DataCenters '!R18+'Cons Dev Best '!U47+'Prod NDBS'!R89</f>
        <v>2207.662950004938</v>
      </c>
      <c r="Q2" s="565">
        <f>'WAN FAN Wi-Fi NDBS'!T297+'WAN FAN Wi-Fi NDBS'!T338+'WAN FAN Wi-Fi NDBS'!T236+'NDBS DataCenters '!S18+'Cons Dev Best '!V47+'Prod NDBS'!S89</f>
        <v>2606.0748146700798</v>
      </c>
      <c r="R2" s="21"/>
    </row>
    <row r="3" spans="1:28" ht="15" x14ac:dyDescent="0.2">
      <c r="A3" s="127" t="s">
        <v>357</v>
      </c>
      <c r="B3" s="587">
        <f>'WAN FAN Wi-Fi NDBS'!E299+'WAN FAN Wi-Fi NDBS'!E340+'WAN FAN Wi-Fi NDBS'!E236+'NDBS DataCenters '!D20+'Cons Dev Best '!M49+'Prod NDBS'!D91</f>
        <v>1530.8054408763435</v>
      </c>
      <c r="C3" s="587">
        <f>'WAN FAN Wi-Fi NDBS'!F299+'WAN FAN Wi-Fi NDBS'!F340+'WAN FAN Wi-Fi NDBS'!F236+'NDBS DataCenters '!E20+'Cons Dev Expe'!H48+'Prod NDBS'!E91</f>
        <v>1514.8970056073974</v>
      </c>
      <c r="D3" s="587">
        <f>'WAN FAN Wi-Fi NDBS'!G299+'WAN FAN Wi-Fi NDBS'!G340+'WAN FAN Wi-Fi NDBS'!G236+'NDBS DataCenters '!F20+'Cons Dev Expe'!I48+'Prod NDBS'!F91</f>
        <v>1693.0033480280401</v>
      </c>
      <c r="E3" s="587">
        <f>'WAN FAN Wi-Fi NDBS'!H299+'WAN FAN Wi-Fi NDBS'!H340+'WAN FAN Wi-Fi NDBS'!H236+'NDBS DataCenters '!G20+'Cons Dev Expe'!J48+'Prod NDBS'!G91</f>
        <v>1794.8625368048347</v>
      </c>
      <c r="F3" s="587">
        <f>'WAN FAN Wi-Fi NDBS'!I299+'WAN FAN Wi-Fi NDBS'!I340+'WAN FAN Wi-Fi NDBS'!I236+'NDBS DataCenters '!H20+'Cons Dev Expe'!K48+'Prod NDBS'!H91</f>
        <v>2020.9277987045693</v>
      </c>
      <c r="G3" s="330">
        <f>'WAN FAN Wi-Fi NDBS'!J298+'WAN FAN Wi-Fi NDBS'!J339+'WAN FAN Wi-Fi NDBS'!J236+'NDBS DataCenters '!I19+'Cons Dev Best '!L48+'Prod NDBS'!I90</f>
        <v>1743.8964456078272</v>
      </c>
      <c r="H3" s="252">
        <f>'WAN FAN Wi-Fi NDBS'!K298+'WAN FAN Wi-Fi NDBS'!K339+'WAN FAN Wi-Fi NDBS'!K236+'NDBS DataCenters '!J19+'Cons Dev Best '!M48+'Prod NDBS'!J90</f>
        <v>1861.4654606170957</v>
      </c>
      <c r="I3" s="252">
        <f>'WAN FAN Wi-Fi NDBS'!L298+'WAN FAN Wi-Fi NDBS'!L339+'WAN FAN Wi-Fi NDBS'!L236+'NDBS DataCenters '!K19+'Cons Dev Best '!N48+'Prod NDBS'!K90</f>
        <v>1926.3708130473865</v>
      </c>
      <c r="J3" s="252">
        <f>'WAN FAN Wi-Fi NDBS'!M298+'WAN FAN Wi-Fi NDBS'!M339+'WAN FAN Wi-Fi NDBS'!M236+'NDBS DataCenters '!L19+'Cons Dev Best '!O48+'Prod NDBS'!L90</f>
        <v>2035.2450566345522</v>
      </c>
      <c r="K3" s="252">
        <f>'WAN FAN Wi-Fi NDBS'!N298+'WAN FAN Wi-Fi NDBS'!N339+'WAN FAN Wi-Fi NDBS'!N236+'NDBS DataCenters '!M19+'Cons Dev Best '!P48+'Prod NDBS'!M90</f>
        <v>2180.1279068425793</v>
      </c>
      <c r="L3" s="252">
        <f>'WAN FAN Wi-Fi NDBS'!O298+'WAN FAN Wi-Fi NDBS'!O339+'WAN FAN Wi-Fi NDBS'!O236+'NDBS DataCenters '!N19+'Cons Dev Best '!Q48+'Prod NDBS'!N90</f>
        <v>2367.1820424491848</v>
      </c>
      <c r="M3" s="252">
        <f>'WAN FAN Wi-Fi NDBS'!P298+'WAN FAN Wi-Fi NDBS'!P339+'WAN FAN Wi-Fi NDBS'!P236+'NDBS DataCenters '!O19+'Cons Dev Best '!R48+'Prod NDBS'!O90</f>
        <v>2577.3845791849544</v>
      </c>
      <c r="N3" s="252">
        <f>'WAN FAN Wi-Fi NDBS'!Q298+'WAN FAN Wi-Fi NDBS'!Q339+'WAN FAN Wi-Fi NDBS'!Q236+'NDBS DataCenters '!P19+'Cons Dev Best '!S48+'Prod NDBS'!P90</f>
        <v>2971.7273904580234</v>
      </c>
      <c r="O3" s="252">
        <f>'WAN FAN Wi-Fi NDBS'!R298+'WAN FAN Wi-Fi NDBS'!R339+'WAN FAN Wi-Fi NDBS'!R236+'NDBS DataCenters '!Q19+'Cons Dev Best '!T48+'Prod NDBS'!Q90</f>
        <v>3513.5662949350658</v>
      </c>
      <c r="P3" s="252">
        <f>'WAN FAN Wi-Fi NDBS'!S298+'WAN FAN Wi-Fi NDBS'!S339+'WAN FAN Wi-Fi NDBS'!S236+'NDBS DataCenters '!R19+'Cons Dev Best '!U48+'Prod NDBS'!R90</f>
        <v>4249.4293522722273</v>
      </c>
      <c r="Q3" s="331">
        <f>'WAN FAN Wi-Fi NDBS'!T298+'WAN FAN Wi-Fi NDBS'!T339+'WAN FAN Wi-Fi NDBS'!T236+'NDBS DataCenters '!S19+'Cons Dev Best '!V48+'Prod NDBS'!S90</f>
        <v>5252.8828449966059</v>
      </c>
      <c r="R3" s="21"/>
    </row>
    <row r="4" spans="1:28" x14ac:dyDescent="0.15">
      <c r="B4" s="345">
        <v>2010</v>
      </c>
      <c r="C4" s="345">
        <v>2011</v>
      </c>
      <c r="D4" s="421">
        <v>2012</v>
      </c>
      <c r="E4" s="421">
        <v>2013</v>
      </c>
      <c r="F4" s="421">
        <v>2014</v>
      </c>
      <c r="G4" s="566">
        <v>2015</v>
      </c>
      <c r="H4" s="250">
        <v>2016</v>
      </c>
      <c r="I4" s="250">
        <v>2017</v>
      </c>
      <c r="J4" s="250">
        <v>2018</v>
      </c>
      <c r="K4" s="250">
        <v>2019</v>
      </c>
      <c r="L4" s="250">
        <v>2020</v>
      </c>
      <c r="M4" s="250">
        <v>2021</v>
      </c>
      <c r="N4" s="250">
        <v>2022</v>
      </c>
      <c r="O4" s="250">
        <v>2023</v>
      </c>
      <c r="P4" s="250">
        <v>2024</v>
      </c>
      <c r="Q4" s="567">
        <v>2025</v>
      </c>
    </row>
    <row r="5" spans="1:28" ht="15" x14ac:dyDescent="0.2">
      <c r="A5" s="123" t="s">
        <v>53</v>
      </c>
      <c r="B5" s="347">
        <f t="shared" ref="B5:Q5" si="0">B2*B$38/1000</f>
        <v>1.0084844320040764</v>
      </c>
      <c r="C5" s="588">
        <f t="shared" si="0"/>
        <v>0.98516772396554408</v>
      </c>
      <c r="D5" s="588">
        <f t="shared" si="0"/>
        <v>0.99874631973642347</v>
      </c>
      <c r="E5" s="588">
        <f t="shared" si="0"/>
        <v>0.92368987575309425</v>
      </c>
      <c r="F5" s="588">
        <f t="shared" si="0"/>
        <v>0.87931743071499879</v>
      </c>
      <c r="G5" s="568">
        <f t="shared" si="0"/>
        <v>1.062682129439118</v>
      </c>
      <c r="H5" s="560">
        <f t="shared" si="0"/>
        <v>0.93298433114807144</v>
      </c>
      <c r="I5" s="560">
        <f t="shared" si="0"/>
        <v>0.91132497275468172</v>
      </c>
      <c r="J5" s="560">
        <f t="shared" si="0"/>
        <v>0.90299930399277006</v>
      </c>
      <c r="K5" s="560">
        <f t="shared" si="0"/>
        <v>0.89997956053767347</v>
      </c>
      <c r="L5" s="560">
        <f t="shared" si="0"/>
        <v>0.90076156543863239</v>
      </c>
      <c r="M5" s="560">
        <f t="shared" si="0"/>
        <v>0.89114081604864515</v>
      </c>
      <c r="N5" s="560">
        <f t="shared" si="0"/>
        <v>0.9606255038277951</v>
      </c>
      <c r="O5" s="560">
        <f t="shared" si="0"/>
        <v>1.062716249306807</v>
      </c>
      <c r="P5" s="560">
        <f t="shared" si="0"/>
        <v>1.2087530388172369</v>
      </c>
      <c r="Q5" s="569">
        <f t="shared" si="0"/>
        <v>1.4160268070047757</v>
      </c>
      <c r="AB5" s="28"/>
    </row>
    <row r="6" spans="1:28" ht="15" x14ac:dyDescent="0.2">
      <c r="A6" s="127" t="s">
        <v>54</v>
      </c>
      <c r="B6" s="589">
        <f>B3*B$41/1000</f>
        <v>0.95953694512583176</v>
      </c>
      <c r="C6" s="589">
        <f>C3*C$41/1000</f>
        <v>0.9359809960190123</v>
      </c>
      <c r="D6" s="589">
        <f>D3*D$41/1000</f>
        <v>1.0425411862427401</v>
      </c>
      <c r="E6" s="589">
        <f>E3*E$41/1000</f>
        <v>1.1002820768467567</v>
      </c>
      <c r="F6" s="589">
        <f>F3*F$41/1000</f>
        <v>1.2350613954177125</v>
      </c>
      <c r="G6" s="570">
        <f>G5</f>
        <v>1.062682129439118</v>
      </c>
      <c r="H6" s="561">
        <f t="shared" ref="H6:Q6" si="1">H3*H$41/1000</f>
        <v>1.108410511651581</v>
      </c>
      <c r="I6" s="561">
        <f t="shared" si="1"/>
        <v>1.1338008334149989</v>
      </c>
      <c r="J6" s="561">
        <f t="shared" si="1"/>
        <v>1.1844256988122306</v>
      </c>
      <c r="K6" s="561">
        <f t="shared" si="1"/>
        <v>1.2548197445269507</v>
      </c>
      <c r="L6" s="561">
        <f t="shared" si="1"/>
        <v>1.3480730104194156</v>
      </c>
      <c r="M6" s="561">
        <f t="shared" si="1"/>
        <v>1.4524447521942383</v>
      </c>
      <c r="N6" s="561">
        <f t="shared" si="1"/>
        <v>1.6617815405096736</v>
      </c>
      <c r="O6" s="561">
        <f t="shared" si="1"/>
        <v>1.9539003371722687</v>
      </c>
      <c r="P6" s="561">
        <f t="shared" si="1"/>
        <v>2.3565899451680301</v>
      </c>
      <c r="Q6" s="571">
        <f t="shared" si="1"/>
        <v>2.9154790782123596</v>
      </c>
    </row>
    <row r="7" spans="1:28" x14ac:dyDescent="0.15">
      <c r="A7" s="14" t="s">
        <v>51</v>
      </c>
      <c r="B7" s="345">
        <v>2010</v>
      </c>
      <c r="C7" s="345">
        <v>2011</v>
      </c>
      <c r="D7" s="421">
        <v>2012</v>
      </c>
      <c r="E7" s="421">
        <v>2013</v>
      </c>
      <c r="F7" s="421">
        <v>2014</v>
      </c>
      <c r="G7" s="566">
        <v>2015</v>
      </c>
      <c r="H7" s="250">
        <v>2016</v>
      </c>
      <c r="I7" s="250">
        <v>2017</v>
      </c>
      <c r="J7" s="250">
        <v>2018</v>
      </c>
      <c r="K7" s="250">
        <v>2019</v>
      </c>
      <c r="L7" s="250">
        <v>2020</v>
      </c>
      <c r="M7" s="250">
        <v>2021</v>
      </c>
      <c r="N7" s="250">
        <v>2022</v>
      </c>
      <c r="O7" s="250">
        <v>2023</v>
      </c>
      <c r="P7" s="250">
        <v>2024</v>
      </c>
      <c r="Q7" s="567">
        <v>2025</v>
      </c>
    </row>
    <row r="8" spans="1:28" ht="15" x14ac:dyDescent="0.2">
      <c r="A8" s="503" t="s">
        <v>367</v>
      </c>
      <c r="B8" s="590">
        <f t="shared" ref="B8:Q8" si="2">B2/B$25</f>
        <v>8.2343156786699012E-2</v>
      </c>
      <c r="C8" s="590">
        <f t="shared" si="2"/>
        <v>8.2305979241817998E-2</v>
      </c>
      <c r="D8" s="590">
        <f t="shared" si="2"/>
        <v>7.7749346777934936E-2</v>
      </c>
      <c r="E8" s="590">
        <f t="shared" si="2"/>
        <v>7.1342262027890374E-2</v>
      </c>
      <c r="F8" s="590">
        <f t="shared" si="2"/>
        <v>6.6653801776562147E-2</v>
      </c>
      <c r="G8" s="572">
        <f t="shared" si="2"/>
        <v>7.6461881555255767E-2</v>
      </c>
      <c r="H8" s="562">
        <f t="shared" si="2"/>
        <v>6.6775256816392278E-2</v>
      </c>
      <c r="I8" s="562">
        <f t="shared" si="2"/>
        <v>6.4263356332475333E-2</v>
      </c>
      <c r="J8" s="562">
        <f t="shared" si="2"/>
        <v>6.2678967568127589E-2</v>
      </c>
      <c r="K8" s="562">
        <f t="shared" si="2"/>
        <v>6.147919060069295E-2</v>
      </c>
      <c r="L8" s="562">
        <f t="shared" si="2"/>
        <v>6.0554143125482601E-2</v>
      </c>
      <c r="M8" s="562">
        <f t="shared" si="2"/>
        <v>5.902894064966261E-2</v>
      </c>
      <c r="N8" s="562">
        <f t="shared" si="2"/>
        <v>6.2262601903763946E-2</v>
      </c>
      <c r="O8" s="562">
        <f t="shared" si="2"/>
        <v>6.7221301818417636E-2</v>
      </c>
      <c r="P8" s="562">
        <f t="shared" si="2"/>
        <v>7.4355236355101523E-2</v>
      </c>
      <c r="Q8" s="573">
        <f t="shared" si="2"/>
        <v>8.4301730298852379E-2</v>
      </c>
      <c r="T8" s="529"/>
    </row>
    <row r="9" spans="1:28" ht="15" x14ac:dyDescent="0.2">
      <c r="A9" s="126" t="s">
        <v>369</v>
      </c>
      <c r="B9" s="591">
        <f>B3/B$27</f>
        <v>7.8346574927402726E-2</v>
      </c>
      <c r="C9" s="591">
        <f>C3/C$27</f>
        <v>7.8162909759202495E-2</v>
      </c>
      <c r="D9" s="591">
        <f>D3/D$27</f>
        <v>8.4248408863048185E-2</v>
      </c>
      <c r="E9" s="591">
        <f>E3/E$27</f>
        <v>8.6502296341397236E-2</v>
      </c>
      <c r="F9" s="591">
        <f>F3/F$27</f>
        <v>9.3804653704811572E-2</v>
      </c>
      <c r="G9" s="574">
        <f t="shared" ref="G9:Q9" si="3">G2/G$26</f>
        <v>7.7896348949945057E-2</v>
      </c>
      <c r="H9" s="574">
        <f t="shared" si="3"/>
        <v>6.9278459353911942E-2</v>
      </c>
      <c r="I9" s="574">
        <f t="shared" si="3"/>
        <v>6.7842864626192781E-2</v>
      </c>
      <c r="J9" s="574">
        <f t="shared" si="3"/>
        <v>6.7282117080151596E-2</v>
      </c>
      <c r="K9" s="574">
        <f t="shared" si="3"/>
        <v>6.7053698044851909E-2</v>
      </c>
      <c r="L9" s="574">
        <f t="shared" si="3"/>
        <v>6.7055268499611964E-2</v>
      </c>
      <c r="M9" s="574">
        <f t="shared" si="3"/>
        <v>6.6324218796190285E-2</v>
      </c>
      <c r="N9" s="574">
        <f t="shared" si="3"/>
        <v>7.0883998227837267E-2</v>
      </c>
      <c r="O9" s="574">
        <f t="shared" si="3"/>
        <v>7.7456600403195533E-2</v>
      </c>
      <c r="P9" s="574">
        <f t="shared" si="3"/>
        <v>8.6606423827810988E-2</v>
      </c>
      <c r="Q9" s="574">
        <f t="shared" si="3"/>
        <v>9.911419959531606E-2</v>
      </c>
    </row>
    <row r="10" spans="1:28" ht="15" x14ac:dyDescent="0.2">
      <c r="A10" s="127" t="s">
        <v>366</v>
      </c>
      <c r="B10" s="592">
        <f>B8</f>
        <v>8.2343156786699012E-2</v>
      </c>
      <c r="C10" s="592">
        <f t="shared" ref="C10:F10" si="4">C8</f>
        <v>8.2305979241817998E-2</v>
      </c>
      <c r="D10" s="592">
        <f t="shared" si="4"/>
        <v>7.7749346777934936E-2</v>
      </c>
      <c r="E10" s="592">
        <f t="shared" si="4"/>
        <v>7.1342262027890374E-2</v>
      </c>
      <c r="F10" s="592">
        <f t="shared" si="4"/>
        <v>6.6653801776562147E-2</v>
      </c>
      <c r="G10" s="575">
        <f t="shared" ref="G10:Q10" si="5">G3/G$27</f>
        <v>7.9802462648990255E-2</v>
      </c>
      <c r="H10" s="563">
        <f t="shared" si="5"/>
        <v>8.2462433441955113E-2</v>
      </c>
      <c r="I10" s="563">
        <f t="shared" si="5"/>
        <v>8.28198818174357E-2</v>
      </c>
      <c r="J10" s="563">
        <f t="shared" si="5"/>
        <v>8.4771363595261717E-2</v>
      </c>
      <c r="K10" s="563">
        <f t="shared" si="5"/>
        <v>8.7863305377902934E-2</v>
      </c>
      <c r="L10" s="563">
        <f t="shared" si="5"/>
        <v>9.2184453294536423E-2</v>
      </c>
      <c r="M10" s="563">
        <f t="shared" si="5"/>
        <v>9.6936775399152547E-2</v>
      </c>
      <c r="N10" s="563">
        <f t="shared" si="5"/>
        <v>0.10727105344296509</v>
      </c>
      <c r="O10" s="563">
        <f t="shared" si="5"/>
        <v>0.12121283144147584</v>
      </c>
      <c r="P10" s="563">
        <f t="shared" si="5"/>
        <v>0.13938582790291706</v>
      </c>
      <c r="Q10" s="576">
        <f t="shared" si="5"/>
        <v>0.16274189308299369</v>
      </c>
    </row>
    <row r="11" spans="1:28" ht="16" thickBot="1" x14ac:dyDescent="0.25">
      <c r="A11" s="127" t="s">
        <v>368</v>
      </c>
      <c r="B11" s="593">
        <f>B9</f>
        <v>7.8346574927402726E-2</v>
      </c>
      <c r="C11" s="593">
        <f t="shared" ref="C11:F11" si="6">C9</f>
        <v>7.8162909759202495E-2</v>
      </c>
      <c r="D11" s="593">
        <f t="shared" si="6"/>
        <v>8.4248408863048185E-2</v>
      </c>
      <c r="E11" s="593">
        <f t="shared" si="6"/>
        <v>8.6502296341397236E-2</v>
      </c>
      <c r="F11" s="593">
        <f t="shared" si="6"/>
        <v>9.3804653704811572E-2</v>
      </c>
      <c r="G11" s="577">
        <f t="shared" ref="G11:Q11" si="7">G3/G$28</f>
        <v>8.1366292207023072E-2</v>
      </c>
      <c r="H11" s="578">
        <f t="shared" si="7"/>
        <v>8.5649607847353107E-2</v>
      </c>
      <c r="I11" s="578">
        <f t="shared" si="7"/>
        <v>8.7563253445863354E-2</v>
      </c>
      <c r="J11" s="578">
        <f t="shared" si="7"/>
        <v>9.1149535213869759E-2</v>
      </c>
      <c r="K11" s="578">
        <f t="shared" si="7"/>
        <v>9.5987075337001487E-2</v>
      </c>
      <c r="L11" s="578">
        <f t="shared" si="7"/>
        <v>0.10221542502420881</v>
      </c>
      <c r="M11" s="578">
        <f t="shared" si="7"/>
        <v>0.10898813028690489</v>
      </c>
      <c r="N11" s="578">
        <f t="shared" si="7"/>
        <v>0.12207740840594972</v>
      </c>
      <c r="O11" s="578">
        <f t="shared" si="7"/>
        <v>0.13938988579741701</v>
      </c>
      <c r="P11" s="578">
        <f t="shared" si="7"/>
        <v>0.16165633014971681</v>
      </c>
      <c r="Q11" s="579">
        <f t="shared" si="7"/>
        <v>0.18992694793478029</v>
      </c>
    </row>
    <row r="12" spans="1:28" x14ac:dyDescent="0.15">
      <c r="B12" s="12"/>
      <c r="C12" s="12"/>
      <c r="D12" s="12"/>
      <c r="E12" s="12"/>
      <c r="F12" s="12"/>
      <c r="G12" s="12">
        <f>G3/G$27</f>
        <v>7.9802462648990255E-2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28" s="17" customFormat="1" ht="14" x14ac:dyDescent="0.15"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4"/>
      <c r="N13" s="54"/>
      <c r="O13" s="54"/>
      <c r="P13" s="54"/>
      <c r="Q13" s="54"/>
    </row>
    <row r="14" spans="1:28" s="17" customFormat="1" x14ac:dyDescent="0.15">
      <c r="B14" s="53"/>
      <c r="C14" s="53"/>
      <c r="D14" s="53"/>
      <c r="E14" s="53"/>
      <c r="G14" s="1">
        <v>2015</v>
      </c>
      <c r="H14" s="1">
        <v>2016</v>
      </c>
      <c r="I14" s="1">
        <v>2017</v>
      </c>
      <c r="J14" s="1">
        <v>2018</v>
      </c>
      <c r="K14" s="1">
        <v>2019</v>
      </c>
      <c r="L14" s="1">
        <v>2020</v>
      </c>
      <c r="M14" s="1">
        <v>2021</v>
      </c>
      <c r="N14" s="1">
        <v>2022</v>
      </c>
      <c r="O14" s="1">
        <v>2023</v>
      </c>
      <c r="P14" s="1">
        <v>2024</v>
      </c>
      <c r="Q14" s="1">
        <v>2025</v>
      </c>
    </row>
    <row r="15" spans="1:28" s="17" customFormat="1" ht="16" x14ac:dyDescent="0.2">
      <c r="B15" s="53"/>
      <c r="C15" s="53"/>
      <c r="D15" s="53"/>
      <c r="E15" s="53"/>
      <c r="F15" s="416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</row>
    <row r="16" spans="1:28" s="519" customFormat="1" ht="20" x14ac:dyDescent="0.2">
      <c r="A16" s="519" t="s">
        <v>291</v>
      </c>
      <c r="B16" s="520">
        <v>17930</v>
      </c>
      <c r="C16" s="520">
        <v>17780</v>
      </c>
      <c r="D16" s="520">
        <v>19090</v>
      </c>
      <c r="E16" s="520">
        <v>19540</v>
      </c>
      <c r="F16" s="520">
        <v>20450</v>
      </c>
      <c r="G16" s="520">
        <f>G25-G2</f>
        <v>21063.5</v>
      </c>
      <c r="H16" s="520">
        <f t="shared" ref="H16:Q16" si="8">(G25-G2)*$A$22</f>
        <v>21695.404999999999</v>
      </c>
      <c r="I16" s="520">
        <f t="shared" si="8"/>
        <v>22346.26715</v>
      </c>
      <c r="J16" s="520">
        <f t="shared" si="8"/>
        <v>23016.6551645</v>
      </c>
      <c r="K16" s="520">
        <f t="shared" si="8"/>
        <v>23707.154819435</v>
      </c>
      <c r="L16" s="520">
        <f t="shared" si="8"/>
        <v>24418.369464018051</v>
      </c>
      <c r="M16" s="520">
        <f t="shared" si="8"/>
        <v>25150.920547938593</v>
      </c>
      <c r="N16" s="520">
        <f t="shared" si="8"/>
        <v>25905.44816437675</v>
      </c>
      <c r="O16" s="520">
        <f t="shared" si="8"/>
        <v>26682.611609308053</v>
      </c>
      <c r="P16" s="520">
        <f t="shared" si="8"/>
        <v>27483.089957587294</v>
      </c>
      <c r="Q16" s="520">
        <f t="shared" si="8"/>
        <v>28307.582656314913</v>
      </c>
    </row>
    <row r="17" spans="1:17" s="17" customFormat="1" ht="20" x14ac:dyDescent="0.2">
      <c r="A17" s="519" t="s">
        <v>285</v>
      </c>
      <c r="B17" s="53"/>
      <c r="C17" s="53"/>
      <c r="D17" s="53"/>
      <c r="G17" s="60">
        <v>420</v>
      </c>
      <c r="H17" s="60">
        <f t="shared" ref="H17:Q17" si="9">G17+$A$18</f>
        <v>840</v>
      </c>
      <c r="I17" s="60">
        <f t="shared" si="9"/>
        <v>1260</v>
      </c>
      <c r="J17" s="60">
        <f t="shared" si="9"/>
        <v>1680</v>
      </c>
      <c r="K17" s="60">
        <f t="shared" si="9"/>
        <v>2100</v>
      </c>
      <c r="L17" s="60">
        <f t="shared" si="9"/>
        <v>2520</v>
      </c>
      <c r="M17" s="60">
        <f t="shared" si="9"/>
        <v>2940</v>
      </c>
      <c r="N17" s="60">
        <f t="shared" si="9"/>
        <v>3360</v>
      </c>
      <c r="O17" s="60">
        <f t="shared" si="9"/>
        <v>3780</v>
      </c>
      <c r="P17" s="60">
        <f t="shared" si="9"/>
        <v>4200</v>
      </c>
      <c r="Q17" s="439">
        <f t="shared" si="9"/>
        <v>4620</v>
      </c>
    </row>
    <row r="18" spans="1:17" s="17" customFormat="1" ht="16" x14ac:dyDescent="0.2">
      <c r="A18" s="17">
        <v>420</v>
      </c>
      <c r="B18" s="53"/>
      <c r="C18" s="53"/>
      <c r="D18" s="53"/>
      <c r="E18" s="53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s="17" customFormat="1" ht="16" x14ac:dyDescent="0.2">
      <c r="B19" s="53"/>
      <c r="C19" s="53"/>
      <c r="D19" s="53"/>
      <c r="E19" s="53"/>
      <c r="F19" s="416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s="17" customFormat="1" ht="16" x14ac:dyDescent="0.2">
      <c r="B20" s="53"/>
      <c r="C20" s="53"/>
      <c r="D20" s="53"/>
      <c r="E20" s="53"/>
      <c r="F20" s="419"/>
      <c r="G20" s="417"/>
      <c r="H20" s="438"/>
      <c r="I20" s="438"/>
      <c r="J20" s="438"/>
      <c r="K20" s="438"/>
      <c r="L20" s="438"/>
      <c r="M20" s="438"/>
      <c r="N20" s="438"/>
      <c r="O20" s="438"/>
      <c r="P20" s="438"/>
      <c r="Q20" s="438"/>
    </row>
    <row r="21" spans="1:17" x14ac:dyDescent="0.15">
      <c r="A21" s="326" t="s">
        <v>284</v>
      </c>
      <c r="B21" s="39" t="s">
        <v>212</v>
      </c>
      <c r="C21" s="10"/>
      <c r="D21" s="10"/>
      <c r="E21" s="10"/>
      <c r="F21" s="418"/>
      <c r="G21" s="447"/>
      <c r="H21" s="447"/>
      <c r="I21" s="447"/>
      <c r="J21" s="447"/>
      <c r="K21" s="447"/>
      <c r="L21" s="447"/>
      <c r="M21" s="447"/>
      <c r="N21" s="447"/>
      <c r="O21" s="447"/>
      <c r="P21" s="447"/>
      <c r="Q21" s="447"/>
    </row>
    <row r="22" spans="1:17" ht="14" thickBot="1" x14ac:dyDescent="0.2">
      <c r="A22" s="245">
        <v>1.03</v>
      </c>
      <c r="B22" s="246">
        <v>1.05</v>
      </c>
      <c r="C22" s="247">
        <v>1.08</v>
      </c>
      <c r="D22" s="247">
        <v>1.1000000000000001</v>
      </c>
      <c r="E22" s="248"/>
      <c r="F22" s="248"/>
      <c r="G22" s="248"/>
      <c r="H22" s="448" t="e">
        <f>Q21/G21</f>
        <v>#DIV/0!</v>
      </c>
      <c r="I22" s="448" t="e">
        <f>#REF!/#REF!</f>
        <v>#REF!</v>
      </c>
      <c r="J22" s="249" t="s">
        <v>0</v>
      </c>
      <c r="K22" s="248"/>
      <c r="L22" s="248"/>
      <c r="M22" s="248"/>
      <c r="N22" s="248"/>
      <c r="O22" s="248"/>
      <c r="P22" s="248"/>
      <c r="Q22" s="248"/>
    </row>
    <row r="23" spans="1:17" x14ac:dyDescent="0.15">
      <c r="A23" s="249">
        <v>0.98</v>
      </c>
      <c r="B23" s="406">
        <v>2010</v>
      </c>
      <c r="C23" s="406">
        <v>2011</v>
      </c>
      <c r="D23" s="407">
        <v>2012</v>
      </c>
      <c r="E23" s="407">
        <v>2013</v>
      </c>
      <c r="F23" s="407">
        <v>2014</v>
      </c>
      <c r="G23" s="327">
        <v>2015</v>
      </c>
      <c r="H23" s="328">
        <v>2016</v>
      </c>
      <c r="I23" s="328">
        <v>2017</v>
      </c>
      <c r="J23" s="328">
        <v>2018</v>
      </c>
      <c r="K23" s="328">
        <v>2019</v>
      </c>
      <c r="L23" s="328">
        <v>2020</v>
      </c>
      <c r="M23" s="328">
        <v>2021</v>
      </c>
      <c r="N23" s="328">
        <v>2022</v>
      </c>
      <c r="O23" s="328">
        <v>2023</v>
      </c>
      <c r="P23" s="328">
        <v>2024</v>
      </c>
      <c r="Q23" s="329">
        <v>2025</v>
      </c>
    </row>
    <row r="24" spans="1:17" s="541" customFormat="1" x14ac:dyDescent="0.15">
      <c r="A24" s="249"/>
      <c r="B24" s="406"/>
      <c r="C24" s="406"/>
      <c r="D24" s="407"/>
      <c r="E24" s="407"/>
      <c r="F24" s="407"/>
      <c r="G24" s="566"/>
      <c r="H24" s="250"/>
      <c r="I24" s="250"/>
      <c r="J24" s="250"/>
      <c r="K24" s="250"/>
      <c r="L24" s="250"/>
      <c r="M24" s="250"/>
      <c r="N24" s="250"/>
      <c r="O24" s="250"/>
      <c r="P24" s="250"/>
      <c r="Q24" s="567"/>
    </row>
    <row r="25" spans="1:17" s="514" customFormat="1" ht="21" x14ac:dyDescent="0.25">
      <c r="A25" s="515" t="s">
        <v>363</v>
      </c>
      <c r="B25" s="594">
        <f>B16+B2</f>
        <v>19538.89423111111</v>
      </c>
      <c r="C25" s="594">
        <f>C16+C2</f>
        <v>19374.64949952544</v>
      </c>
      <c r="D25" s="594">
        <f>D16+D2</f>
        <v>20699.361863616261</v>
      </c>
      <c r="E25" s="594">
        <f>E16+E2</f>
        <v>21041.12118062903</v>
      </c>
      <c r="F25" s="594">
        <f>F16+F2</f>
        <v>21910.412276736337</v>
      </c>
      <c r="G25" s="516">
        <f t="shared" ref="G25:Q25" si="10">(F25-F2)*$A$22+G2</f>
        <v>22807.396445607828</v>
      </c>
      <c r="H25" s="517">
        <f t="shared" si="10"/>
        <v>23247.781585803419</v>
      </c>
      <c r="I25" s="517">
        <f t="shared" si="10"/>
        <v>23880.936266871067</v>
      </c>
      <c r="J25" s="517">
        <f t="shared" si="10"/>
        <v>24555.786510821654</v>
      </c>
      <c r="K25" s="517">
        <f t="shared" si="10"/>
        <v>25260.126980677796</v>
      </c>
      <c r="L25" s="517">
        <f t="shared" si="10"/>
        <v>25992.311622147728</v>
      </c>
      <c r="M25" s="517">
        <f t="shared" si="10"/>
        <v>26728.686603074937</v>
      </c>
      <c r="N25" s="517">
        <f t="shared" si="10"/>
        <v>27625.482589229297</v>
      </c>
      <c r="O25" s="517">
        <f t="shared" si="10"/>
        <v>28605.511319378133</v>
      </c>
      <c r="P25" s="517">
        <f t="shared" si="10"/>
        <v>29690.752907592232</v>
      </c>
      <c r="Q25" s="518">
        <f t="shared" si="10"/>
        <v>30913.657470984992</v>
      </c>
    </row>
    <row r="26" spans="1:17" s="514" customFormat="1" ht="21" x14ac:dyDescent="0.25">
      <c r="A26" s="515" t="s">
        <v>370</v>
      </c>
      <c r="B26" s="594">
        <f>B25</f>
        <v>19538.89423111111</v>
      </c>
      <c r="C26" s="594">
        <f t="shared" ref="C26:F26" si="11">C25</f>
        <v>19374.64949952544</v>
      </c>
      <c r="D26" s="594">
        <f t="shared" si="11"/>
        <v>20699.361863616261</v>
      </c>
      <c r="E26" s="594">
        <f t="shared" si="11"/>
        <v>21041.12118062903</v>
      </c>
      <c r="F26" s="594">
        <f t="shared" si="11"/>
        <v>21910.412276736337</v>
      </c>
      <c r="G26" s="516">
        <f t="shared" ref="G26:Q26" si="12">G25-G17</f>
        <v>22387.396445607828</v>
      </c>
      <c r="H26" s="516">
        <f t="shared" si="12"/>
        <v>22407.781585803419</v>
      </c>
      <c r="I26" s="516">
        <f t="shared" si="12"/>
        <v>22620.936266871067</v>
      </c>
      <c r="J26" s="516">
        <f t="shared" si="12"/>
        <v>22875.786510821654</v>
      </c>
      <c r="K26" s="516">
        <f t="shared" si="12"/>
        <v>23160.126980677796</v>
      </c>
      <c r="L26" s="516">
        <f t="shared" si="12"/>
        <v>23472.311622147728</v>
      </c>
      <c r="M26" s="516">
        <f t="shared" si="12"/>
        <v>23788.686603074937</v>
      </c>
      <c r="N26" s="516">
        <f t="shared" si="12"/>
        <v>24265.482589229297</v>
      </c>
      <c r="O26" s="516">
        <f t="shared" si="12"/>
        <v>24825.511319378133</v>
      </c>
      <c r="P26" s="516">
        <f t="shared" si="12"/>
        <v>25490.752907592232</v>
      </c>
      <c r="Q26" s="516">
        <f t="shared" si="12"/>
        <v>26293.657470984992</v>
      </c>
    </row>
    <row r="27" spans="1:17" ht="15" x14ac:dyDescent="0.2">
      <c r="A27" s="132" t="s">
        <v>364</v>
      </c>
      <c r="B27" s="595">
        <f>B25</f>
        <v>19538.89423111111</v>
      </c>
      <c r="C27" s="595">
        <f>(19381-2035)*$A$22+C3</f>
        <v>19381.277005607397</v>
      </c>
      <c r="D27" s="595">
        <f t="shared" ref="D27:Q27" si="13">(C27-C3)*$A$22+D3</f>
        <v>20095.37474802804</v>
      </c>
      <c r="E27" s="595">
        <f t="shared" si="13"/>
        <v>20749.305078804835</v>
      </c>
      <c r="F27" s="595">
        <f t="shared" si="13"/>
        <v>21544.003616964568</v>
      </c>
      <c r="G27" s="330">
        <f t="shared" si="13"/>
        <v>21852.664538415629</v>
      </c>
      <c r="H27" s="252">
        <f t="shared" si="13"/>
        <v>22573.49659620913</v>
      </c>
      <c r="I27" s="252">
        <f t="shared" si="13"/>
        <v>23259.762882707182</v>
      </c>
      <c r="J27" s="252">
        <f t="shared" si="13"/>
        <v>24008.638888384143</v>
      </c>
      <c r="K27" s="252">
        <f t="shared" si="13"/>
        <v>24812.72355354466</v>
      </c>
      <c r="L27" s="252">
        <f t="shared" si="13"/>
        <v>25678.75555855233</v>
      </c>
      <c r="M27" s="252">
        <f t="shared" si="13"/>
        <v>26588.305300771193</v>
      </c>
      <c r="N27" s="252">
        <f t="shared" si="13"/>
        <v>27702.975733691848</v>
      </c>
      <c r="O27" s="252">
        <f t="shared" si="13"/>
        <v>28986.75208846591</v>
      </c>
      <c r="P27" s="252">
        <f t="shared" si="13"/>
        <v>30486.810719608999</v>
      </c>
      <c r="Q27" s="331">
        <f t="shared" si="13"/>
        <v>32277.385653353478</v>
      </c>
    </row>
    <row r="28" spans="1:17" ht="15" x14ac:dyDescent="0.2">
      <c r="A28" s="132" t="s">
        <v>365</v>
      </c>
      <c r="B28" s="596">
        <f>B27</f>
        <v>19538.89423111111</v>
      </c>
      <c r="C28" s="596">
        <f t="shared" ref="C28:F28" si="14">C27</f>
        <v>19381.277005607397</v>
      </c>
      <c r="D28" s="596">
        <f t="shared" si="14"/>
        <v>20095.37474802804</v>
      </c>
      <c r="E28" s="596">
        <f t="shared" si="14"/>
        <v>20749.305078804835</v>
      </c>
      <c r="F28" s="596">
        <f t="shared" si="14"/>
        <v>21544.003616964568</v>
      </c>
      <c r="G28" s="332">
        <f t="shared" ref="G28:Q28" si="15">G27-G17</f>
        <v>21432.664538415629</v>
      </c>
      <c r="H28" s="332">
        <f t="shared" si="15"/>
        <v>21733.49659620913</v>
      </c>
      <c r="I28" s="332">
        <f t="shared" si="15"/>
        <v>21999.762882707182</v>
      </c>
      <c r="J28" s="332">
        <f t="shared" si="15"/>
        <v>22328.638888384143</v>
      </c>
      <c r="K28" s="332">
        <f t="shared" si="15"/>
        <v>22712.72355354466</v>
      </c>
      <c r="L28" s="332">
        <f t="shared" si="15"/>
        <v>23158.75555855233</v>
      </c>
      <c r="M28" s="332">
        <f t="shared" si="15"/>
        <v>23648.305300771193</v>
      </c>
      <c r="N28" s="332">
        <f t="shared" si="15"/>
        <v>24342.975733691848</v>
      </c>
      <c r="O28" s="332">
        <f t="shared" si="15"/>
        <v>25206.75208846591</v>
      </c>
      <c r="P28" s="332">
        <f t="shared" si="15"/>
        <v>26286.810719608999</v>
      </c>
      <c r="Q28" s="332">
        <f t="shared" si="15"/>
        <v>27657.385653353478</v>
      </c>
    </row>
    <row r="29" spans="1:17" s="514" customFormat="1" ht="20" x14ac:dyDescent="0.2">
      <c r="A29" s="510" t="s">
        <v>168</v>
      </c>
      <c r="B29" s="597">
        <v>4100</v>
      </c>
      <c r="C29" s="597">
        <f t="shared" ref="C29:Q29" si="16">B29*$B$22</f>
        <v>4305</v>
      </c>
      <c r="D29" s="597">
        <f t="shared" si="16"/>
        <v>4520.25</v>
      </c>
      <c r="E29" s="597">
        <f t="shared" si="16"/>
        <v>4746.2624999999998</v>
      </c>
      <c r="F29" s="597">
        <f t="shared" si="16"/>
        <v>4983.5756250000004</v>
      </c>
      <c r="G29" s="511">
        <f t="shared" si="16"/>
        <v>5232.754406250001</v>
      </c>
      <c r="H29" s="512">
        <f t="shared" si="16"/>
        <v>5494.3921265625013</v>
      </c>
      <c r="I29" s="512">
        <f t="shared" si="16"/>
        <v>5769.1117328906266</v>
      </c>
      <c r="J29" s="512">
        <f t="shared" si="16"/>
        <v>6057.5673195351583</v>
      </c>
      <c r="K29" s="512">
        <f t="shared" si="16"/>
        <v>6360.4456855119161</v>
      </c>
      <c r="L29" s="512">
        <f t="shared" si="16"/>
        <v>6678.4679697875117</v>
      </c>
      <c r="M29" s="512">
        <f t="shared" si="16"/>
        <v>7012.391368276888</v>
      </c>
      <c r="N29" s="512">
        <f t="shared" si="16"/>
        <v>7363.0109366907327</v>
      </c>
      <c r="O29" s="512">
        <f t="shared" si="16"/>
        <v>7731.1614835252694</v>
      </c>
      <c r="P29" s="512">
        <f t="shared" si="16"/>
        <v>8117.7195577015336</v>
      </c>
      <c r="Q29" s="513">
        <f t="shared" si="16"/>
        <v>8523.6055355866101</v>
      </c>
    </row>
    <row r="30" spans="1:17" s="504" customFormat="1" ht="22" thickBot="1" x14ac:dyDescent="0.3">
      <c r="A30" s="504" t="s">
        <v>156</v>
      </c>
      <c r="B30" s="598">
        <f>B29/B26</f>
        <v>0.20983787268123449</v>
      </c>
      <c r="C30" s="598">
        <f t="shared" ref="C30:E30" si="17">C29/C26</f>
        <v>0.22219756801822124</v>
      </c>
      <c r="D30" s="598">
        <f t="shared" si="17"/>
        <v>0.21837629728795391</v>
      </c>
      <c r="E30" s="598">
        <f t="shared" si="17"/>
        <v>0.22557079821247952</v>
      </c>
      <c r="F30" s="598">
        <f>F29/F16</f>
        <v>0.24369562958435209</v>
      </c>
      <c r="G30" s="505">
        <f>G29/G26</f>
        <v>0.23373662136030168</v>
      </c>
      <c r="H30" s="505">
        <f t="shared" ref="H30:Q30" si="18">H29/H26</f>
        <v>0.24520018215651948</v>
      </c>
      <c r="I30" s="505">
        <f t="shared" si="18"/>
        <v>0.25503417121331251</v>
      </c>
      <c r="J30" s="505">
        <f t="shared" si="18"/>
        <v>0.26480258139625301</v>
      </c>
      <c r="K30" s="505">
        <f t="shared" si="18"/>
        <v>0.27462913699991182</v>
      </c>
      <c r="L30" s="505">
        <f t="shared" si="18"/>
        <v>0.28452536236294346</v>
      </c>
      <c r="M30" s="505">
        <f t="shared" si="18"/>
        <v>0.29477841653395287</v>
      </c>
      <c r="N30" s="505">
        <f t="shared" si="18"/>
        <v>0.30343558631547463</v>
      </c>
      <c r="O30" s="505">
        <f t="shared" si="18"/>
        <v>0.31142003014820208</v>
      </c>
      <c r="P30" s="505">
        <f t="shared" si="18"/>
        <v>0.31845742599794807</v>
      </c>
      <c r="Q30" s="505">
        <f t="shared" si="18"/>
        <v>0.32416964224138062</v>
      </c>
    </row>
    <row r="31" spans="1:17" s="216" customFormat="1" ht="15" x14ac:dyDescent="0.2">
      <c r="A31" s="214" t="s">
        <v>157</v>
      </c>
      <c r="B31" s="408">
        <f>B29/B27</f>
        <v>0.20983787268123449</v>
      </c>
      <c r="C31" s="408">
        <f>C29/C27</f>
        <v>0.22212158666090351</v>
      </c>
      <c r="D31" s="408">
        <f>D29/D27</f>
        <v>0.22493982106223584</v>
      </c>
      <c r="E31" s="408">
        <f>E29/E27</f>
        <v>0.22874320281927174</v>
      </c>
      <c r="F31" s="408">
        <f>F29/F27</f>
        <v>0.23132077554404712</v>
      </c>
      <c r="G31" s="215">
        <f>G29/G28</f>
        <v>0.24414857036888157</v>
      </c>
      <c r="H31" s="215">
        <f>H29/H28</f>
        <v>0.25280755456169268</v>
      </c>
      <c r="I31" s="215">
        <f t="shared" ref="I31:Q31" si="19">I29/I28</f>
        <v>0.26223517788118578</v>
      </c>
      <c r="J31" s="215">
        <f t="shared" si="19"/>
        <v>0.27129138277597564</v>
      </c>
      <c r="K31" s="215">
        <f t="shared" si="19"/>
        <v>0.2800388808729754</v>
      </c>
      <c r="L31" s="215">
        <f t="shared" si="19"/>
        <v>0.28837767007395226</v>
      </c>
      <c r="M31" s="215">
        <f t="shared" si="19"/>
        <v>0.29652828306678736</v>
      </c>
      <c r="N31" s="215">
        <f t="shared" si="19"/>
        <v>0.30246963301614649</v>
      </c>
      <c r="O31" s="215">
        <f t="shared" si="19"/>
        <v>0.30670994249445133</v>
      </c>
      <c r="P31" s="215">
        <f t="shared" si="19"/>
        <v>0.30881340624733955</v>
      </c>
      <c r="Q31" s="215">
        <f t="shared" si="19"/>
        <v>0.30818551118381343</v>
      </c>
    </row>
    <row r="32" spans="1:17" s="213" customFormat="1" ht="15" x14ac:dyDescent="0.2">
      <c r="A32" s="217" t="s">
        <v>158</v>
      </c>
      <c r="B32" s="409">
        <f>B29/B28</f>
        <v>0.20983787268123449</v>
      </c>
      <c r="C32" s="409">
        <f t="shared" ref="C32:Q32" si="20">C29/C28</f>
        <v>0.22212158666090351</v>
      </c>
      <c r="D32" s="409">
        <f t="shared" si="20"/>
        <v>0.22493982106223584</v>
      </c>
      <c r="E32" s="409">
        <f t="shared" si="20"/>
        <v>0.22874320281927174</v>
      </c>
      <c r="F32" s="409">
        <f t="shared" si="20"/>
        <v>0.23132077554404712</v>
      </c>
      <c r="G32" s="218">
        <f>G29/G28</f>
        <v>0.24414857036888157</v>
      </c>
      <c r="H32" s="218">
        <f>H29/H28</f>
        <v>0.25280755456169268</v>
      </c>
      <c r="I32" s="218">
        <f t="shared" si="20"/>
        <v>0.26223517788118578</v>
      </c>
      <c r="J32" s="218">
        <f t="shared" si="20"/>
        <v>0.27129138277597564</v>
      </c>
      <c r="K32" s="218">
        <f t="shared" si="20"/>
        <v>0.2800388808729754</v>
      </c>
      <c r="L32" s="218">
        <f>L29/L28</f>
        <v>0.28837767007395226</v>
      </c>
      <c r="M32" s="218">
        <f>M29/M28</f>
        <v>0.29652828306678736</v>
      </c>
      <c r="N32" s="218">
        <f t="shared" si="20"/>
        <v>0.30246963301614649</v>
      </c>
      <c r="O32" s="218">
        <f>O29/O28</f>
        <v>0.30670994249445133</v>
      </c>
      <c r="P32" s="218">
        <f t="shared" si="20"/>
        <v>0.30881340624733955</v>
      </c>
      <c r="Q32" s="218">
        <f t="shared" si="20"/>
        <v>0.30818551118381343</v>
      </c>
    </row>
    <row r="33" spans="1:17" s="221" customFormat="1" ht="15" x14ac:dyDescent="0.2">
      <c r="A33" s="219" t="s">
        <v>165</v>
      </c>
      <c r="B33" s="410">
        <f t="shared" ref="B33:Q33" si="21">B25-B29</f>
        <v>15438.89423111111</v>
      </c>
      <c r="C33" s="410">
        <f t="shared" si="21"/>
        <v>15069.64949952544</v>
      </c>
      <c r="D33" s="410">
        <f t="shared" si="21"/>
        <v>16179.111863616261</v>
      </c>
      <c r="E33" s="410">
        <f t="shared" si="21"/>
        <v>16294.85868062903</v>
      </c>
      <c r="F33" s="410">
        <f t="shared" si="21"/>
        <v>16926.836651736336</v>
      </c>
      <c r="G33" s="220">
        <f t="shared" si="21"/>
        <v>17574.642039357826</v>
      </c>
      <c r="H33" s="220">
        <f t="shared" si="21"/>
        <v>17753.38945924092</v>
      </c>
      <c r="I33" s="220">
        <f t="shared" si="21"/>
        <v>18111.824533980442</v>
      </c>
      <c r="J33" s="220">
        <f t="shared" si="21"/>
        <v>18498.219191286495</v>
      </c>
      <c r="K33" s="220">
        <f t="shared" si="21"/>
        <v>18899.681295165879</v>
      </c>
      <c r="L33" s="220">
        <f t="shared" si="21"/>
        <v>19313.843652360218</v>
      </c>
      <c r="M33" s="220">
        <f t="shared" si="21"/>
        <v>19716.29523479805</v>
      </c>
      <c r="N33" s="220">
        <f t="shared" si="21"/>
        <v>20262.471652538567</v>
      </c>
      <c r="O33" s="220">
        <f t="shared" si="21"/>
        <v>20874.349835852863</v>
      </c>
      <c r="P33" s="220">
        <f t="shared" si="21"/>
        <v>21573.033349890698</v>
      </c>
      <c r="Q33" s="220">
        <f t="shared" si="21"/>
        <v>22390.051935398384</v>
      </c>
    </row>
    <row r="34" spans="1:17" s="216" customFormat="1" ht="15" x14ac:dyDescent="0.2">
      <c r="A34" s="214" t="s">
        <v>166</v>
      </c>
      <c r="B34" s="411">
        <f>B27-B29</f>
        <v>15438.89423111111</v>
      </c>
      <c r="C34" s="411">
        <f t="shared" ref="C34:Q34" si="22">C27-C29</f>
        <v>15076.277005607397</v>
      </c>
      <c r="D34" s="411">
        <f t="shared" si="22"/>
        <v>15575.12474802804</v>
      </c>
      <c r="E34" s="411">
        <f t="shared" si="22"/>
        <v>16003.042578804834</v>
      </c>
      <c r="F34" s="411">
        <f t="shared" si="22"/>
        <v>16560.427991964567</v>
      </c>
      <c r="G34" s="222">
        <f t="shared" si="22"/>
        <v>16619.910132165627</v>
      </c>
      <c r="H34" s="222">
        <f t="shared" si="22"/>
        <v>17079.104469646627</v>
      </c>
      <c r="I34" s="222">
        <f t="shared" si="22"/>
        <v>17490.651149816556</v>
      </c>
      <c r="J34" s="222">
        <f t="shared" si="22"/>
        <v>17951.071568848984</v>
      </c>
      <c r="K34" s="222">
        <f t="shared" si="22"/>
        <v>18452.277868032743</v>
      </c>
      <c r="L34" s="222">
        <f t="shared" si="22"/>
        <v>19000.287588764819</v>
      </c>
      <c r="M34" s="222">
        <f t="shared" si="22"/>
        <v>19575.913932494306</v>
      </c>
      <c r="N34" s="222">
        <f t="shared" si="22"/>
        <v>20339.964797001114</v>
      </c>
      <c r="O34" s="222">
        <f t="shared" si="22"/>
        <v>21255.59060494064</v>
      </c>
      <c r="P34" s="222">
        <f t="shared" si="22"/>
        <v>22369.091161907465</v>
      </c>
      <c r="Q34" s="222">
        <f t="shared" si="22"/>
        <v>23753.780117766866</v>
      </c>
    </row>
    <row r="35" spans="1:17" s="213" customFormat="1" ht="15" x14ac:dyDescent="0.2">
      <c r="A35" s="217" t="s">
        <v>167</v>
      </c>
      <c r="B35" s="412">
        <f>B28-B29</f>
        <v>15438.89423111111</v>
      </c>
      <c r="C35" s="412">
        <f t="shared" ref="C35:Q35" si="23">C28-C29</f>
        <v>15076.277005607397</v>
      </c>
      <c r="D35" s="412">
        <f t="shared" si="23"/>
        <v>15575.12474802804</v>
      </c>
      <c r="E35" s="412">
        <f t="shared" si="23"/>
        <v>16003.042578804834</v>
      </c>
      <c r="F35" s="412">
        <f t="shared" si="23"/>
        <v>16560.427991964567</v>
      </c>
      <c r="G35" s="223">
        <f t="shared" si="23"/>
        <v>16199.910132165627</v>
      </c>
      <c r="H35" s="223">
        <f t="shared" si="23"/>
        <v>16239.104469646629</v>
      </c>
      <c r="I35" s="223">
        <f t="shared" si="23"/>
        <v>16230.651149816556</v>
      </c>
      <c r="J35" s="223">
        <f t="shared" si="23"/>
        <v>16271.071568848984</v>
      </c>
      <c r="K35" s="223">
        <f t="shared" si="23"/>
        <v>16352.277868032743</v>
      </c>
      <c r="L35" s="223">
        <f t="shared" si="23"/>
        <v>16480.287588764819</v>
      </c>
      <c r="M35" s="223">
        <f t="shared" si="23"/>
        <v>16635.913932494306</v>
      </c>
      <c r="N35" s="223">
        <f t="shared" si="23"/>
        <v>16979.964797001114</v>
      </c>
      <c r="O35" s="223">
        <f t="shared" si="23"/>
        <v>17475.59060494064</v>
      </c>
      <c r="P35" s="223">
        <f t="shared" si="23"/>
        <v>18169.091161907465</v>
      </c>
      <c r="Q35" s="223">
        <f t="shared" si="23"/>
        <v>19133.780117766866</v>
      </c>
    </row>
    <row r="36" spans="1:17" s="225" customFormat="1" ht="15" x14ac:dyDescent="0.2">
      <c r="A36" s="224" t="s">
        <v>159</v>
      </c>
      <c r="B36" s="413">
        <f>(1-B30)*0.78</f>
        <v>0.61632645930863716</v>
      </c>
      <c r="C36" s="413">
        <f t="shared" ref="C36:P36" si="24">(1-C30)*0.78</f>
        <v>0.60668589694578745</v>
      </c>
      <c r="D36" s="413">
        <f t="shared" si="24"/>
        <v>0.60966648811539592</v>
      </c>
      <c r="E36" s="413">
        <f t="shared" si="24"/>
        <v>0.60405477739426605</v>
      </c>
      <c r="F36" s="413">
        <f t="shared" si="24"/>
        <v>0.58991740892420541</v>
      </c>
      <c r="G36" s="226">
        <f>(1-G30)*0.78</f>
        <v>0.59768543533896468</v>
      </c>
      <c r="H36" s="226">
        <f>(1-H30)*0.78</f>
        <v>0.58874385791791484</v>
      </c>
      <c r="I36" s="226">
        <f t="shared" si="24"/>
        <v>0.5810733464536163</v>
      </c>
      <c r="J36" s="226">
        <f t="shared" si="24"/>
        <v>0.57345398651092272</v>
      </c>
      <c r="K36" s="226">
        <f t="shared" si="24"/>
        <v>0.56578927314006877</v>
      </c>
      <c r="L36" s="226">
        <f t="shared" si="24"/>
        <v>0.5580702173569041</v>
      </c>
      <c r="M36" s="226">
        <f t="shared" si="24"/>
        <v>0.55007283510351679</v>
      </c>
      <c r="N36" s="226">
        <f t="shared" si="24"/>
        <v>0.54332024267392987</v>
      </c>
      <c r="O36" s="226">
        <f t="shared" si="24"/>
        <v>0.53709237648440245</v>
      </c>
      <c r="P36" s="226">
        <f t="shared" si="24"/>
        <v>0.53160320772160052</v>
      </c>
      <c r="Q36" s="226">
        <f>(1-Q30)*0.78</f>
        <v>0.52714767905172311</v>
      </c>
    </row>
    <row r="37" spans="1:17" s="221" customFormat="1" ht="15" x14ac:dyDescent="0.2">
      <c r="A37" s="219" t="s">
        <v>160</v>
      </c>
      <c r="B37" s="413">
        <f>B30*0.05</f>
        <v>1.0491893634061725E-2</v>
      </c>
      <c r="C37" s="413">
        <f t="shared" ref="C37:P37" si="25">C30*0.05</f>
        <v>1.1109878400911063E-2</v>
      </c>
      <c r="D37" s="413">
        <f t="shared" si="25"/>
        <v>1.0918814864397696E-2</v>
      </c>
      <c r="E37" s="413">
        <f t="shared" si="25"/>
        <v>1.1278539910623976E-2</v>
      </c>
      <c r="F37" s="413">
        <f t="shared" si="25"/>
        <v>1.2184781479217605E-2</v>
      </c>
      <c r="G37" s="226">
        <f>G30*0.05</f>
        <v>1.1686831068015085E-2</v>
      </c>
      <c r="H37" s="226">
        <f t="shared" si="25"/>
        <v>1.2260009107825974E-2</v>
      </c>
      <c r="I37" s="226">
        <f t="shared" si="25"/>
        <v>1.2751708560665626E-2</v>
      </c>
      <c r="J37" s="226">
        <f t="shared" si="25"/>
        <v>1.3240129069812652E-2</v>
      </c>
      <c r="K37" s="226">
        <f t="shared" si="25"/>
        <v>1.3731456849995591E-2</v>
      </c>
      <c r="L37" s="226">
        <f t="shared" si="25"/>
        <v>1.4226268118147173E-2</v>
      </c>
      <c r="M37" s="226">
        <f t="shared" si="25"/>
        <v>1.4738920826697643E-2</v>
      </c>
      <c r="N37" s="226">
        <f t="shared" si="25"/>
        <v>1.5171779315773732E-2</v>
      </c>
      <c r="O37" s="226">
        <f t="shared" si="25"/>
        <v>1.5571001507410104E-2</v>
      </c>
      <c r="P37" s="226">
        <f t="shared" si="25"/>
        <v>1.5922871299897404E-2</v>
      </c>
      <c r="Q37" s="226">
        <f>Q30*0.05</f>
        <v>1.6208482112069031E-2</v>
      </c>
    </row>
    <row r="38" spans="1:17" s="509" customFormat="1" ht="21" x14ac:dyDescent="0.25">
      <c r="A38" s="506" t="s">
        <v>161</v>
      </c>
      <c r="B38" s="507">
        <f>SUM(B36:B37)</f>
        <v>0.62681835294269894</v>
      </c>
      <c r="C38" s="507">
        <f t="shared" ref="C38:K38" si="26">SUM(C36:C37)</f>
        <v>0.61779577534669849</v>
      </c>
      <c r="D38" s="507">
        <f t="shared" si="26"/>
        <v>0.62058530297979364</v>
      </c>
      <c r="E38" s="507">
        <f t="shared" si="26"/>
        <v>0.61533331730489005</v>
      </c>
      <c r="F38" s="507">
        <f t="shared" si="26"/>
        <v>0.60210219040342305</v>
      </c>
      <c r="G38" s="508">
        <f>SUM(G36:G37)</f>
        <v>0.60937226640697972</v>
      </c>
      <c r="H38" s="508">
        <f t="shared" si="26"/>
        <v>0.60100386702574082</v>
      </c>
      <c r="I38" s="508">
        <f t="shared" si="26"/>
        <v>0.59382505501428196</v>
      </c>
      <c r="J38" s="508">
        <f t="shared" si="26"/>
        <v>0.58669411558073536</v>
      </c>
      <c r="K38" s="508">
        <f t="shared" si="26"/>
        <v>0.57952072999006432</v>
      </c>
      <c r="L38" s="508">
        <f>SUM(L36:L37)</f>
        <v>0.5722964854750513</v>
      </c>
      <c r="M38" s="508">
        <f t="shared" ref="M38:P38" si="27">SUM(M36:M37)</f>
        <v>0.56481175593021438</v>
      </c>
      <c r="N38" s="508">
        <f t="shared" si="27"/>
        <v>0.5584920219897036</v>
      </c>
      <c r="O38" s="508">
        <f t="shared" si="27"/>
        <v>0.55266337799181253</v>
      </c>
      <c r="P38" s="508">
        <f t="shared" si="27"/>
        <v>0.54752607902149797</v>
      </c>
      <c r="Q38" s="508">
        <f>SUM(Q36:Q37)</f>
        <v>0.54335616116379215</v>
      </c>
    </row>
    <row r="39" spans="1:17" s="216" customFormat="1" ht="15" x14ac:dyDescent="0.2">
      <c r="A39" s="214" t="s">
        <v>162</v>
      </c>
      <c r="B39" s="414">
        <f>(1-B31)*0.78</f>
        <v>0.61632645930863716</v>
      </c>
      <c r="C39" s="414">
        <f t="shared" ref="C39:P39" si="28">(1-C31)*0.78</f>
        <v>0.60674516240449528</v>
      </c>
      <c r="D39" s="414">
        <f t="shared" si="28"/>
        <v>0.604546939571456</v>
      </c>
      <c r="E39" s="414">
        <f t="shared" si="28"/>
        <v>0.60158030180096811</v>
      </c>
      <c r="F39" s="414">
        <f t="shared" si="28"/>
        <v>0.59956979507564323</v>
      </c>
      <c r="G39" s="227">
        <f>(1-G31)*0.78</f>
        <v>0.58956411511227236</v>
      </c>
      <c r="H39" s="227">
        <f>(1-H31)*0.78</f>
        <v>0.58281010744187978</v>
      </c>
      <c r="I39" s="227">
        <f t="shared" si="28"/>
        <v>0.57545656125267508</v>
      </c>
      <c r="J39" s="227">
        <f t="shared" si="28"/>
        <v>0.56839272143473907</v>
      </c>
      <c r="K39" s="227">
        <f t="shared" si="28"/>
        <v>0.56156967291907911</v>
      </c>
      <c r="L39" s="227">
        <f t="shared" si="28"/>
        <v>0.55506541734231729</v>
      </c>
      <c r="M39" s="227">
        <f t="shared" si="28"/>
        <v>0.54870793920790584</v>
      </c>
      <c r="N39" s="227">
        <f t="shared" si="28"/>
        <v>0.54407368624740571</v>
      </c>
      <c r="O39" s="227">
        <f t="shared" si="28"/>
        <v>0.540766244854328</v>
      </c>
      <c r="P39" s="227">
        <f t="shared" si="28"/>
        <v>0.53912554312707517</v>
      </c>
      <c r="Q39" s="227">
        <f>(1-Q31)*0.78</f>
        <v>0.53961530127662549</v>
      </c>
    </row>
    <row r="40" spans="1:17" s="216" customFormat="1" ht="15" x14ac:dyDescent="0.2">
      <c r="A40" s="214" t="s">
        <v>163</v>
      </c>
      <c r="B40" s="414">
        <f>B31*0.05</f>
        <v>1.0491893634061725E-2</v>
      </c>
      <c r="C40" s="414">
        <f t="shared" ref="C40:P40" si="29">C31*0.05</f>
        <v>1.1106079333045176E-2</v>
      </c>
      <c r="D40" s="414">
        <f t="shared" si="29"/>
        <v>1.1246991053111792E-2</v>
      </c>
      <c r="E40" s="414">
        <f t="shared" si="29"/>
        <v>1.1437160140963588E-2</v>
      </c>
      <c r="F40" s="414">
        <f t="shared" si="29"/>
        <v>1.1566038777202357E-2</v>
      </c>
      <c r="G40" s="227">
        <f t="shared" si="29"/>
        <v>1.2207428518444079E-2</v>
      </c>
      <c r="H40" s="227">
        <f t="shared" si="29"/>
        <v>1.2640377728084636E-2</v>
      </c>
      <c r="I40" s="227">
        <f t="shared" si="29"/>
        <v>1.311175889405929E-2</v>
      </c>
      <c r="J40" s="227">
        <f t="shared" si="29"/>
        <v>1.3564569138798784E-2</v>
      </c>
      <c r="K40" s="227">
        <f t="shared" si="29"/>
        <v>1.4001944043648771E-2</v>
      </c>
      <c r="L40" s="227">
        <f t="shared" si="29"/>
        <v>1.4418883503697614E-2</v>
      </c>
      <c r="M40" s="227">
        <f t="shared" si="29"/>
        <v>1.4826414153339369E-2</v>
      </c>
      <c r="N40" s="227">
        <f t="shared" si="29"/>
        <v>1.5123481650807326E-2</v>
      </c>
      <c r="O40" s="227">
        <f t="shared" si="29"/>
        <v>1.5335497124722567E-2</v>
      </c>
      <c r="P40" s="227">
        <f t="shared" si="29"/>
        <v>1.5440670312366978E-2</v>
      </c>
      <c r="Q40" s="227">
        <f>Q31*0.05</f>
        <v>1.5409275559190673E-2</v>
      </c>
    </row>
    <row r="41" spans="1:17" s="216" customFormat="1" ht="15" x14ac:dyDescent="0.2">
      <c r="A41" s="228" t="s">
        <v>164</v>
      </c>
      <c r="B41" s="415">
        <f>SUM(B39:B40)</f>
        <v>0.62681835294269894</v>
      </c>
      <c r="C41" s="415">
        <f t="shared" ref="C41:P41" si="30">SUM(C39:C40)</f>
        <v>0.61785124173754047</v>
      </c>
      <c r="D41" s="415">
        <f t="shared" si="30"/>
        <v>0.61579393062456778</v>
      </c>
      <c r="E41" s="415">
        <f t="shared" si="30"/>
        <v>0.61301746194193174</v>
      </c>
      <c r="F41" s="415">
        <f t="shared" si="30"/>
        <v>0.61113583385284553</v>
      </c>
      <c r="G41" s="229">
        <f>SUM(G39:G40)</f>
        <v>0.60177154363071639</v>
      </c>
      <c r="H41" s="229">
        <f>SUM(H39:H40)</f>
        <v>0.59545048516996446</v>
      </c>
      <c r="I41" s="229">
        <f t="shared" si="30"/>
        <v>0.58856832014673433</v>
      </c>
      <c r="J41" s="229">
        <f t="shared" si="30"/>
        <v>0.58195729057353784</v>
      </c>
      <c r="K41" s="229">
        <f t="shared" si="30"/>
        <v>0.57557161696272785</v>
      </c>
      <c r="L41" s="229">
        <f t="shared" si="30"/>
        <v>0.56948430084601487</v>
      </c>
      <c r="M41" s="229">
        <f t="shared" si="30"/>
        <v>0.56353435336124524</v>
      </c>
      <c r="N41" s="229">
        <f t="shared" si="30"/>
        <v>0.55919716789821305</v>
      </c>
      <c r="O41" s="229">
        <f t="shared" si="30"/>
        <v>0.5561017419790506</v>
      </c>
      <c r="P41" s="229">
        <f t="shared" si="30"/>
        <v>0.55456621343944212</v>
      </c>
      <c r="Q41" s="229">
        <f>SUM(Q39:Q40)</f>
        <v>0.55502457683581619</v>
      </c>
    </row>
    <row r="42" spans="1:17" ht="16" x14ac:dyDescent="0.2">
      <c r="A42" s="40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ht="16" x14ac:dyDescent="0.2">
      <c r="A43" s="38" t="s">
        <v>234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ht="16" x14ac:dyDescent="0.2">
      <c r="A44" s="40">
        <v>1.016</v>
      </c>
      <c r="B44" s="28" t="s">
        <v>201</v>
      </c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</row>
    <row r="45" spans="1:17" ht="17" thickBot="1" x14ac:dyDescent="0.25">
      <c r="A45" s="525">
        <v>1.02</v>
      </c>
      <c r="B45" s="28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</row>
    <row r="46" spans="1:17" s="514" customFormat="1" ht="21" thickBot="1" x14ac:dyDescent="0.25">
      <c r="A46" s="519" t="s">
        <v>290</v>
      </c>
      <c r="B46" s="521">
        <v>46</v>
      </c>
      <c r="C46" s="521">
        <f>(46-B5)*$A$45+C5</f>
        <v>46.876513603321392</v>
      </c>
      <c r="D46" s="521">
        <f>(C46-C5)*$A$45+D5</f>
        <v>47.807919116679393</v>
      </c>
      <c r="E46" s="521">
        <f>(D46-D5)*$A$45+E5</f>
        <v>48.669046128634918</v>
      </c>
      <c r="F46" s="521">
        <f>(E46-E5)*$A$45+F5</f>
        <v>49.579580808654462</v>
      </c>
      <c r="G46" s="522">
        <f t="shared" ref="G46:Q46" si="31">(F46-F5)*$A$44+G5</f>
        <v>50.542149721425616</v>
      </c>
      <c r="H46" s="523">
        <f t="shared" si="31"/>
        <v>51.204123404606356</v>
      </c>
      <c r="I46" s="523">
        <f t="shared" si="31"/>
        <v>51.986802271388306</v>
      </c>
      <c r="J46" s="523">
        <f t="shared" si="31"/>
        <v>52.79568423940453</v>
      </c>
      <c r="K46" s="523">
        <f t="shared" si="31"/>
        <v>53.622947454916023</v>
      </c>
      <c r="L46" s="523">
        <f t="shared" si="31"/>
        <v>54.467296946127043</v>
      </c>
      <c r="M46" s="523">
        <f t="shared" si="31"/>
        <v>55.314740762828073</v>
      </c>
      <c r="N46" s="523">
        <f t="shared" si="31"/>
        <v>56.255003049755686</v>
      </c>
      <c r="O46" s="523">
        <f t="shared" si="31"/>
        <v>57.241803835969549</v>
      </c>
      <c r="P46" s="523">
        <f t="shared" si="31"/>
        <v>58.286706026866575</v>
      </c>
      <c r="Q46" s="524">
        <f t="shared" si="31"/>
        <v>59.407227042862907</v>
      </c>
    </row>
    <row r="47" spans="1:17" ht="21" thickBot="1" x14ac:dyDescent="0.25">
      <c r="A47" s="519" t="s">
        <v>319</v>
      </c>
      <c r="B47" s="115"/>
      <c r="C47" s="115"/>
      <c r="D47" s="115"/>
      <c r="E47" s="115"/>
      <c r="F47" s="115"/>
      <c r="G47" s="636">
        <v>50.5</v>
      </c>
      <c r="H47" s="636">
        <v>51.345309847531752</v>
      </c>
      <c r="I47" s="636">
        <v>51.400283815836346</v>
      </c>
      <c r="J47" s="636">
        <v>51.50103243163467</v>
      </c>
      <c r="K47" s="636">
        <v>51.64150608580271</v>
      </c>
      <c r="L47" s="636">
        <v>51.820909612608169</v>
      </c>
      <c r="M47" s="636">
        <v>52.026061540326317</v>
      </c>
      <c r="N47" s="636">
        <v>52.344962080333929</v>
      </c>
      <c r="O47" s="636">
        <v>52.729951405804194</v>
      </c>
      <c r="P47" s="636">
        <v>53.194055167552477</v>
      </c>
      <c r="Q47" s="636">
        <v>53.751070588947798</v>
      </c>
    </row>
    <row r="48" spans="1:17" x14ac:dyDescent="0.15">
      <c r="A48" s="14" t="s">
        <v>186</v>
      </c>
      <c r="B48" s="10">
        <v>2010</v>
      </c>
      <c r="C48" s="10">
        <v>2011</v>
      </c>
      <c r="D48" s="1">
        <v>2012</v>
      </c>
      <c r="E48" s="1">
        <v>2013</v>
      </c>
      <c r="F48" s="1">
        <v>2014</v>
      </c>
      <c r="G48" s="327">
        <v>2015</v>
      </c>
      <c r="H48" s="328">
        <v>2016</v>
      </c>
      <c r="I48" s="328">
        <v>2017</v>
      </c>
      <c r="J48" s="328">
        <v>2018</v>
      </c>
      <c r="K48" s="328">
        <v>2019</v>
      </c>
      <c r="L48" s="328">
        <v>2020</v>
      </c>
      <c r="M48" s="328">
        <v>2021</v>
      </c>
      <c r="N48" s="328">
        <v>2022</v>
      </c>
      <c r="O48" s="328">
        <v>2023</v>
      </c>
      <c r="P48" s="328">
        <v>2024</v>
      </c>
      <c r="Q48" s="329">
        <v>2025</v>
      </c>
    </row>
    <row r="49" spans="1:17" s="56" customFormat="1" ht="16" x14ac:dyDescent="0.2">
      <c r="A49" s="146" t="s">
        <v>373</v>
      </c>
      <c r="B49" s="147">
        <f t="shared" ref="B49:Q49" si="32">B5/B$46</f>
        <v>2.1923574608784271E-2</v>
      </c>
      <c r="C49" s="147">
        <f t="shared" si="32"/>
        <v>2.101623282614902E-2</v>
      </c>
      <c r="D49" s="147">
        <f t="shared" si="32"/>
        <v>2.0890813450777809E-2</v>
      </c>
      <c r="E49" s="147">
        <f t="shared" si="32"/>
        <v>1.8979001012506637E-2</v>
      </c>
      <c r="F49" s="147">
        <f t="shared" si="32"/>
        <v>1.7735475297957898E-2</v>
      </c>
      <c r="G49" s="599">
        <f t="shared" si="32"/>
        <v>2.1025661458729569E-2</v>
      </c>
      <c r="H49" s="600">
        <f t="shared" si="32"/>
        <v>1.8220882794453611E-2</v>
      </c>
      <c r="I49" s="600">
        <f t="shared" si="32"/>
        <v>1.7529929384716987E-2</v>
      </c>
      <c r="J49" s="600">
        <f t="shared" si="32"/>
        <v>1.7103657562199157E-2</v>
      </c>
      <c r="K49" s="600">
        <f t="shared" si="32"/>
        <v>1.6783478030452156E-2</v>
      </c>
      <c r="L49" s="600">
        <f t="shared" si="32"/>
        <v>1.6537658667540724E-2</v>
      </c>
      <c r="M49" s="600">
        <f t="shared" si="32"/>
        <v>1.6110367756572739E-2</v>
      </c>
      <c r="N49" s="600">
        <f t="shared" si="32"/>
        <v>1.7076267918395695E-2</v>
      </c>
      <c r="O49" s="600">
        <f t="shared" si="32"/>
        <v>1.856538714873654E-2</v>
      </c>
      <c r="P49" s="600">
        <f t="shared" si="32"/>
        <v>2.0738057118205932E-2</v>
      </c>
      <c r="Q49" s="601">
        <f t="shared" si="32"/>
        <v>2.3835935078792655E-2</v>
      </c>
    </row>
    <row r="50" spans="1:17" s="56" customFormat="1" ht="17" thickBot="1" x14ac:dyDescent="0.25">
      <c r="A50" s="146" t="s">
        <v>372</v>
      </c>
      <c r="B50" s="148">
        <f t="shared" ref="B50:Q50" si="33">B6/B$46</f>
        <v>2.08594988070833E-2</v>
      </c>
      <c r="C50" s="148">
        <f t="shared" si="33"/>
        <v>1.9966949844851395E-2</v>
      </c>
      <c r="D50" s="148">
        <f t="shared" si="33"/>
        <v>2.180687228193989E-2</v>
      </c>
      <c r="E50" s="148">
        <f t="shared" si="33"/>
        <v>2.2607430479295851E-2</v>
      </c>
      <c r="F50" s="148">
        <f t="shared" si="33"/>
        <v>2.4910686522023273E-2</v>
      </c>
      <c r="G50" s="602">
        <f t="shared" si="33"/>
        <v>2.1025661458729569E-2</v>
      </c>
      <c r="H50" s="603">
        <f t="shared" si="33"/>
        <v>2.1646899467316488E-2</v>
      </c>
      <c r="I50" s="603">
        <f t="shared" si="33"/>
        <v>2.1809397460074261E-2</v>
      </c>
      <c r="J50" s="603">
        <f t="shared" si="33"/>
        <v>2.2434138620903106E-2</v>
      </c>
      <c r="K50" s="603">
        <f t="shared" si="33"/>
        <v>2.3400797682409227E-2</v>
      </c>
      <c r="L50" s="603">
        <f t="shared" si="33"/>
        <v>2.4750136063347861E-2</v>
      </c>
      <c r="M50" s="603">
        <f t="shared" si="33"/>
        <v>2.6257824445419659E-2</v>
      </c>
      <c r="N50" s="603">
        <f t="shared" si="33"/>
        <v>2.9540155549185251E-2</v>
      </c>
      <c r="O50" s="603">
        <f t="shared" si="33"/>
        <v>3.413415032781477E-2</v>
      </c>
      <c r="P50" s="603">
        <f t="shared" si="33"/>
        <v>4.0431002295476907E-2</v>
      </c>
      <c r="Q50" s="604">
        <f t="shared" si="33"/>
        <v>4.9076168394609841E-2</v>
      </c>
    </row>
    <row r="51" spans="1:17" x14ac:dyDescent="0.15">
      <c r="J51" s="14"/>
    </row>
    <row r="52" spans="1:17" x14ac:dyDescent="0.15">
      <c r="A52" s="28"/>
      <c r="E52" s="12"/>
      <c r="F52" s="12"/>
      <c r="G52" s="12"/>
      <c r="H52" s="12"/>
      <c r="I52" s="12"/>
    </row>
    <row r="53" spans="1:17" ht="19" x14ac:dyDescent="0.25">
      <c r="B53" s="135"/>
      <c r="C53" s="142"/>
      <c r="D53" s="135"/>
      <c r="E53" s="136"/>
      <c r="F53" s="137"/>
      <c r="G53" s="145"/>
      <c r="H53" s="137"/>
      <c r="I53" s="136"/>
      <c r="J53" s="541"/>
      <c r="K53" s="541"/>
      <c r="L53" s="541"/>
    </row>
    <row r="54" spans="1:17" ht="20" thickBot="1" x14ac:dyDescent="0.3">
      <c r="B54" s="135"/>
      <c r="C54" s="140"/>
      <c r="D54" s="135"/>
      <c r="E54" s="136"/>
      <c r="F54" s="137"/>
      <c r="G54" s="138"/>
      <c r="H54" s="138"/>
      <c r="I54" s="136"/>
      <c r="J54" s="541"/>
      <c r="K54" s="541"/>
      <c r="L54" s="541"/>
    </row>
    <row r="55" spans="1:17" ht="19" x14ac:dyDescent="0.25">
      <c r="A55" s="557" t="s">
        <v>339</v>
      </c>
      <c r="B55" s="317">
        <v>2015</v>
      </c>
      <c r="C55" s="318"/>
      <c r="D55" s="319"/>
      <c r="E55" s="136"/>
      <c r="F55" s="457">
        <v>2015</v>
      </c>
      <c r="G55" s="458"/>
      <c r="H55" s="459"/>
      <c r="I55" s="136"/>
      <c r="J55" s="541"/>
      <c r="K55" s="541"/>
      <c r="L55" s="541"/>
    </row>
    <row r="56" spans="1:17" ht="19" x14ac:dyDescent="0.25">
      <c r="A56" s="557">
        <v>852</v>
      </c>
      <c r="B56" s="320" t="s">
        <v>187</v>
      </c>
      <c r="C56" s="139">
        <f>'Cons Dev Best '!L47</f>
        <v>961.03604739004732</v>
      </c>
      <c r="D56" s="321">
        <f>C56/$C$60</f>
        <v>0.5510855015563052</v>
      </c>
      <c r="E56" s="136"/>
      <c r="F56" s="460" t="s">
        <v>187</v>
      </c>
      <c r="G56" s="465">
        <f>'Cons Dev Best '!L47</f>
        <v>961.03604739004732</v>
      </c>
      <c r="H56" s="461">
        <f>G56/$G$60</f>
        <v>0.5510855015563052</v>
      </c>
      <c r="I56" s="136"/>
      <c r="J56" s="541"/>
      <c r="K56" s="541"/>
      <c r="L56" s="541"/>
    </row>
    <row r="57" spans="1:17" ht="19" x14ac:dyDescent="0.25">
      <c r="A57" s="557">
        <v>352</v>
      </c>
      <c r="B57" s="320" t="s">
        <v>82</v>
      </c>
      <c r="C57" s="139">
        <f>'WAN FAN Wi-Fi NDBS'!J236+'WAN FAN Wi-Fi NDBS'!J297+'WAN FAN Wi-Fi NDBS'!J338</f>
        <v>316.86551200671113</v>
      </c>
      <c r="D57" s="321">
        <f>C57/$C$60</f>
        <v>0.18169972924984606</v>
      </c>
      <c r="E57" s="136"/>
      <c r="F57" s="460" t="s">
        <v>82</v>
      </c>
      <c r="G57" s="465">
        <f>('WAN FAN Wi-Fi NDBS'!J236+'WAN FAN Wi-Fi NDBS'!J298+'WAN FAN Wi-Fi NDBS'!J339)</f>
        <v>316.86551200671113</v>
      </c>
      <c r="H57" s="461">
        <f t="shared" ref="H57:H59" si="34">G57/$G$60</f>
        <v>0.18169972924984606</v>
      </c>
      <c r="I57" s="136"/>
      <c r="J57" s="541"/>
      <c r="K57" s="541"/>
      <c r="L57" s="541"/>
    </row>
    <row r="58" spans="1:17" ht="19" x14ac:dyDescent="0.25">
      <c r="A58" s="557">
        <v>281</v>
      </c>
      <c r="B58" s="320" t="s">
        <v>44</v>
      </c>
      <c r="C58" s="139">
        <f>'NDBS DataCenters '!I18</f>
        <v>203.37630253609225</v>
      </c>
      <c r="D58" s="321">
        <f>C58/$C$60</f>
        <v>0.1166217770833327</v>
      </c>
      <c r="E58" s="136"/>
      <c r="F58" s="462" t="s">
        <v>44</v>
      </c>
      <c r="G58" s="465">
        <f>'NDBS DataCenters '!I19</f>
        <v>203.37630253609225</v>
      </c>
      <c r="H58" s="461">
        <f t="shared" si="34"/>
        <v>0.1166217770833327</v>
      </c>
      <c r="I58" s="136"/>
      <c r="J58" s="541"/>
      <c r="K58" s="541"/>
      <c r="L58" s="541"/>
    </row>
    <row r="59" spans="1:17" ht="19" x14ac:dyDescent="0.25">
      <c r="A59" s="557">
        <v>330</v>
      </c>
      <c r="B59" s="320" t="s">
        <v>83</v>
      </c>
      <c r="C59" s="139">
        <f>'Prod NDBS'!$I$89</f>
        <v>262.61858367497666</v>
      </c>
      <c r="D59" s="321">
        <f>C59/$C$60</f>
        <v>0.15059299211051613</v>
      </c>
      <c r="E59" s="136"/>
      <c r="F59" s="462" t="s">
        <v>83</v>
      </c>
      <c r="G59" s="465">
        <f>'Prod NDBS'!$I$90</f>
        <v>262.61858367497666</v>
      </c>
      <c r="H59" s="461">
        <f t="shared" si="34"/>
        <v>0.15059299211051613</v>
      </c>
      <c r="I59" s="136"/>
      <c r="J59" s="541"/>
      <c r="K59" s="541"/>
      <c r="L59" s="541"/>
    </row>
    <row r="60" spans="1:17" ht="19" x14ac:dyDescent="0.25">
      <c r="B60" s="320"/>
      <c r="C60" s="142">
        <f>SUM(C56:C59)</f>
        <v>1743.8964456078272</v>
      </c>
      <c r="D60" s="322"/>
      <c r="E60" s="136"/>
      <c r="F60" s="462"/>
      <c r="G60" s="466">
        <f>SUM(G56:G59)</f>
        <v>1743.8964456078272</v>
      </c>
      <c r="H60" s="463"/>
      <c r="I60" s="136"/>
      <c r="J60" s="541"/>
      <c r="K60" s="541"/>
      <c r="L60" s="541"/>
    </row>
    <row r="61" spans="1:17" ht="19" x14ac:dyDescent="0.25">
      <c r="B61" s="320"/>
      <c r="C61" s="135"/>
      <c r="D61" s="322"/>
      <c r="E61" s="136"/>
      <c r="F61" s="462"/>
      <c r="G61" s="137"/>
      <c r="H61" s="463"/>
      <c r="I61" s="136"/>
      <c r="J61" s="541"/>
      <c r="K61" s="541"/>
      <c r="L61" s="541"/>
    </row>
    <row r="62" spans="1:17" ht="19" x14ac:dyDescent="0.25">
      <c r="A62" s="557" t="s">
        <v>340</v>
      </c>
      <c r="B62" s="320">
        <v>2025</v>
      </c>
      <c r="C62" s="143"/>
      <c r="D62" s="322"/>
      <c r="E62" s="557" t="s">
        <v>341</v>
      </c>
      <c r="F62" s="462">
        <v>2025</v>
      </c>
      <c r="G62" s="144"/>
      <c r="H62" s="461"/>
      <c r="I62" s="136"/>
      <c r="J62" s="541"/>
      <c r="K62" s="541"/>
      <c r="L62" s="541"/>
    </row>
    <row r="63" spans="1:17" ht="19" x14ac:dyDescent="0.25">
      <c r="A63" s="557">
        <v>725</v>
      </c>
      <c r="B63" s="320" t="s">
        <v>187</v>
      </c>
      <c r="C63" s="139">
        <f>'Cons Dev Best '!V47</f>
        <v>616.80500140019262</v>
      </c>
      <c r="D63" s="321">
        <f>C63/$C$67</f>
        <v>0.23667969849832496</v>
      </c>
      <c r="E63" s="136">
        <v>1115</v>
      </c>
      <c r="F63" s="460" t="s">
        <v>308</v>
      </c>
      <c r="G63" s="141">
        <f>'Cons Dev Best '!V48-G68-G71</f>
        <v>458.4685955618931</v>
      </c>
      <c r="H63" s="461">
        <f>G63/$G$72</f>
        <v>8.7279425239530417E-2</v>
      </c>
      <c r="I63" s="136"/>
      <c r="J63" s="541"/>
      <c r="K63" s="541"/>
      <c r="L63" s="541"/>
    </row>
    <row r="64" spans="1:17" ht="19" x14ac:dyDescent="0.25">
      <c r="A64" s="557">
        <v>544</v>
      </c>
      <c r="B64" s="320" t="s">
        <v>82</v>
      </c>
      <c r="C64" s="139">
        <f>'WAN FAN Wi-Fi NDBS'!T236+'WAN FAN Wi-Fi NDBS'!T297+'WAN FAN Wi-Fi NDBS'!T338</f>
        <v>383.46654458978423</v>
      </c>
      <c r="D64" s="321">
        <f>C64/$C$67</f>
        <v>0.1471433369568593</v>
      </c>
      <c r="E64" s="136">
        <v>730</v>
      </c>
      <c r="F64" s="462" t="s">
        <v>82</v>
      </c>
      <c r="G64" s="141">
        <f>'WAN FAN Wi-Fi NDBS'!T236+'WAN FAN Wi-Fi NDBS'!T298+'WAN FAN Wi-Fi NDBS'!T339</f>
        <v>766.09107897667138</v>
      </c>
      <c r="H64" s="461">
        <f>G64/$G$72</f>
        <v>0.14584202648006447</v>
      </c>
      <c r="I64" s="136"/>
      <c r="J64" s="541"/>
      <c r="K64" s="541"/>
      <c r="L64" s="541"/>
    </row>
    <row r="65" spans="1:17" ht="19" x14ac:dyDescent="0.25">
      <c r="A65" s="557">
        <v>403</v>
      </c>
      <c r="B65" s="320" t="s">
        <v>44</v>
      </c>
      <c r="C65" s="139">
        <f>'NDBS DataCenters '!S18</f>
        <v>1204.4758917065737</v>
      </c>
      <c r="D65" s="321">
        <f>C65/$C$67</f>
        <v>0.46218008973739161</v>
      </c>
      <c r="E65" s="136">
        <v>541</v>
      </c>
      <c r="F65" s="462" t="s">
        <v>44</v>
      </c>
      <c r="G65" s="141">
        <f>'NDBS DataCenters '!S19</f>
        <v>2985.0327018545986</v>
      </c>
      <c r="H65" s="461">
        <f t="shared" ref="H65:H71" si="35">G65/$G$72</f>
        <v>0.56826561527026165</v>
      </c>
      <c r="I65" s="136"/>
      <c r="J65" s="541"/>
      <c r="K65" s="541"/>
      <c r="L65" s="541"/>
    </row>
    <row r="66" spans="1:17" ht="19" x14ac:dyDescent="0.25">
      <c r="A66" s="557">
        <v>375</v>
      </c>
      <c r="B66" s="320" t="s">
        <v>83</v>
      </c>
      <c r="C66" s="139">
        <f>'Prod NDBS'!$S$89</f>
        <v>401.32737697352911</v>
      </c>
      <c r="D66" s="321">
        <f>C66/$C$67</f>
        <v>0.15399687480742405</v>
      </c>
      <c r="E66" s="136">
        <v>408</v>
      </c>
      <c r="F66" s="462" t="s">
        <v>307</v>
      </c>
      <c r="G66" s="465">
        <f>'Prod NDBS'!S90-G67-G69-G70</f>
        <v>471.44275481383494</v>
      </c>
      <c r="H66" s="461">
        <f t="shared" si="35"/>
        <v>8.9749337406770116E-2</v>
      </c>
      <c r="I66" s="136"/>
      <c r="J66" s="541"/>
      <c r="K66" s="541"/>
      <c r="L66" s="541"/>
    </row>
    <row r="67" spans="1:17" ht="20" thickBot="1" x14ac:dyDescent="0.3">
      <c r="B67" s="323"/>
      <c r="C67" s="324">
        <f>SUM(C63:C66)</f>
        <v>2606.0748146700798</v>
      </c>
      <c r="D67" s="325"/>
      <c r="E67" s="136"/>
      <c r="F67" s="462" t="s">
        <v>306</v>
      </c>
      <c r="G67" s="141">
        <f>'Prod NDBS'!$Q$55</f>
        <v>109.35308315940603</v>
      </c>
      <c r="H67" s="461">
        <f>G67/$G$72</f>
        <v>2.0817727405355198E-2</v>
      </c>
      <c r="I67" s="136"/>
      <c r="J67" s="541"/>
      <c r="K67" s="541"/>
      <c r="L67" s="541"/>
    </row>
    <row r="68" spans="1:17" ht="14.25" customHeight="1" x14ac:dyDescent="0.25">
      <c r="F68" s="462" t="s">
        <v>304</v>
      </c>
      <c r="G68" s="141">
        <f>'Cons Dev Expe'!S24</f>
        <v>25.873720568966601</v>
      </c>
      <c r="H68" s="461">
        <f>G68/$G$72</f>
        <v>4.9256230021599351E-3</v>
      </c>
      <c r="J68" s="541"/>
      <c r="K68" s="541"/>
      <c r="L68" s="541"/>
    </row>
    <row r="69" spans="1:17" ht="14.25" customHeight="1" x14ac:dyDescent="0.25">
      <c r="F69" s="462" t="s">
        <v>310</v>
      </c>
      <c r="G69" s="141">
        <f>'Prod old'!Q36</f>
        <v>13.273634312578286</v>
      </c>
      <c r="H69" s="461">
        <f>G69/$G$72</f>
        <v>2.5269237301230661E-3</v>
      </c>
    </row>
    <row r="70" spans="1:17" ht="19" x14ac:dyDescent="0.25">
      <c r="F70" s="462" t="s">
        <v>309</v>
      </c>
      <c r="G70" s="141">
        <f>SUM('Prod old'!Q59:Q62)</f>
        <v>106.80180619799562</v>
      </c>
      <c r="H70" s="461">
        <f t="shared" si="35"/>
        <v>2.0332036588199338E-2</v>
      </c>
    </row>
    <row r="71" spans="1:17" ht="20" thickBot="1" x14ac:dyDescent="0.3">
      <c r="F71" s="464" t="s">
        <v>305</v>
      </c>
      <c r="G71" s="141">
        <f>'Cons Dev Best '!S37</f>
        <v>316.54546955066172</v>
      </c>
      <c r="H71" s="461">
        <f t="shared" si="35"/>
        <v>6.0261284877535903E-2</v>
      </c>
    </row>
    <row r="72" spans="1:17" ht="20" thickBot="1" x14ac:dyDescent="0.3">
      <c r="A72" s="28"/>
      <c r="G72" s="467">
        <f>SUM(G63:G71)</f>
        <v>5252.8828449966059</v>
      </c>
    </row>
    <row r="73" spans="1:17" x14ac:dyDescent="0.15">
      <c r="B73" s="13"/>
      <c r="C73" s="17"/>
      <c r="D73" s="17"/>
      <c r="E73" s="17"/>
      <c r="F73" s="17"/>
      <c r="G73" s="17"/>
      <c r="I73" s="17"/>
      <c r="J73" s="17"/>
      <c r="K73" s="17"/>
      <c r="L73" s="17"/>
      <c r="M73" s="17"/>
      <c r="N73" s="17"/>
      <c r="O73" s="17"/>
      <c r="P73" s="17"/>
      <c r="Q73" s="17"/>
    </row>
    <row r="75" spans="1:17" x14ac:dyDescent="0.15">
      <c r="A75" s="28"/>
    </row>
    <row r="76" spans="1:17" x14ac:dyDescent="0.15">
      <c r="A76" s="28"/>
    </row>
    <row r="77" spans="1:17" x14ac:dyDescent="0.15">
      <c r="A77" s="28"/>
    </row>
    <row r="78" spans="1:17" x14ac:dyDescent="0.15">
      <c r="A78" s="28"/>
    </row>
    <row r="89" spans="1:9" x14ac:dyDescent="0.15">
      <c r="I89" s="28"/>
    </row>
    <row r="90" spans="1:9" x14ac:dyDescent="0.15">
      <c r="A90" s="28"/>
    </row>
    <row r="104" spans="12:14" ht="19" x14ac:dyDescent="0.25">
      <c r="L104" s="546">
        <v>2025</v>
      </c>
      <c r="M104" s="545"/>
      <c r="N104" s="548"/>
    </row>
    <row r="105" spans="12:14" ht="19" x14ac:dyDescent="0.25">
      <c r="L105" s="546" t="s">
        <v>187</v>
      </c>
      <c r="M105" s="544">
        <f>'Cons Dev Best '!V48</f>
        <v>800.88778568152145</v>
      </c>
      <c r="N105" s="547">
        <f>M105/5903</f>
        <v>0.13567470535007986</v>
      </c>
    </row>
    <row r="106" spans="12:14" ht="19" x14ac:dyDescent="0.25">
      <c r="L106" s="546" t="s">
        <v>82</v>
      </c>
      <c r="M106" s="544">
        <f>G64</f>
        <v>766.09107897667138</v>
      </c>
      <c r="N106" s="547">
        <f t="shared" ref="N106:N108" si="36">M106/5903</f>
        <v>0.12977995578124196</v>
      </c>
    </row>
    <row r="107" spans="12:14" ht="19" x14ac:dyDescent="0.25">
      <c r="L107" s="546" t="s">
        <v>44</v>
      </c>
      <c r="M107" s="544">
        <f>G65</f>
        <v>2985.0327018545986</v>
      </c>
      <c r="N107" s="547">
        <f t="shared" si="36"/>
        <v>0.50568062033789574</v>
      </c>
    </row>
    <row r="108" spans="12:14" ht="19" x14ac:dyDescent="0.25">
      <c r="L108" s="546" t="s">
        <v>83</v>
      </c>
      <c r="M108" s="544">
        <f>'Prod NDBS'!S90</f>
        <v>700.87127848381488</v>
      </c>
      <c r="N108" s="547">
        <f t="shared" si="36"/>
        <v>0.11873137023273164</v>
      </c>
    </row>
    <row r="109" spans="12:14" ht="20" thickBot="1" x14ac:dyDescent="0.3">
      <c r="L109" s="549"/>
      <c r="M109" s="550">
        <f>SUM(M105:M108)</f>
        <v>5252.8828449966059</v>
      </c>
      <c r="N109" s="551"/>
    </row>
    <row r="155" spans="1:17" ht="18" x14ac:dyDescent="0.2">
      <c r="P155" s="892"/>
      <c r="Q155" s="892"/>
    </row>
    <row r="156" spans="1:17" ht="65" x14ac:dyDescent="0.15">
      <c r="B156" s="10">
        <v>2015</v>
      </c>
      <c r="C156" s="10">
        <v>2016</v>
      </c>
      <c r="D156" s="1">
        <v>2017</v>
      </c>
      <c r="E156" s="1">
        <v>2018</v>
      </c>
      <c r="F156" s="1">
        <v>2019</v>
      </c>
      <c r="G156" s="1">
        <v>2020</v>
      </c>
      <c r="H156" s="1">
        <v>2021</v>
      </c>
      <c r="I156" s="1">
        <v>2022</v>
      </c>
      <c r="J156" s="1">
        <v>2023</v>
      </c>
      <c r="K156" s="1">
        <v>2024</v>
      </c>
      <c r="L156" s="1">
        <v>2025</v>
      </c>
      <c r="M156" s="1" t="s">
        <v>375</v>
      </c>
      <c r="N156" s="257" t="s">
        <v>337</v>
      </c>
      <c r="O156" s="257" t="s">
        <v>338</v>
      </c>
      <c r="P156" s="248"/>
      <c r="Q156" s="580"/>
    </row>
    <row r="157" spans="1:17" x14ac:dyDescent="0.15">
      <c r="A157" s="28" t="s">
        <v>187</v>
      </c>
      <c r="B157" s="17">
        <f>'Cons Dev Best '!L47</f>
        <v>961.03604739004732</v>
      </c>
      <c r="C157" s="17">
        <f>'Cons Dev Best '!M47</f>
        <v>792.40620831388105</v>
      </c>
      <c r="D157" s="17">
        <f>'Cons Dev Best '!N47</f>
        <v>779.39472738262498</v>
      </c>
      <c r="E157" s="17">
        <f>'Cons Dev Best '!O47</f>
        <v>768.40517826481323</v>
      </c>
      <c r="F157" s="17">
        <f>'Cons Dev Best '!P47</f>
        <v>759.83291688506574</v>
      </c>
      <c r="G157" s="17">
        <f>'Cons Dev Best '!Q47</f>
        <v>753.08700222559298</v>
      </c>
      <c r="H157" s="17">
        <f>'Cons Dev Best '!R47</f>
        <v>736.10334740830706</v>
      </c>
      <c r="I157" s="17">
        <f>'Cons Dev Best '!S47</f>
        <v>711.39488649156579</v>
      </c>
      <c r="J157" s="17">
        <f>'Cons Dev Best '!T47</f>
        <v>680.27696802099388</v>
      </c>
      <c r="K157" s="17">
        <f>'Cons Dev Best '!U47</f>
        <v>648.66869217675378</v>
      </c>
      <c r="L157" s="17">
        <f>'Cons Dev Best '!V47</f>
        <v>616.80500140019262</v>
      </c>
      <c r="M157" s="543" t="s">
        <v>187</v>
      </c>
      <c r="N157" s="12">
        <f>B157/$G$26</f>
        <v>4.2927548530485443E-2</v>
      </c>
      <c r="O157" s="12">
        <f>L157/$Q$26</f>
        <v>2.3458318877122207E-2</v>
      </c>
      <c r="P157" s="581"/>
      <c r="Q157" s="582"/>
    </row>
    <row r="158" spans="1:17" x14ac:dyDescent="0.15">
      <c r="A158" s="28" t="s">
        <v>246</v>
      </c>
      <c r="B158" s="17">
        <f>'WAN FAN Wi-Fi NDBS'!J297</f>
        <v>151.63684263444782</v>
      </c>
      <c r="C158" s="17">
        <f>'WAN FAN Wi-Fi NDBS'!K297</f>
        <v>139.85650250256816</v>
      </c>
      <c r="D158" s="17">
        <f>'WAN FAN Wi-Fi NDBS'!L297</f>
        <v>129.31922783315423</v>
      </c>
      <c r="E158" s="17">
        <f>'WAN FAN Wi-Fi NDBS'!M297</f>
        <v>119.87746279871092</v>
      </c>
      <c r="F158" s="17">
        <f>'WAN FAN Wi-Fi NDBS'!N297</f>
        <v>111.40176991280259</v>
      </c>
      <c r="G158" s="17">
        <f>'WAN FAN Wi-Fi NDBS'!O297</f>
        <v>103.77858555962989</v>
      </c>
      <c r="H158" s="17">
        <f>'WAN FAN Wi-Fi NDBS'!P297</f>
        <v>96.908254188635993</v>
      </c>
      <c r="I158" s="17">
        <f>'WAN FAN Wi-Fi NDBS'!Q297</f>
        <v>111.18469835968899</v>
      </c>
      <c r="J158" s="17">
        <f>'WAN FAN Wi-Fi NDBS'!R297</f>
        <v>127.85177758134969</v>
      </c>
      <c r="K158" s="17">
        <f>'WAN FAN Wi-Fi NDBS'!S297</f>
        <v>147.33670035559436</v>
      </c>
      <c r="L158" s="17">
        <f>'WAN FAN Wi-Fi NDBS'!T297</f>
        <v>170.14523066412389</v>
      </c>
      <c r="M158" s="543" t="s">
        <v>246</v>
      </c>
      <c r="N158" s="12">
        <f t="shared" ref="N158:N162" si="37">B158/$G$26</f>
        <v>6.7733129666445588E-3</v>
      </c>
      <c r="O158" s="12">
        <f t="shared" ref="O158:O162" si="38">L158/$Q$26</f>
        <v>6.4709609475927365E-3</v>
      </c>
      <c r="P158" s="581"/>
      <c r="Q158" s="582"/>
    </row>
    <row r="159" spans="1:17" x14ac:dyDescent="0.15">
      <c r="A159" s="28" t="s">
        <v>245</v>
      </c>
      <c r="B159" s="17">
        <f>'WAN FAN Wi-Fi NDBS'!J338</f>
        <v>46.730267333984393</v>
      </c>
      <c r="C159" s="17">
        <f>'WAN FAN Wi-Fi NDBS'!K338</f>
        <v>45.269946479797383</v>
      </c>
      <c r="D159" s="17">
        <f>'WAN FAN Wi-Fi NDBS'!L338</f>
        <v>43.85526065230372</v>
      </c>
      <c r="E159" s="17">
        <f>'WAN FAN Wi-Fi NDBS'!M338</f>
        <v>42.484783756919228</v>
      </c>
      <c r="F159" s="17">
        <f>'WAN FAN Wi-Fi NDBS'!N338</f>
        <v>41.157134264515506</v>
      </c>
      <c r="G159" s="17">
        <f>'WAN FAN Wi-Fi NDBS'!O338</f>
        <v>39.870973818749391</v>
      </c>
      <c r="H159" s="17">
        <f>'WAN FAN Wi-Fi NDBS'!P338</f>
        <v>38.625005886913478</v>
      </c>
      <c r="I159" s="17">
        <f>'WAN FAN Wi-Fi NDBS'!Q338</f>
        <v>45.86719449070975</v>
      </c>
      <c r="J159" s="17">
        <f>'WAN FAN Wi-Fi NDBS'!R338</f>
        <v>54.467293457717822</v>
      </c>
      <c r="K159" s="17">
        <f>'WAN FAN Wi-Fi NDBS'!S338</f>
        <v>64.67991098103991</v>
      </c>
      <c r="L159" s="17">
        <f>'WAN FAN Wi-Fi NDBS'!T338</f>
        <v>76.807394289984899</v>
      </c>
      <c r="M159" s="543" t="s">
        <v>245</v>
      </c>
      <c r="N159" s="12">
        <f t="shared" si="37"/>
        <v>2.0873471128060707E-3</v>
      </c>
      <c r="O159" s="12">
        <f t="shared" si="38"/>
        <v>2.9211377068687279E-3</v>
      </c>
      <c r="P159" s="581"/>
      <c r="Q159" s="582"/>
    </row>
    <row r="160" spans="1:17" x14ac:dyDescent="0.15">
      <c r="A160" s="28" t="s">
        <v>198</v>
      </c>
      <c r="B160" s="17">
        <f>'WAN FAN Wi-Fi NDBS'!J236</f>
        <v>118.49840203827894</v>
      </c>
      <c r="C160" s="17">
        <f>'WAN FAN Wi-Fi NDBS'!K236</f>
        <v>106.21863384219048</v>
      </c>
      <c r="D160" s="17">
        <f>'WAN FAN Wi-Fi NDBS'!L236</f>
        <v>92.720857771151429</v>
      </c>
      <c r="E160" s="17">
        <f>'WAN FAN Wi-Fi NDBS'!M236</f>
        <v>86.253403400795108</v>
      </c>
      <c r="F160" s="17">
        <f>'WAN FAN Wi-Fi NDBS'!N236</f>
        <v>80.266661220934012</v>
      </c>
      <c r="G160" s="17">
        <f>'WAN FAN Wi-Fi NDBS'!O236</f>
        <v>76.498836179812798</v>
      </c>
      <c r="H160" s="17">
        <f>'WAN FAN Wi-Fi NDBS'!P236</f>
        <v>76.470328285506454</v>
      </c>
      <c r="I160" s="17">
        <f>'WAN FAN Wi-Fi NDBS'!Q236</f>
        <v>84.337051607117758</v>
      </c>
      <c r="J160" s="17">
        <f>'WAN FAN Wi-Fi NDBS'!R236</f>
        <v>98.967202908127732</v>
      </c>
      <c r="K160" s="17">
        <f>'WAN FAN Wi-Fi NDBS'!S236</f>
        <v>115.51035851898419</v>
      </c>
      <c r="L160" s="17">
        <f>'WAN FAN Wi-Fi NDBS'!T236</f>
        <v>136.51391963567548</v>
      </c>
      <c r="M160" s="543" t="s">
        <v>198</v>
      </c>
      <c r="N160" s="12">
        <f t="shared" si="37"/>
        <v>5.2930854343059205E-3</v>
      </c>
      <c r="O160" s="12">
        <f t="shared" si="38"/>
        <v>5.1918954138015358E-3</v>
      </c>
      <c r="P160" s="581"/>
      <c r="Q160" s="582"/>
    </row>
    <row r="161" spans="1:23" x14ac:dyDescent="0.15">
      <c r="A161" s="28" t="s">
        <v>199</v>
      </c>
      <c r="B161" s="17">
        <f>'NDBS DataCenters '!I18</f>
        <v>203.37630253609225</v>
      </c>
      <c r="C161" s="17">
        <f>'NDBS DataCenters '!J18</f>
        <v>205.39765529554415</v>
      </c>
      <c r="D161" s="17">
        <f>'NDBS DataCenters '!K18</f>
        <v>222.52720782976834</v>
      </c>
      <c r="E161" s="17">
        <f>'NDBS DataCenters '!L18</f>
        <v>248.2161049540407</v>
      </c>
      <c r="F161" s="17">
        <f>'NDBS DataCenters '!M18</f>
        <v>276.97864856946711</v>
      </c>
      <c r="G161" s="17">
        <f>'NDBS DataCenters '!N18</f>
        <v>309.16502012720844</v>
      </c>
      <c r="H161" s="17">
        <f>'NDBS DataCenters '!O18</f>
        <v>344.73512707544478</v>
      </c>
      <c r="I161" s="17">
        <f>'NDBS DataCenters '!P18</f>
        <v>471.28579672737806</v>
      </c>
      <c r="J161" s="17">
        <f>'NDBS DataCenters '!Q18</f>
        <v>644.3301221643178</v>
      </c>
      <c r="K161" s="17">
        <f>'NDBS DataCenters '!R18</f>
        <v>880.94613056480284</v>
      </c>
      <c r="L161" s="17">
        <f>'NDBS DataCenters '!S18</f>
        <v>1204.4758917065737</v>
      </c>
      <c r="M161" s="543" t="s">
        <v>199</v>
      </c>
      <c r="N161" s="12">
        <f t="shared" si="37"/>
        <v>9.0844106428459911E-3</v>
      </c>
      <c r="O161" s="12">
        <f t="shared" si="38"/>
        <v>4.5808609663212922E-2</v>
      </c>
      <c r="P161" s="581"/>
      <c r="Q161" s="582"/>
    </row>
    <row r="162" spans="1:23" ht="13.5" customHeight="1" x14ac:dyDescent="0.15">
      <c r="A162" s="28" t="s">
        <v>83</v>
      </c>
      <c r="B162" s="17">
        <f>'Prod NDBS'!I89</f>
        <v>262.61858367497666</v>
      </c>
      <c r="C162" s="17">
        <f>'Prod NDBS'!J89</f>
        <v>263.22763936943767</v>
      </c>
      <c r="D162" s="17">
        <f>'Prod NDBS'!K89</f>
        <v>266.85183540206583</v>
      </c>
      <c r="E162" s="17">
        <f>'Prod NDBS'!L89</f>
        <v>273.89441314637577</v>
      </c>
      <c r="F162" s="17">
        <f>'Prod NDBS'!M89</f>
        <v>283.33503039001181</v>
      </c>
      <c r="G162" s="17">
        <f>'Prod NDBS'!N89</f>
        <v>291.54174021868505</v>
      </c>
      <c r="H162" s="17">
        <f>'Prod NDBS'!O89</f>
        <v>284.92399229153489</v>
      </c>
      <c r="I162" s="17">
        <f>'Prod NDBS'!P89</f>
        <v>295.96479717608531</v>
      </c>
      <c r="J162" s="17">
        <f>'Prod NDBS'!Q89</f>
        <v>317.00634593757229</v>
      </c>
      <c r="K162" s="17">
        <f>'Prod NDBS'!R89</f>
        <v>350.52115740776316</v>
      </c>
      <c r="L162" s="17">
        <f>'Prod NDBS'!S89</f>
        <v>401.32737697352911</v>
      </c>
      <c r="M162" s="543" t="s">
        <v>83</v>
      </c>
      <c r="N162" s="12">
        <f t="shared" si="37"/>
        <v>1.1730644262857089E-2</v>
      </c>
      <c r="O162" s="12">
        <f t="shared" si="38"/>
        <v>1.5263276986717927E-2</v>
      </c>
      <c r="P162" s="581"/>
      <c r="Q162" s="582"/>
    </row>
    <row r="163" spans="1:23" x14ac:dyDescent="0.15">
      <c r="A163" s="28"/>
      <c r="B163" s="558">
        <f>SUM(B157:B162)</f>
        <v>1743.8964456078274</v>
      </c>
      <c r="C163" s="558">
        <f t="shared" ref="C163:F163" si="39">SUM(C157:C162)</f>
        <v>1552.3765858034189</v>
      </c>
      <c r="D163" s="558">
        <f t="shared" si="39"/>
        <v>1534.6691168710686</v>
      </c>
      <c r="E163" s="558">
        <f t="shared" si="39"/>
        <v>1539.1313463216552</v>
      </c>
      <c r="F163" s="558">
        <f t="shared" si="39"/>
        <v>1552.9721612427968</v>
      </c>
      <c r="G163" s="558">
        <f t="shared" ref="G163" si="40">SUM(G157:G162)</f>
        <v>1573.9421581296783</v>
      </c>
      <c r="H163" s="558">
        <f t="shared" ref="H163" si="41">SUM(H157:H162)</f>
        <v>1577.7660551363426</v>
      </c>
      <c r="I163" s="558">
        <f t="shared" ref="I163:J163" si="42">SUM(I157:I162)</f>
        <v>1720.0344248525457</v>
      </c>
      <c r="J163" s="558">
        <f t="shared" si="42"/>
        <v>1922.8997100700794</v>
      </c>
      <c r="K163" s="558">
        <f>SUM(K157:K162)</f>
        <v>2207.662950004938</v>
      </c>
      <c r="L163" s="558">
        <f>SUM(L157:L162)</f>
        <v>2606.0748146700798</v>
      </c>
      <c r="M163" s="17"/>
      <c r="N163" s="12"/>
      <c r="O163" s="12"/>
      <c r="P163" s="583"/>
      <c r="Q163" s="584"/>
    </row>
    <row r="164" spans="1:23" x14ac:dyDescent="0.15">
      <c r="N164" s="12"/>
      <c r="O164" s="12"/>
      <c r="P164" s="248"/>
      <c r="Q164" s="248"/>
    </row>
    <row r="165" spans="1:23" ht="66" x14ac:dyDescent="0.2">
      <c r="B165" s="10">
        <v>2015</v>
      </c>
      <c r="C165" s="10">
        <v>2016</v>
      </c>
      <c r="D165" s="1">
        <v>2017</v>
      </c>
      <c r="E165" s="1">
        <v>2018</v>
      </c>
      <c r="F165" s="1">
        <v>2019</v>
      </c>
      <c r="G165" s="1">
        <v>2020</v>
      </c>
      <c r="H165" s="1">
        <v>2021</v>
      </c>
      <c r="I165" s="1">
        <v>2022</v>
      </c>
      <c r="J165" s="1">
        <v>2023</v>
      </c>
      <c r="K165" s="1">
        <v>2024</v>
      </c>
      <c r="L165" s="1">
        <v>2025</v>
      </c>
      <c r="M165" s="1" t="s">
        <v>374</v>
      </c>
      <c r="N165" s="257" t="s">
        <v>337</v>
      </c>
      <c r="O165" s="257" t="s">
        <v>338</v>
      </c>
      <c r="P165" s="892"/>
      <c r="Q165" s="892"/>
    </row>
    <row r="166" spans="1:23" x14ac:dyDescent="0.15">
      <c r="A166" s="28" t="s">
        <v>187</v>
      </c>
      <c r="B166" s="17">
        <f>'Cons Dev Best '!L48</f>
        <v>961.03604739004732</v>
      </c>
      <c r="C166" s="17">
        <f>'Cons Dev Best '!M48</f>
        <v>953.00138348176574</v>
      </c>
      <c r="D166" s="17">
        <f>'Cons Dev Best '!N48</f>
        <v>944.60414012569913</v>
      </c>
      <c r="E166" s="17">
        <f>'Cons Dev Best '!O48</f>
        <v>938.57153752128124</v>
      </c>
      <c r="F166" s="17">
        <f>'Cons Dev Best '!P48</f>
        <v>935.00484435329918</v>
      </c>
      <c r="G166" s="17">
        <f>'Cons Dev Best '!Q48</f>
        <v>933.52961561866346</v>
      </c>
      <c r="H166" s="17">
        <f>'Cons Dev Best '!R48</f>
        <v>921.15101603012431</v>
      </c>
      <c r="I166" s="17">
        <f>'Cons Dev Best '!S48</f>
        <v>900.41952918945685</v>
      </c>
      <c r="J166" s="17">
        <f>'Cons Dev Best '!T48</f>
        <v>872.66433117184079</v>
      </c>
      <c r="K166" s="17">
        <f>'Cons Dev Best '!U48</f>
        <v>839.09443738149935</v>
      </c>
      <c r="L166" s="17">
        <f>'Cons Dev Best '!V48</f>
        <v>800.88778568152145</v>
      </c>
      <c r="M166" s="543" t="s">
        <v>187</v>
      </c>
      <c r="N166" s="12">
        <f>B166/$G$28</f>
        <v>4.4839783950684192E-2</v>
      </c>
      <c r="O166" s="12">
        <f>L166/$Q$28</f>
        <v>2.8957465312142154E-2</v>
      </c>
      <c r="P166" s="583"/>
      <c r="Q166" s="580"/>
    </row>
    <row r="167" spans="1:23" x14ac:dyDescent="0.15">
      <c r="A167" s="28" t="s">
        <v>246</v>
      </c>
      <c r="B167" s="17">
        <f>'WAN FAN Wi-Fi NDBS'!J298</f>
        <v>151.63684263444782</v>
      </c>
      <c r="C167" s="17">
        <f>'WAN FAN Wi-Fi NDBS'!K298</f>
        <v>160.1512264532609</v>
      </c>
      <c r="D167" s="17">
        <f>'WAN FAN Wi-Fi NDBS'!L298</f>
        <v>167.40286784511915</v>
      </c>
      <c r="E167" s="17">
        <f>'WAN FAN Wi-Fi NDBS'!M298</f>
        <v>175.71242294208025</v>
      </c>
      <c r="F167" s="17">
        <f>'WAN FAN Wi-Fi NDBS'!N298</f>
        <v>185.18178145105239</v>
      </c>
      <c r="G167" s="17">
        <f>'WAN FAN Wi-Fi NDBS'!O298</f>
        <v>195.92381642636491</v>
      </c>
      <c r="H167" s="17">
        <f>'WAN FAN Wi-Fi NDBS'!P298</f>
        <v>208.06352868847375</v>
      </c>
      <c r="I167" s="17">
        <f>'WAN FAN Wi-Fi NDBS'!Q298</f>
        <v>247.82628952520483</v>
      </c>
      <c r="J167" s="17">
        <f>'WAN FAN Wi-Fi NDBS'!R298</f>
        <v>296.17532918094776</v>
      </c>
      <c r="K167" s="17">
        <f>'WAN FAN Wi-Fi NDBS'!S298</f>
        <v>355.06551167002777</v>
      </c>
      <c r="L167" s="17">
        <f>'WAN FAN Wi-Fi NDBS'!T298</f>
        <v>426.90587239496085</v>
      </c>
      <c r="M167" s="543" t="s">
        <v>246</v>
      </c>
      <c r="N167" s="12">
        <f t="shared" ref="N167:N170" si="43">B167/$G$28</f>
        <v>7.0750345745698544E-3</v>
      </c>
      <c r="O167" s="12">
        <f t="shared" ref="O167:O170" si="44">L167/$Q$28</f>
        <v>1.5435510707542172E-2</v>
      </c>
      <c r="P167" s="581"/>
      <c r="Q167" s="582"/>
    </row>
    <row r="168" spans="1:23" x14ac:dyDescent="0.15">
      <c r="A168" s="28" t="s">
        <v>245</v>
      </c>
      <c r="B168" s="17">
        <f>'WAN FAN Wi-Fi NDBS'!J339</f>
        <v>46.730267333984393</v>
      </c>
      <c r="C168" s="17">
        <f>'WAN FAN Wi-Fi NDBS'!K339</f>
        <v>52.882625015529669</v>
      </c>
      <c r="D168" s="17">
        <f>'WAN FAN Wi-Fi NDBS'!L339</f>
        <v>58.435300642160286</v>
      </c>
      <c r="E168" s="17">
        <f>'WAN FAN Wi-Fi NDBS'!M339</f>
        <v>64.571007209587123</v>
      </c>
      <c r="F168" s="17">
        <f>'WAN FAN Wi-Fi NDBS'!N339</f>
        <v>71.350962966593769</v>
      </c>
      <c r="G168" s="17">
        <f>'WAN FAN Wi-Fi NDBS'!O339</f>
        <v>78.842814078086121</v>
      </c>
      <c r="H168" s="17">
        <f>'WAN FAN Wi-Fi NDBS'!P339</f>
        <v>87.121309556285169</v>
      </c>
      <c r="I168" s="17">
        <f>'WAN FAN Wi-Fi NDBS'!Q339</f>
        <v>107.59481730201219</v>
      </c>
      <c r="J168" s="17">
        <f>'WAN FAN Wi-Fi NDBS'!R339</f>
        <v>132.87959936798507</v>
      </c>
      <c r="K168" s="17">
        <f>'WAN FAN Wi-Fi NDBS'!S339</f>
        <v>164.10630521946155</v>
      </c>
      <c r="L168" s="17">
        <f>'WAN FAN Wi-Fi NDBS'!T339</f>
        <v>202.67128694603502</v>
      </c>
      <c r="M168" s="543" t="s">
        <v>245</v>
      </c>
      <c r="N168" s="12">
        <f t="shared" si="43"/>
        <v>2.18032934030324E-3</v>
      </c>
      <c r="O168" s="12">
        <f t="shared" si="44"/>
        <v>7.3279264166987886E-3</v>
      </c>
      <c r="P168" s="581"/>
      <c r="Q168" s="582"/>
    </row>
    <row r="169" spans="1:23" x14ac:dyDescent="0.15">
      <c r="A169" s="28" t="s">
        <v>198</v>
      </c>
      <c r="B169" s="17">
        <f>'WAN FAN Wi-Fi NDBS'!J236</f>
        <v>118.49840203827894</v>
      </c>
      <c r="C169" s="17">
        <f>'WAN FAN Wi-Fi NDBS'!K236</f>
        <v>106.21863384219048</v>
      </c>
      <c r="D169" s="17">
        <f>'WAN FAN Wi-Fi NDBS'!L236</f>
        <v>92.720857771151429</v>
      </c>
      <c r="E169" s="17">
        <f>'WAN FAN Wi-Fi NDBS'!M236</f>
        <v>86.253403400795108</v>
      </c>
      <c r="F169" s="17">
        <f>'WAN FAN Wi-Fi NDBS'!N236</f>
        <v>80.266661220934012</v>
      </c>
      <c r="G169" s="17">
        <f>'WAN FAN Wi-Fi NDBS'!O236</f>
        <v>76.498836179812798</v>
      </c>
      <c r="H169" s="17">
        <f>'WAN FAN Wi-Fi NDBS'!P236</f>
        <v>76.470328285506454</v>
      </c>
      <c r="I169" s="17">
        <f>'WAN FAN Wi-Fi NDBS'!Q236</f>
        <v>84.337051607117758</v>
      </c>
      <c r="J169" s="17">
        <f>'WAN FAN Wi-Fi NDBS'!R236</f>
        <v>98.967202908127732</v>
      </c>
      <c r="K169" s="17">
        <f>'WAN FAN Wi-Fi NDBS'!S236</f>
        <v>115.51035851898419</v>
      </c>
      <c r="L169" s="17">
        <f>'WAN FAN Wi-Fi NDBS'!T236</f>
        <v>136.51391963567548</v>
      </c>
      <c r="M169" s="543" t="s">
        <v>198</v>
      </c>
      <c r="N169" s="12">
        <f t="shared" si="43"/>
        <v>5.5288693492068584E-3</v>
      </c>
      <c r="O169" s="12">
        <f t="shared" si="44"/>
        <v>4.9358938457410946E-3</v>
      </c>
      <c r="P169" s="581"/>
      <c r="Q169" s="582"/>
    </row>
    <row r="170" spans="1:23" x14ac:dyDescent="0.15">
      <c r="A170" s="28" t="s">
        <v>199</v>
      </c>
      <c r="B170" s="17">
        <f>'NDBS DataCenters '!I19</f>
        <v>203.37630253609225</v>
      </c>
      <c r="C170" s="17">
        <f>'NDBS DataCenters '!J19</f>
        <v>239.7806606900528</v>
      </c>
      <c r="D170" s="17">
        <f>'NDBS DataCenters '!K19</f>
        <v>302.12363246946649</v>
      </c>
      <c r="E170" s="17">
        <f>'NDBS DataCenters '!L19</f>
        <v>391.55222768042853</v>
      </c>
      <c r="F170" s="17">
        <f>'NDBS DataCenters '!M19</f>
        <v>507.45168707383544</v>
      </c>
      <c r="G170" s="17">
        <f>'NDBS DataCenters '!N19</f>
        <v>657.65738644769067</v>
      </c>
      <c r="H170" s="17">
        <f>'NDBS DataCenters '!O19</f>
        <v>852.32397283620708</v>
      </c>
      <c r="I170" s="17">
        <f>'NDBS DataCenters '!P19</f>
        <v>1165.9791948399311</v>
      </c>
      <c r="J170" s="17">
        <f>'NDBS DataCenters '!Q19</f>
        <v>1595.0595385410256</v>
      </c>
      <c r="K170" s="17">
        <f>'NDBS DataCenters '!R19</f>
        <v>2182.0414487241223</v>
      </c>
      <c r="L170" s="17">
        <f>'NDBS DataCenters '!S19</f>
        <v>2985.0327018545986</v>
      </c>
      <c r="M170" s="543" t="s">
        <v>199</v>
      </c>
      <c r="N170" s="12">
        <f t="shared" si="43"/>
        <v>9.489081591864755E-3</v>
      </c>
      <c r="O170" s="12">
        <f t="shared" si="44"/>
        <v>0.10792895392456088</v>
      </c>
      <c r="P170" s="581"/>
      <c r="Q170" s="582"/>
    </row>
    <row r="171" spans="1:23" x14ac:dyDescent="0.15">
      <c r="A171" s="28" t="s">
        <v>83</v>
      </c>
      <c r="B171" s="17">
        <f>'Prod NDBS'!I90</f>
        <v>262.61858367497666</v>
      </c>
      <c r="C171" s="17">
        <f>'Prod NDBS'!J90</f>
        <v>349.43093113429609</v>
      </c>
      <c r="D171" s="17">
        <f>'Prod NDBS'!K90</f>
        <v>361.08401419379004</v>
      </c>
      <c r="E171" s="17">
        <f>'Prod NDBS'!L90</f>
        <v>378.58445788037983</v>
      </c>
      <c r="F171" s="17">
        <f>'Prod NDBS'!M90</f>
        <v>400.87196977686472</v>
      </c>
      <c r="G171" s="17">
        <f>'Prod NDBS'!N90</f>
        <v>424.72957369856675</v>
      </c>
      <c r="H171" s="17">
        <f>'Prod NDBS'!O90</f>
        <v>432.25442378835749</v>
      </c>
      <c r="I171" s="17">
        <f>'Prod NDBS'!P90</f>
        <v>465.57050799430067</v>
      </c>
      <c r="J171" s="17">
        <f>'Prod NDBS'!Q90</f>
        <v>517.82029376513913</v>
      </c>
      <c r="K171" s="17">
        <f>'Prod NDBS'!R90</f>
        <v>593.6112907581321</v>
      </c>
      <c r="L171" s="17">
        <f>'Prod NDBS'!S90</f>
        <v>700.87127848381488</v>
      </c>
      <c r="M171" s="543" t="s">
        <v>83</v>
      </c>
      <c r="N171" s="12">
        <f>B171/$G$28</f>
        <v>1.2253193400394175E-2</v>
      </c>
      <c r="O171" s="12">
        <f>L171/$Q$28</f>
        <v>2.5341197728095233E-2</v>
      </c>
      <c r="P171" s="581"/>
      <c r="Q171" s="582"/>
    </row>
    <row r="172" spans="1:23" ht="11.5" customHeight="1" x14ac:dyDescent="0.15">
      <c r="B172" s="558">
        <f>SUM(B166:B171)</f>
        <v>1743.8964456078274</v>
      </c>
      <c r="C172" s="558">
        <f t="shared" ref="C172:D172" si="45">SUM(C166:C171)</f>
        <v>1861.4654606170957</v>
      </c>
      <c r="D172" s="558">
        <f t="shared" si="45"/>
        <v>1926.3708130473865</v>
      </c>
      <c r="E172" s="558">
        <f>SUM(E166:E171)</f>
        <v>2035.2450566345522</v>
      </c>
      <c r="F172" s="558">
        <f t="shared" ref="F172" si="46">SUM(F166:F171)</f>
        <v>2180.1279068425793</v>
      </c>
      <c r="G172" s="558">
        <f>SUM(G166:G171)</f>
        <v>2367.1820424491848</v>
      </c>
      <c r="H172" s="558">
        <f t="shared" ref="H172:K172" si="47">SUM(H166:H171)</f>
        <v>2577.3845791849544</v>
      </c>
      <c r="I172" s="558">
        <f t="shared" si="47"/>
        <v>2971.7273904580234</v>
      </c>
      <c r="J172" s="558">
        <f t="shared" si="47"/>
        <v>3513.5662949350658</v>
      </c>
      <c r="K172" s="558">
        <f t="shared" si="47"/>
        <v>4249.4293522722273</v>
      </c>
      <c r="L172" s="558">
        <f>SUM(L166:L171)</f>
        <v>5252.8828449966059</v>
      </c>
      <c r="M172" s="1"/>
      <c r="N172" s="1"/>
      <c r="O172" s="1"/>
      <c r="P172" s="581"/>
      <c r="Q172" s="582"/>
      <c r="R172" s="12"/>
      <c r="S172" s="12"/>
      <c r="T172" s="258"/>
      <c r="U172" s="258"/>
      <c r="V172" s="258"/>
      <c r="W172" s="258"/>
    </row>
    <row r="173" spans="1:23" x14ac:dyDescent="0.15">
      <c r="P173" s="250"/>
      <c r="Q173" s="585"/>
    </row>
    <row r="174" spans="1:23" x14ac:dyDescent="0.15">
      <c r="P174" s="248"/>
      <c r="Q174" s="248"/>
    </row>
    <row r="175" spans="1:23" x14ac:dyDescent="0.15">
      <c r="P175" s="248"/>
      <c r="Q175" s="248"/>
    </row>
    <row r="206" spans="1:12" x14ac:dyDescent="0.15">
      <c r="A206" s="262" t="s">
        <v>237</v>
      </c>
      <c r="F206" s="28" t="s">
        <v>239</v>
      </c>
      <c r="L206" s="28" t="s">
        <v>238</v>
      </c>
    </row>
    <row r="238" spans="1:3" x14ac:dyDescent="0.15">
      <c r="A238" s="543" t="s">
        <v>355</v>
      </c>
      <c r="B238" s="495">
        <f>1762*1000000000*3.6*1000000</f>
        <v>6.3432E+18</v>
      </c>
      <c r="C238" s="543" t="s">
        <v>345</v>
      </c>
    </row>
    <row r="239" spans="1:3" x14ac:dyDescent="0.15">
      <c r="C239" s="543" t="s">
        <v>344</v>
      </c>
    </row>
    <row r="241" spans="1:7" x14ac:dyDescent="0.15">
      <c r="A241" s="543" t="s">
        <v>354</v>
      </c>
      <c r="B241" t="e">
        <f>#REF!*1000000000*3.6*1000000</f>
        <v>#REF!</v>
      </c>
    </row>
    <row r="243" spans="1:7" x14ac:dyDescent="0.15">
      <c r="B243" s="495" t="e">
        <f>B238/B241</f>
        <v>#REF!</v>
      </c>
    </row>
    <row r="244" spans="1:7" x14ac:dyDescent="0.15">
      <c r="D244" s="543" t="s">
        <v>349</v>
      </c>
    </row>
    <row r="245" spans="1:7" x14ac:dyDescent="0.15">
      <c r="A245" s="543" t="s">
        <v>346</v>
      </c>
      <c r="B245">
        <f>8*4533*2^60</f>
        <v>4.1809545443062699E+22</v>
      </c>
      <c r="C245" s="543" t="s">
        <v>347</v>
      </c>
      <c r="D245" s="543" t="s">
        <v>170</v>
      </c>
      <c r="E245" s="543" t="s">
        <v>296</v>
      </c>
    </row>
    <row r="246" spans="1:7" x14ac:dyDescent="0.15">
      <c r="D246" s="543" t="s">
        <v>171</v>
      </c>
      <c r="E246" s="543" t="s">
        <v>297</v>
      </c>
    </row>
    <row r="247" spans="1:7" x14ac:dyDescent="0.15">
      <c r="A247" s="543" t="s">
        <v>348</v>
      </c>
      <c r="B247" s="495">
        <f>B238/B245</f>
        <v>1.5171655019876576E-4</v>
      </c>
      <c r="D247" s="543" t="s">
        <v>172</v>
      </c>
      <c r="E247" s="543" t="s">
        <v>298</v>
      </c>
    </row>
    <row r="248" spans="1:7" x14ac:dyDescent="0.15">
      <c r="D248" s="543" t="s">
        <v>173</v>
      </c>
      <c r="E248" s="543" t="s">
        <v>311</v>
      </c>
    </row>
    <row r="249" spans="1:7" x14ac:dyDescent="0.15">
      <c r="D249" s="543" t="s">
        <v>174</v>
      </c>
      <c r="E249" s="543" t="s">
        <v>312</v>
      </c>
    </row>
    <row r="250" spans="1:7" x14ac:dyDescent="0.15">
      <c r="D250" s="543" t="s">
        <v>175</v>
      </c>
      <c r="E250" s="543" t="s">
        <v>313</v>
      </c>
    </row>
    <row r="253" spans="1:7" x14ac:dyDescent="0.15">
      <c r="B253" s="543" t="s">
        <v>350</v>
      </c>
      <c r="C253" s="543" t="s">
        <v>351</v>
      </c>
      <c r="D253">
        <f>0.000001/3.6/1000000000</f>
        <v>2.7777777777777775E-16</v>
      </c>
      <c r="E253" s="543" t="s">
        <v>90</v>
      </c>
      <c r="F253">
        <f>D253/D254</f>
        <v>2562.0477880152152</v>
      </c>
      <c r="G253" s="541" t="s">
        <v>371</v>
      </c>
    </row>
    <row r="254" spans="1:7" x14ac:dyDescent="0.15">
      <c r="B254" s="543" t="s">
        <v>176</v>
      </c>
      <c r="C254" s="543" t="s">
        <v>352</v>
      </c>
      <c r="D254">
        <f>0.125/2^60</f>
        <v>1.0842021724855044E-19</v>
      </c>
      <c r="E254" s="543" t="s">
        <v>353</v>
      </c>
      <c r="F254">
        <v>1</v>
      </c>
      <c r="G254" s="541" t="s">
        <v>289</v>
      </c>
    </row>
    <row r="258" spans="2:5" x14ac:dyDescent="0.15">
      <c r="B258" s="495">
        <v>1E-14</v>
      </c>
      <c r="C258" s="543" t="s">
        <v>356</v>
      </c>
      <c r="D258" s="495">
        <f>B258*2562</f>
        <v>2.5620000000000001E-11</v>
      </c>
      <c r="E258" s="543" t="s">
        <v>43</v>
      </c>
    </row>
  </sheetData>
  <mergeCells count="2">
    <mergeCell ref="P165:Q165"/>
    <mergeCell ref="P155:Q155"/>
  </mergeCells>
  <pageMargins left="0.75" right="0.75" top="1" bottom="1" header="0.5" footer="0.5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CN8"/>
  <sheetViews>
    <sheetView zoomScale="55" zoomScaleNormal="55" workbookViewId="0">
      <selection activeCell="H8" sqref="H8"/>
    </sheetView>
  </sheetViews>
  <sheetFormatPr baseColWidth="10" defaultColWidth="9" defaultRowHeight="13" x14ac:dyDescent="0.15"/>
  <cols>
    <col min="1" max="1" width="9" style="34"/>
    <col min="2" max="2" width="23.6640625" style="34" customWidth="1"/>
    <col min="3" max="3" width="9" style="34"/>
    <col min="4" max="4" width="23.5" style="34" customWidth="1"/>
    <col min="5" max="5" width="24.33203125" style="34" customWidth="1"/>
    <col min="6" max="6" width="14.83203125" style="34" customWidth="1"/>
    <col min="7" max="22" width="9" style="34"/>
    <col min="23" max="23" width="9" style="103"/>
    <col min="24" max="16384" width="9" style="34"/>
  </cols>
  <sheetData>
    <row r="2" spans="1:92" ht="14" thickBot="1" x14ac:dyDescent="0.2"/>
    <row r="3" spans="1:92" x14ac:dyDescent="0.15">
      <c r="C3" s="62">
        <v>2010</v>
      </c>
      <c r="D3" s="62">
        <v>2011</v>
      </c>
      <c r="E3" s="62">
        <v>2012</v>
      </c>
      <c r="F3" s="62">
        <v>2013</v>
      </c>
      <c r="G3" s="62">
        <v>2014</v>
      </c>
      <c r="H3" s="308">
        <v>2015</v>
      </c>
      <c r="I3" s="309">
        <v>2016</v>
      </c>
      <c r="J3" s="309">
        <v>2017</v>
      </c>
      <c r="K3" s="309">
        <v>2018</v>
      </c>
      <c r="L3" s="309">
        <v>2019</v>
      </c>
      <c r="M3" s="309">
        <v>2020</v>
      </c>
      <c r="N3" s="309">
        <v>2021</v>
      </c>
      <c r="O3" s="309">
        <v>2022</v>
      </c>
      <c r="P3" s="309">
        <v>2023</v>
      </c>
      <c r="Q3" s="309">
        <v>2024</v>
      </c>
      <c r="R3" s="310">
        <v>2025</v>
      </c>
      <c r="S3" s="62">
        <v>2026</v>
      </c>
      <c r="T3" s="62">
        <v>2027</v>
      </c>
      <c r="U3" s="62">
        <v>2028</v>
      </c>
      <c r="V3" s="62">
        <v>2029</v>
      </c>
      <c r="W3" s="105">
        <v>2030</v>
      </c>
      <c r="X3" s="62">
        <v>2031</v>
      </c>
      <c r="Y3" s="62">
        <v>2032</v>
      </c>
      <c r="Z3" s="62">
        <v>2033</v>
      </c>
      <c r="AA3" s="62">
        <v>2034</v>
      </c>
      <c r="AB3" s="62">
        <v>2035</v>
      </c>
      <c r="AC3" s="62">
        <v>2036</v>
      </c>
      <c r="AD3" s="62">
        <v>2037</v>
      </c>
      <c r="AE3" s="62">
        <v>2038</v>
      </c>
      <c r="AF3" s="62">
        <v>2039</v>
      </c>
      <c r="AG3" s="62">
        <v>2040</v>
      </c>
      <c r="AH3" s="62">
        <v>2041</v>
      </c>
      <c r="AI3" s="62">
        <v>2042</v>
      </c>
      <c r="AJ3" s="62">
        <v>2043</v>
      </c>
      <c r="AK3" s="62">
        <v>2044</v>
      </c>
      <c r="AL3" s="62">
        <v>2045</v>
      </c>
      <c r="AM3" s="62">
        <v>2046</v>
      </c>
      <c r="AN3" s="62">
        <v>2047</v>
      </c>
      <c r="AO3" s="62">
        <v>2048</v>
      </c>
      <c r="AP3" s="62">
        <v>2049</v>
      </c>
      <c r="AQ3" s="62">
        <v>2050</v>
      </c>
      <c r="AR3" s="62">
        <v>2051</v>
      </c>
      <c r="AS3" s="62">
        <v>2052</v>
      </c>
      <c r="AT3" s="62">
        <v>2053</v>
      </c>
      <c r="AU3" s="62">
        <v>2054</v>
      </c>
      <c r="AV3" s="62">
        <v>2055</v>
      </c>
      <c r="AW3" s="62">
        <v>2056</v>
      </c>
      <c r="AX3" s="62">
        <v>2057</v>
      </c>
      <c r="AY3" s="62">
        <v>2058</v>
      </c>
      <c r="AZ3" s="62">
        <v>2059</v>
      </c>
      <c r="BA3" s="62">
        <v>2060</v>
      </c>
      <c r="BB3" s="62">
        <v>2061</v>
      </c>
      <c r="BC3" s="62">
        <v>2062</v>
      </c>
      <c r="BD3" s="62">
        <v>2063</v>
      </c>
      <c r="BE3" s="62">
        <v>2064</v>
      </c>
      <c r="BF3" s="62">
        <v>2065</v>
      </c>
      <c r="BG3" s="62">
        <v>2066</v>
      </c>
      <c r="BH3" s="62">
        <v>2067</v>
      </c>
      <c r="BI3" s="62">
        <v>2068</v>
      </c>
      <c r="BJ3" s="62">
        <v>2069</v>
      </c>
      <c r="BK3" s="62">
        <v>2070</v>
      </c>
      <c r="BL3" s="62">
        <v>2071</v>
      </c>
      <c r="BM3" s="62">
        <v>2072</v>
      </c>
      <c r="BN3" s="62">
        <v>2073</v>
      </c>
      <c r="BO3" s="62">
        <v>2074</v>
      </c>
      <c r="BP3" s="62">
        <v>2075</v>
      </c>
      <c r="BQ3" s="62">
        <v>2076</v>
      </c>
      <c r="BR3" s="62">
        <v>2077</v>
      </c>
      <c r="BS3" s="62">
        <v>2078</v>
      </c>
      <c r="BT3" s="62">
        <v>2079</v>
      </c>
      <c r="BU3" s="62">
        <v>2080</v>
      </c>
      <c r="BV3" s="62">
        <v>2081</v>
      </c>
      <c r="BW3" s="62">
        <v>2082</v>
      </c>
      <c r="BX3" s="62">
        <v>2083</v>
      </c>
      <c r="BY3" s="62">
        <v>2084</v>
      </c>
      <c r="BZ3" s="62">
        <v>2085</v>
      </c>
      <c r="CA3" s="62">
        <v>2086</v>
      </c>
      <c r="CB3" s="62">
        <v>2087</v>
      </c>
      <c r="CC3" s="62">
        <v>2088</v>
      </c>
      <c r="CD3" s="62">
        <v>2089</v>
      </c>
      <c r="CE3" s="62">
        <v>2090</v>
      </c>
      <c r="CF3" s="62">
        <v>2091</v>
      </c>
      <c r="CG3" s="62">
        <v>2092</v>
      </c>
      <c r="CH3" s="62">
        <v>2093</v>
      </c>
      <c r="CI3" s="62">
        <v>2094</v>
      </c>
      <c r="CJ3" s="62">
        <v>2095</v>
      </c>
      <c r="CK3" s="62">
        <v>2096</v>
      </c>
      <c r="CL3" s="62">
        <v>2097</v>
      </c>
      <c r="CM3" s="62">
        <v>2098</v>
      </c>
      <c r="CN3" s="62">
        <v>2099</v>
      </c>
    </row>
    <row r="4" spans="1:92" ht="14" thickBot="1" x14ac:dyDescent="0.2">
      <c r="B4" s="34" t="s">
        <v>94</v>
      </c>
      <c r="C4" s="35">
        <f>7/B6^4</f>
        <v>6.8543780887736583</v>
      </c>
      <c r="D4" s="35">
        <f>C4*$B$6</f>
        <v>6.8904970701667851</v>
      </c>
      <c r="E4" s="35">
        <f t="shared" ref="E4:BP4" si="0">D4*$B$6</f>
        <v>6.9268063796684549</v>
      </c>
      <c r="F4" s="35">
        <f t="shared" si="0"/>
        <v>6.9633070202080836</v>
      </c>
      <c r="G4" s="35">
        <f t="shared" si="0"/>
        <v>6.9999999999999991</v>
      </c>
      <c r="H4" s="441">
        <f t="shared" si="0"/>
        <v>7.0368863325712914</v>
      </c>
      <c r="I4" s="442">
        <f t="shared" si="0"/>
        <v>7.0739670367898064</v>
      </c>
      <c r="J4" s="442">
        <f t="shared" si="0"/>
        <v>7.1112431368922904</v>
      </c>
      <c r="K4" s="442">
        <f t="shared" si="0"/>
        <v>7.1487156625126804</v>
      </c>
      <c r="L4" s="442">
        <f t="shared" si="0"/>
        <v>7.1863856487105444</v>
      </c>
      <c r="M4" s="443">
        <f t="shared" si="0"/>
        <v>7.224254135999673</v>
      </c>
      <c r="N4" s="442">
        <f t="shared" si="0"/>
        <v>7.2623221703768186</v>
      </c>
      <c r="O4" s="442">
        <f t="shared" si="0"/>
        <v>7.3005908033505884</v>
      </c>
      <c r="P4" s="442">
        <f t="shared" si="0"/>
        <v>7.3390610919704899</v>
      </c>
      <c r="Q4" s="442">
        <f t="shared" si="0"/>
        <v>7.3777340988561262</v>
      </c>
      <c r="R4" s="444">
        <f t="shared" si="0"/>
        <v>7.4166108922265508</v>
      </c>
      <c r="S4" s="35">
        <f t="shared" si="0"/>
        <v>7.4556925459297707</v>
      </c>
      <c r="T4" s="35">
        <f t="shared" si="0"/>
        <v>7.4949801394724096</v>
      </c>
      <c r="U4" s="35">
        <f t="shared" si="0"/>
        <v>7.5344747580495257</v>
      </c>
      <c r="V4" s="35">
        <f t="shared" si="0"/>
        <v>7.5741774925745862</v>
      </c>
      <c r="W4" s="107">
        <f t="shared" si="0"/>
        <v>7.6140894397096011</v>
      </c>
      <c r="X4" s="34">
        <f t="shared" si="0"/>
        <v>7.6542117018954148</v>
      </c>
      <c r="Y4" s="34">
        <f t="shared" si="0"/>
        <v>7.6945453873821563</v>
      </c>
      <c r="Z4" s="34">
        <f t="shared" si="0"/>
        <v>7.7350916102598539</v>
      </c>
      <c r="AA4" s="34">
        <f t="shared" si="0"/>
        <v>7.7758514904892051</v>
      </c>
      <c r="AB4" s="34">
        <f t="shared" si="0"/>
        <v>7.8168261539325146</v>
      </c>
      <c r="AC4" s="34">
        <f t="shared" si="0"/>
        <v>7.8580167323847903</v>
      </c>
      <c r="AD4" s="34">
        <f t="shared" si="0"/>
        <v>7.8994243636050081</v>
      </c>
      <c r="AE4" s="34">
        <f t="shared" si="0"/>
        <v>7.9410501913475375</v>
      </c>
      <c r="AF4" s="34">
        <f t="shared" si="0"/>
        <v>7.9828953653937331</v>
      </c>
      <c r="AG4" s="34">
        <f t="shared" si="0"/>
        <v>8.0249610415836958</v>
      </c>
      <c r="AH4" s="34">
        <f t="shared" si="0"/>
        <v>8.0672483818481986</v>
      </c>
      <c r="AI4" s="34">
        <f t="shared" si="0"/>
        <v>8.1097585542407806</v>
      </c>
      <c r="AJ4" s="34">
        <f t="shared" si="0"/>
        <v>8.1524927329700105</v>
      </c>
      <c r="AK4" s="34">
        <f t="shared" si="0"/>
        <v>8.1954520984319217</v>
      </c>
      <c r="AL4" s="34">
        <f t="shared" si="0"/>
        <v>8.2386378372426154</v>
      </c>
      <c r="AM4" s="34">
        <f t="shared" si="0"/>
        <v>8.2820511422710386</v>
      </c>
      <c r="AN4" s="34">
        <f t="shared" si="0"/>
        <v>8.3256932126719327</v>
      </c>
      <c r="AO4" s="34">
        <f t="shared" si="0"/>
        <v>8.3695652539189567</v>
      </c>
      <c r="AP4" s="34">
        <f t="shared" si="0"/>
        <v>8.4136684778379838</v>
      </c>
      <c r="AQ4" s="34">
        <f t="shared" si="0"/>
        <v>8.4580041026405741</v>
      </c>
      <c r="AR4" s="34">
        <f t="shared" si="0"/>
        <v>8.5025733529576257</v>
      </c>
      <c r="AS4" s="34">
        <f t="shared" si="0"/>
        <v>8.5473774598731982</v>
      </c>
      <c r="AT4" s="34">
        <f t="shared" si="0"/>
        <v>8.5924176609585192</v>
      </c>
      <c r="AU4" s="34">
        <f t="shared" si="0"/>
        <v>8.6376952003061707</v>
      </c>
      <c r="AV4" s="34">
        <f t="shared" si="0"/>
        <v>8.6832113285644486</v>
      </c>
      <c r="AW4" s="34">
        <f t="shared" si="0"/>
        <v>8.7289673029719115</v>
      </c>
      <c r="AX4" s="34">
        <f t="shared" si="0"/>
        <v>8.7749643873921066</v>
      </c>
      <c r="AY4" s="34">
        <f t="shared" si="0"/>
        <v>8.8212038523484768</v>
      </c>
      <c r="AZ4" s="34">
        <f t="shared" si="0"/>
        <v>8.8676869750594616</v>
      </c>
      <c r="BA4" s="34">
        <f t="shared" si="0"/>
        <v>8.91441503947377</v>
      </c>
      <c r="BB4" s="34">
        <f t="shared" si="0"/>
        <v>8.9613893363058494</v>
      </c>
      <c r="BC4" s="34">
        <f t="shared" si="0"/>
        <v>9.0086111630715369</v>
      </c>
      <c r="BD4" s="34">
        <f t="shared" si="0"/>
        <v>9.056081824123897</v>
      </c>
      <c r="BE4" s="34">
        <f t="shared" si="0"/>
        <v>9.1038026306892501</v>
      </c>
      <c r="BF4" s="34">
        <f t="shared" si="0"/>
        <v>9.1517749009033942</v>
      </c>
      <c r="BG4" s="34">
        <f t="shared" si="0"/>
        <v>9.1999999598480127</v>
      </c>
      <c r="BH4" s="34">
        <f t="shared" si="0"/>
        <v>9.2484791395872747</v>
      </c>
      <c r="BI4" s="34">
        <f t="shared" si="0"/>
        <v>9.297213779204629</v>
      </c>
      <c r="BJ4" s="34">
        <f t="shared" si="0"/>
        <v>9.3462052248397924</v>
      </c>
      <c r="BK4" s="34">
        <f t="shared" si="0"/>
        <v>9.3954548297259333</v>
      </c>
      <c r="BL4" s="34">
        <f t="shared" si="0"/>
        <v>9.4449639542270507</v>
      </c>
      <c r="BM4" s="34">
        <f t="shared" si="0"/>
        <v>9.4947339658755485</v>
      </c>
      <c r="BN4" s="34">
        <f t="shared" si="0"/>
        <v>9.544766239410011</v>
      </c>
      <c r="BO4" s="34">
        <f t="shared" si="0"/>
        <v>9.5950621568131709</v>
      </c>
      <c r="BP4" s="34">
        <f t="shared" si="0"/>
        <v>9.6456231073500902</v>
      </c>
      <c r="BQ4" s="34">
        <f t="shared" ref="BQ4:CN4" si="1">BP4*$B$6</f>
        <v>9.6964504876065281</v>
      </c>
      <c r="BR4" s="34">
        <f t="shared" si="1"/>
        <v>9.7475457015275175</v>
      </c>
      <c r="BS4" s="34">
        <f t="shared" si="1"/>
        <v>9.798910160456149</v>
      </c>
      <c r="BT4" s="34">
        <f t="shared" si="1"/>
        <v>9.8505452831725488</v>
      </c>
      <c r="BU4" s="34">
        <f t="shared" si="1"/>
        <v>9.9024524959330744</v>
      </c>
      <c r="BV4" s="34">
        <f t="shared" si="1"/>
        <v>9.9546332325097051</v>
      </c>
      <c r="BW4" s="34">
        <f t="shared" si="1"/>
        <v>10.007088934229648</v>
      </c>
      <c r="BX4" s="34">
        <f t="shared" si="1"/>
        <v>10.059821050015147</v>
      </c>
      <c r="BY4" s="34">
        <f t="shared" si="1"/>
        <v>10.112831036423511</v>
      </c>
      <c r="BZ4" s="34">
        <f t="shared" si="1"/>
        <v>10.16612035768734</v>
      </c>
      <c r="CA4" s="34">
        <f t="shared" si="1"/>
        <v>10.219690485754976</v>
      </c>
      <c r="CB4" s="34">
        <f t="shared" si="1"/>
        <v>10.273542900331151</v>
      </c>
      <c r="CC4" s="34">
        <f t="shared" si="1"/>
        <v>10.327679088917874</v>
      </c>
      <c r="CD4" s="34">
        <f t="shared" si="1"/>
        <v>10.382100546855504</v>
      </c>
      <c r="CE4" s="34">
        <f t="shared" si="1"/>
        <v>10.436808777364062</v>
      </c>
      <c r="CF4" s="34">
        <f t="shared" si="1"/>
        <v>10.491805291584752</v>
      </c>
      <c r="CG4" s="34">
        <f t="shared" si="1"/>
        <v>10.547091608621701</v>
      </c>
      <c r="CH4" s="34">
        <f t="shared" si="1"/>
        <v>10.602669255583915</v>
      </c>
      <c r="CI4" s="34">
        <f t="shared" si="1"/>
        <v>10.65853976762747</v>
      </c>
      <c r="CJ4" s="34">
        <f t="shared" si="1"/>
        <v>10.714704687997907</v>
      </c>
      <c r="CK4" s="34">
        <f t="shared" si="1"/>
        <v>10.771165568072862</v>
      </c>
      <c r="CL4" s="34">
        <f t="shared" si="1"/>
        <v>10.827923967404917</v>
      </c>
      <c r="CM4" s="34">
        <f t="shared" si="1"/>
        <v>10.884981453764684</v>
      </c>
      <c r="CN4" s="34">
        <f t="shared" si="1"/>
        <v>10.9423396031841</v>
      </c>
    </row>
    <row r="5" spans="1:92" x14ac:dyDescent="0.15">
      <c r="C5" s="35">
        <f>C4*$B$9</f>
        <v>0</v>
      </c>
      <c r="D5" s="35">
        <f t="shared" ref="D5:X5" si="2">D4*$B$9</f>
        <v>0</v>
      </c>
      <c r="E5" s="35">
        <f t="shared" si="2"/>
        <v>0</v>
      </c>
      <c r="F5" s="35">
        <f t="shared" si="2"/>
        <v>0</v>
      </c>
      <c r="G5" s="35">
        <f t="shared" si="2"/>
        <v>0</v>
      </c>
      <c r="H5" s="35">
        <f t="shared" si="2"/>
        <v>0</v>
      </c>
      <c r="I5" s="35">
        <f t="shared" si="2"/>
        <v>0</v>
      </c>
      <c r="J5" s="35">
        <f t="shared" si="2"/>
        <v>0</v>
      </c>
      <c r="K5" s="35">
        <f t="shared" si="2"/>
        <v>0</v>
      </c>
      <c r="L5" s="35">
        <f t="shared" si="2"/>
        <v>0</v>
      </c>
      <c r="M5" s="35">
        <f t="shared" si="2"/>
        <v>0</v>
      </c>
      <c r="N5" s="35">
        <f t="shared" si="2"/>
        <v>0</v>
      </c>
      <c r="O5" s="35">
        <f t="shared" si="2"/>
        <v>0</v>
      </c>
      <c r="P5" s="35">
        <f t="shared" si="2"/>
        <v>0</v>
      </c>
      <c r="Q5" s="35">
        <f t="shared" si="2"/>
        <v>0</v>
      </c>
      <c r="R5" s="35">
        <f t="shared" si="2"/>
        <v>0</v>
      </c>
      <c r="S5" s="35">
        <f t="shared" si="2"/>
        <v>0</v>
      </c>
      <c r="T5" s="35">
        <f t="shared" si="2"/>
        <v>0</v>
      </c>
      <c r="U5" s="35">
        <f t="shared" si="2"/>
        <v>0</v>
      </c>
      <c r="V5" s="35">
        <f t="shared" si="2"/>
        <v>0</v>
      </c>
      <c r="W5" s="35">
        <f t="shared" si="2"/>
        <v>0</v>
      </c>
      <c r="X5" s="35">
        <f t="shared" si="2"/>
        <v>0</v>
      </c>
    </row>
    <row r="6" spans="1:92" x14ac:dyDescent="0.15">
      <c r="A6" s="34" t="s">
        <v>95</v>
      </c>
      <c r="B6" s="34">
        <f>(11/7)^(1/86)</f>
        <v>1.0052694760816132</v>
      </c>
    </row>
    <row r="7" spans="1:92" x14ac:dyDescent="0.15">
      <c r="A7" s="34" t="s">
        <v>277</v>
      </c>
      <c r="B7" s="106" t="s">
        <v>93</v>
      </c>
    </row>
    <row r="8" spans="1:92" x14ac:dyDescent="0.15">
      <c r="B8" s="34" t="s">
        <v>96</v>
      </c>
    </row>
  </sheetData>
  <hyperlinks>
    <hyperlink ref="B7" r:id="rId1"/>
  </hyperlinks>
  <pageMargins left="0.74803149606299213" right="0.74803149606299213" top="0.98425196850393704" bottom="0.98425196850393704" header="0.51181102362204722" footer="0.51181102362204722"/>
  <pageSetup orientation="portrait" r:id="rId2"/>
  <headerFooter alignWithMargins="0">
    <oddHeader>&amp;L&amp;G&amp;C&amp;F&amp;RSecurity Level</oddHeader>
    <oddFooter>&amp;L&amp;D&amp;CHuawei Proprietary - Restricted Distribution&amp;RPage&amp;Pof&amp;N</oddFooter>
  </headerFooter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AR333"/>
  <sheetViews>
    <sheetView topLeftCell="M1" zoomScale="70" zoomScaleNormal="70" workbookViewId="0">
      <selection activeCell="X49" sqref="X49"/>
    </sheetView>
  </sheetViews>
  <sheetFormatPr baseColWidth="10" defaultColWidth="11" defaultRowHeight="11" x14ac:dyDescent="0.15"/>
  <cols>
    <col min="1" max="1" width="52.6640625" style="694" bestFit="1" customWidth="1"/>
    <col min="2" max="2" width="26.5" style="694" bestFit="1" customWidth="1"/>
    <col min="3" max="3" width="42.1640625" style="694" bestFit="1" customWidth="1"/>
    <col min="4" max="4" width="30.1640625" style="694" bestFit="1" customWidth="1"/>
    <col min="5" max="5" width="14" style="694" bestFit="1" customWidth="1"/>
    <col min="6" max="6" width="18.1640625" style="694" bestFit="1" customWidth="1"/>
    <col min="7" max="7" width="6.33203125" style="694" bestFit="1" customWidth="1"/>
    <col min="8" max="8" width="64.33203125" style="694" bestFit="1" customWidth="1"/>
    <col min="9" max="9" width="11.5" style="694" bestFit="1" customWidth="1"/>
    <col min="10" max="10" width="8.6640625" style="694" bestFit="1" customWidth="1"/>
    <col min="11" max="11" width="74" style="694" bestFit="1" customWidth="1"/>
    <col min="12" max="12" width="77.83203125" style="694" bestFit="1" customWidth="1"/>
    <col min="13" max="13" width="8.33203125" style="694" bestFit="1" customWidth="1"/>
    <col min="14" max="14" width="8.6640625" style="694" bestFit="1" customWidth="1"/>
    <col min="15" max="16" width="7.6640625" style="694" bestFit="1" customWidth="1"/>
    <col min="17" max="22" width="9" style="694" bestFit="1" customWidth="1"/>
    <col min="23" max="24" width="8.6640625" style="694" bestFit="1" customWidth="1"/>
    <col min="25" max="25" width="9" style="694" bestFit="1" customWidth="1"/>
    <col min="26" max="26" width="11.33203125" style="694" bestFit="1" customWidth="1"/>
    <col min="27" max="27" width="29" style="694" bestFit="1" customWidth="1"/>
    <col min="28" max="28" width="59.83203125" style="694" bestFit="1" customWidth="1"/>
    <col min="29" max="29" width="12.1640625" style="694" bestFit="1" customWidth="1"/>
    <col min="30" max="30" width="6.83203125" style="694" bestFit="1" customWidth="1"/>
    <col min="31" max="31" width="12.1640625" style="694" bestFit="1" customWidth="1"/>
    <col min="32" max="32" width="9.33203125" style="694" bestFit="1" customWidth="1"/>
    <col min="33" max="41" width="11" style="694"/>
    <col min="42" max="42" width="25.33203125" style="694" customWidth="1"/>
    <col min="43" max="16384" width="11" style="694"/>
  </cols>
  <sheetData>
    <row r="1" spans="1:27" s="702" customFormat="1" x14ac:dyDescent="0.15"/>
    <row r="2" spans="1:27" s="702" customFormat="1" x14ac:dyDescent="0.15">
      <c r="R2" s="703"/>
      <c r="S2" s="703"/>
      <c r="T2" s="703"/>
      <c r="U2" s="703"/>
      <c r="V2" s="703"/>
      <c r="W2" s="703"/>
      <c r="X2" s="703"/>
      <c r="Y2" s="703"/>
      <c r="Z2" s="703"/>
      <c r="AA2" s="703"/>
    </row>
    <row r="3" spans="1:27" s="702" customFormat="1" x14ac:dyDescent="0.15">
      <c r="L3" s="702" t="s">
        <v>127</v>
      </c>
      <c r="R3" s="703"/>
      <c r="S3" s="703"/>
      <c r="T3" s="703"/>
      <c r="U3" s="703"/>
      <c r="V3" s="703"/>
      <c r="W3" s="703"/>
      <c r="X3" s="703"/>
      <c r="Y3" s="703"/>
      <c r="Z3" s="703"/>
      <c r="AA3" s="703"/>
    </row>
    <row r="4" spans="1:27" s="702" customFormat="1" x14ac:dyDescent="0.15">
      <c r="R4" s="703"/>
      <c r="S4" s="703"/>
      <c r="T4" s="703"/>
      <c r="U4" s="703"/>
      <c r="V4" s="703"/>
      <c r="W4" s="703"/>
      <c r="X4" s="703"/>
      <c r="Y4" s="703"/>
      <c r="Z4" s="703"/>
      <c r="AA4" s="703"/>
    </row>
    <row r="5" spans="1:27" s="706" customFormat="1" x14ac:dyDescent="0.15">
      <c r="A5" s="704"/>
      <c r="B5" s="704"/>
      <c r="C5" s="705"/>
      <c r="D5" s="702" t="s">
        <v>116</v>
      </c>
      <c r="E5" s="702">
        <v>2010</v>
      </c>
      <c r="F5" s="702">
        <v>2011</v>
      </c>
      <c r="G5" s="702">
        <v>2012</v>
      </c>
      <c r="H5" s="702">
        <v>2013</v>
      </c>
      <c r="I5" s="702">
        <v>2014</v>
      </c>
      <c r="J5" s="702">
        <v>2015</v>
      </c>
      <c r="K5" s="702">
        <v>2016</v>
      </c>
      <c r="L5" s="702">
        <v>2017</v>
      </c>
      <c r="M5" s="702">
        <v>2018</v>
      </c>
      <c r="N5" s="702">
        <v>2019</v>
      </c>
      <c r="O5" s="702">
        <v>2020</v>
      </c>
      <c r="P5" s="703">
        <v>2021</v>
      </c>
      <c r="Q5" s="703">
        <v>2022</v>
      </c>
      <c r="R5" s="703">
        <v>2023</v>
      </c>
      <c r="S5" s="703">
        <v>2024</v>
      </c>
      <c r="T5" s="703">
        <v>2025</v>
      </c>
      <c r="U5" s="703">
        <v>2026</v>
      </c>
      <c r="V5" s="703">
        <v>2027</v>
      </c>
      <c r="W5" s="703">
        <v>2028</v>
      </c>
      <c r="X5" s="703">
        <v>2029</v>
      </c>
      <c r="Y5" s="703">
        <v>2030</v>
      </c>
    </row>
    <row r="6" spans="1:27" x14ac:dyDescent="0.15">
      <c r="A6" s="422"/>
      <c r="B6" s="422"/>
      <c r="C6" s="695" t="s">
        <v>381</v>
      </c>
      <c r="D6" s="422"/>
      <c r="E6" s="707">
        <f xml:space="preserve"> $B$17*$E$29/(1-$B$17)</f>
        <v>1.5623529411764703</v>
      </c>
      <c r="F6" s="708">
        <f>$E$6</f>
        <v>1.5623529411764703</v>
      </c>
      <c r="G6" s="708">
        <f>$E$6</f>
        <v>1.5623529411764703</v>
      </c>
      <c r="H6" s="708">
        <f t="shared" ref="H6:N6" si="0">$E$6</f>
        <v>1.5623529411764703</v>
      </c>
      <c r="I6" s="708">
        <f t="shared" si="0"/>
        <v>1.5623529411764703</v>
      </c>
      <c r="J6" s="707">
        <f t="shared" si="0"/>
        <v>1.5623529411764703</v>
      </c>
      <c r="K6" s="708">
        <f t="shared" si="0"/>
        <v>1.5623529411764703</v>
      </c>
      <c r="L6" s="708">
        <f t="shared" si="0"/>
        <v>1.5623529411764703</v>
      </c>
      <c r="M6" s="696">
        <f t="shared" si="0"/>
        <v>1.5623529411764703</v>
      </c>
      <c r="N6" s="708">
        <f t="shared" si="0"/>
        <v>1.5623529411764703</v>
      </c>
      <c r="O6" s="708">
        <f>$E$6</f>
        <v>1.5623529411764703</v>
      </c>
      <c r="P6" s="708">
        <f t="shared" ref="P6:Y6" si="1">$E$6</f>
        <v>1.5623529411764703</v>
      </c>
      <c r="Q6" s="708">
        <f t="shared" si="1"/>
        <v>1.5623529411764703</v>
      </c>
      <c r="R6" s="708">
        <f t="shared" si="1"/>
        <v>1.5623529411764703</v>
      </c>
      <c r="S6" s="708">
        <f t="shared" si="1"/>
        <v>1.5623529411764703</v>
      </c>
      <c r="T6" s="708">
        <f t="shared" si="1"/>
        <v>1.5623529411764703</v>
      </c>
      <c r="U6" s="708">
        <f t="shared" si="1"/>
        <v>1.5623529411764703</v>
      </c>
      <c r="V6" s="708">
        <f t="shared" si="1"/>
        <v>1.5623529411764703</v>
      </c>
      <c r="W6" s="708">
        <f t="shared" si="1"/>
        <v>1.5623529411764703</v>
      </c>
      <c r="X6" s="708">
        <f t="shared" si="1"/>
        <v>1.5623529411764703</v>
      </c>
      <c r="Y6" s="708">
        <f t="shared" si="1"/>
        <v>1.5623529411764703</v>
      </c>
    </row>
    <row r="7" spans="1:27" x14ac:dyDescent="0.15">
      <c r="A7" s="422"/>
      <c r="B7" s="422"/>
      <c r="C7" s="695"/>
      <c r="D7" s="422"/>
      <c r="E7" s="708"/>
      <c r="F7" s="708"/>
      <c r="G7" s="708"/>
      <c r="H7" s="708"/>
      <c r="I7" s="708"/>
      <c r="J7" s="708"/>
      <c r="K7" s="708"/>
      <c r="L7" s="708"/>
      <c r="M7" s="708"/>
      <c r="N7" s="708"/>
      <c r="O7" s="708"/>
      <c r="P7" s="708"/>
      <c r="Q7" s="708"/>
      <c r="R7" s="708"/>
      <c r="S7" s="708"/>
      <c r="T7" s="708"/>
      <c r="U7" s="708"/>
      <c r="V7" s="708"/>
      <c r="W7" s="708"/>
      <c r="X7" s="708"/>
      <c r="Y7" s="708"/>
    </row>
    <row r="8" spans="1:27" x14ac:dyDescent="0.15">
      <c r="C8" s="695" t="s">
        <v>382</v>
      </c>
      <c r="D8" s="422"/>
      <c r="E8" s="707">
        <f>E29*E$36</f>
        <v>0.15040000000000001</v>
      </c>
      <c r="F8" s="707">
        <f t="shared" ref="F8:N8" si="2">F29*F$36</f>
        <v>0.18527399999999999</v>
      </c>
      <c r="G8" s="707">
        <f>G29*G$36</f>
        <v>0.2254167</v>
      </c>
      <c r="H8" s="707">
        <f>H29*H$36</f>
        <v>0.292540784</v>
      </c>
      <c r="I8" s="707">
        <f>I29*I$36</f>
        <v>0.37372085155999996</v>
      </c>
      <c r="J8" s="709">
        <f>J29*J$36</f>
        <v>0.4579415148937</v>
      </c>
      <c r="K8" s="707">
        <f>K29*K$36</f>
        <v>0.52634043903314198</v>
      </c>
      <c r="L8" s="707">
        <f t="shared" si="2"/>
        <v>0.58153505804526606</v>
      </c>
      <c r="M8" s="707">
        <f t="shared" si="2"/>
        <v>0.6707425359494098</v>
      </c>
      <c r="N8" s="707">
        <f t="shared" si="2"/>
        <v>0.77363444096404932</v>
      </c>
      <c r="O8" s="707">
        <f>O29*O$36</f>
        <v>0.88352588799999565</v>
      </c>
      <c r="P8" s="707">
        <f>P29*P$36</f>
        <v>1.04697817728</v>
      </c>
      <c r="Q8" s="707">
        <f>$P$8</f>
        <v>1.04697817728</v>
      </c>
      <c r="R8" s="707">
        <f t="shared" ref="R8:Y8" si="3">$P$8</f>
        <v>1.04697817728</v>
      </c>
      <c r="S8" s="707">
        <f t="shared" si="3"/>
        <v>1.04697817728</v>
      </c>
      <c r="T8" s="707">
        <f>$P$8</f>
        <v>1.04697817728</v>
      </c>
      <c r="U8" s="707">
        <f t="shared" si="3"/>
        <v>1.04697817728</v>
      </c>
      <c r="V8" s="707">
        <f t="shared" si="3"/>
        <v>1.04697817728</v>
      </c>
      <c r="W8" s="707">
        <f t="shared" si="3"/>
        <v>1.04697817728</v>
      </c>
      <c r="X8" s="707">
        <f t="shared" si="3"/>
        <v>1.04697817728</v>
      </c>
      <c r="Y8" s="707">
        <f t="shared" si="3"/>
        <v>1.04697817728</v>
      </c>
      <c r="Z8" s="694" t="s">
        <v>126</v>
      </c>
      <c r="AA8" s="694" t="s">
        <v>144</v>
      </c>
    </row>
    <row r="9" spans="1:27" x14ac:dyDescent="0.15">
      <c r="C9" s="422" t="s">
        <v>87</v>
      </c>
      <c r="D9" s="422"/>
      <c r="E9" s="707"/>
      <c r="F9" s="707"/>
      <c r="G9" s="707"/>
      <c r="H9" s="707"/>
      <c r="I9" s="707"/>
      <c r="J9" s="707"/>
      <c r="K9" s="707"/>
      <c r="L9" s="707"/>
      <c r="M9" s="707"/>
      <c r="N9" s="707"/>
      <c r="O9" s="707"/>
      <c r="P9" s="710">
        <f>P30*P$36</f>
        <v>0.92399999999999993</v>
      </c>
      <c r="Q9" s="710">
        <f>$P$9</f>
        <v>0.92399999999999993</v>
      </c>
      <c r="R9" s="710">
        <f t="shared" ref="R9:Y9" si="4">$P$9</f>
        <v>0.92399999999999993</v>
      </c>
      <c r="S9" s="710">
        <f t="shared" si="4"/>
        <v>0.92399999999999993</v>
      </c>
      <c r="T9" s="710">
        <f t="shared" si="4"/>
        <v>0.92399999999999993</v>
      </c>
      <c r="U9" s="710">
        <f t="shared" si="4"/>
        <v>0.92399999999999993</v>
      </c>
      <c r="V9" s="710">
        <f t="shared" si="4"/>
        <v>0.92399999999999993</v>
      </c>
      <c r="W9" s="710">
        <f t="shared" si="4"/>
        <v>0.92399999999999993</v>
      </c>
      <c r="X9" s="710">
        <f t="shared" si="4"/>
        <v>0.92399999999999993</v>
      </c>
      <c r="Y9" s="710">
        <f t="shared" si="4"/>
        <v>0.92399999999999993</v>
      </c>
      <c r="Z9" s="711" t="s">
        <v>133</v>
      </c>
    </row>
    <row r="10" spans="1:27" x14ac:dyDescent="0.15">
      <c r="C10" s="422" t="s">
        <v>260</v>
      </c>
      <c r="D10" s="422"/>
      <c r="E10" s="707"/>
      <c r="F10" s="707"/>
      <c r="G10" s="707"/>
      <c r="H10" s="707"/>
      <c r="I10" s="707"/>
      <c r="J10" s="707"/>
      <c r="K10" s="707"/>
      <c r="L10" s="707"/>
      <c r="M10" s="707"/>
      <c r="N10" s="707"/>
      <c r="O10" s="707"/>
      <c r="P10" s="712">
        <f>P31*P$36</f>
        <v>0.99</v>
      </c>
      <c r="Q10" s="712">
        <f>$P$10</f>
        <v>0.99</v>
      </c>
      <c r="R10" s="712">
        <f t="shared" ref="R10:Y10" si="5">$P$10</f>
        <v>0.99</v>
      </c>
      <c r="S10" s="712">
        <f t="shared" si="5"/>
        <v>0.99</v>
      </c>
      <c r="T10" s="712">
        <f>$P$10</f>
        <v>0.99</v>
      </c>
      <c r="U10" s="712">
        <f t="shared" si="5"/>
        <v>0.99</v>
      </c>
      <c r="V10" s="712">
        <f t="shared" si="5"/>
        <v>0.99</v>
      </c>
      <c r="W10" s="712">
        <f t="shared" si="5"/>
        <v>0.99</v>
      </c>
      <c r="X10" s="712">
        <f t="shared" si="5"/>
        <v>0.99</v>
      </c>
      <c r="Y10" s="712">
        <f t="shared" si="5"/>
        <v>0.99</v>
      </c>
      <c r="Z10" s="713" t="s">
        <v>16</v>
      </c>
    </row>
    <row r="11" spans="1:27" x14ac:dyDescent="0.15">
      <c r="C11" s="422" t="s">
        <v>98</v>
      </c>
      <c r="D11" s="422"/>
      <c r="E11" s="707"/>
      <c r="F11" s="707"/>
      <c r="G11" s="707"/>
      <c r="H11" s="707"/>
      <c r="I11" s="707"/>
      <c r="J11" s="707"/>
      <c r="K11" s="707"/>
      <c r="L11" s="707"/>
      <c r="M11" s="707"/>
      <c r="N11" s="707"/>
      <c r="O11" s="707"/>
      <c r="P11" s="714">
        <f>P32*P$36</f>
        <v>1.056</v>
      </c>
      <c r="Q11" s="714">
        <f>$P$11</f>
        <v>1.056</v>
      </c>
      <c r="R11" s="714">
        <f t="shared" ref="R11:Y11" si="6">$P$11</f>
        <v>1.056</v>
      </c>
      <c r="S11" s="714">
        <f t="shared" si="6"/>
        <v>1.056</v>
      </c>
      <c r="T11" s="714">
        <f t="shared" si="6"/>
        <v>1.056</v>
      </c>
      <c r="U11" s="714">
        <f t="shared" si="6"/>
        <v>1.056</v>
      </c>
      <c r="V11" s="714">
        <f t="shared" si="6"/>
        <v>1.056</v>
      </c>
      <c r="W11" s="714">
        <f t="shared" si="6"/>
        <v>1.056</v>
      </c>
      <c r="X11" s="714">
        <f t="shared" si="6"/>
        <v>1.056</v>
      </c>
      <c r="Y11" s="714">
        <f t="shared" si="6"/>
        <v>1.056</v>
      </c>
      <c r="Z11" s="715" t="s">
        <v>56</v>
      </c>
    </row>
    <row r="12" spans="1:27" x14ac:dyDescent="0.15">
      <c r="C12" s="422"/>
      <c r="D12" s="422"/>
      <c r="E12" s="707"/>
      <c r="F12" s="707"/>
      <c r="G12" s="707"/>
      <c r="H12" s="707"/>
      <c r="I12" s="707"/>
      <c r="J12" s="707"/>
      <c r="K12" s="707"/>
      <c r="L12" s="707"/>
      <c r="M12" s="707"/>
      <c r="N12" s="707"/>
      <c r="O12" s="707"/>
      <c r="P12" s="708"/>
      <c r="Q12" s="708"/>
      <c r="R12" s="708"/>
      <c r="S12" s="708"/>
      <c r="T12" s="708"/>
      <c r="U12" s="708"/>
      <c r="V12" s="708"/>
      <c r="W12" s="708"/>
      <c r="X12" s="708"/>
      <c r="Y12" s="708"/>
    </row>
    <row r="13" spans="1:27" x14ac:dyDescent="0.15">
      <c r="A13" s="422" t="s">
        <v>137</v>
      </c>
      <c r="B13" s="695">
        <v>1.58</v>
      </c>
      <c r="C13" s="695" t="s">
        <v>383</v>
      </c>
      <c r="D13" s="422"/>
      <c r="E13" s="707">
        <f>E29*E$37</f>
        <v>0.16</v>
      </c>
      <c r="F13" s="707">
        <f>F29*F$37</f>
        <v>0.32400000000000001</v>
      </c>
      <c r="G13" s="707">
        <f t="shared" ref="G13:M13" si="7">G29*G$37</f>
        <v>0.57600000000000007</v>
      </c>
      <c r="H13" s="707">
        <f t="shared" si="7"/>
        <v>0.97599999999999998</v>
      </c>
      <c r="I13" s="707">
        <f t="shared" si="7"/>
        <v>1.3159999999999998</v>
      </c>
      <c r="J13" s="707">
        <f>J29*J$37</f>
        <v>1.645</v>
      </c>
      <c r="K13" s="707">
        <f t="shared" si="7"/>
        <v>2.0720000000000001</v>
      </c>
      <c r="L13" s="707">
        <f>L29*L$37</f>
        <v>2.2399999999999998</v>
      </c>
      <c r="M13" s="707">
        <f t="shared" si="7"/>
        <v>2.8313600000000001</v>
      </c>
      <c r="N13" s="707">
        <f>N29*N$37</f>
        <v>2.9357663999999999</v>
      </c>
      <c r="O13" s="707">
        <f>O29*O$37</f>
        <v>3.0923406080000007</v>
      </c>
      <c r="P13" s="696">
        <f>P29*P$37</f>
        <v>3.4899272576000002</v>
      </c>
      <c r="Q13" s="696">
        <f>$P$13</f>
        <v>3.4899272576000002</v>
      </c>
      <c r="R13" s="696">
        <f t="shared" ref="R13:X13" si="8">$P$13</f>
        <v>3.4899272576000002</v>
      </c>
      <c r="S13" s="696">
        <f t="shared" si="8"/>
        <v>3.4899272576000002</v>
      </c>
      <c r="T13" s="696">
        <f t="shared" si="8"/>
        <v>3.4899272576000002</v>
      </c>
      <c r="U13" s="696">
        <f t="shared" si="8"/>
        <v>3.4899272576000002</v>
      </c>
      <c r="V13" s="696">
        <f t="shared" si="8"/>
        <v>3.4899272576000002</v>
      </c>
      <c r="W13" s="696">
        <f t="shared" si="8"/>
        <v>3.4899272576000002</v>
      </c>
      <c r="X13" s="696">
        <f t="shared" si="8"/>
        <v>3.4899272576000002</v>
      </c>
      <c r="Y13" s="696">
        <f>$P$13</f>
        <v>3.4899272576000002</v>
      </c>
      <c r="Z13" s="694" t="s">
        <v>126</v>
      </c>
      <c r="AA13" s="694" t="s">
        <v>145</v>
      </c>
    </row>
    <row r="14" spans="1:27" x14ac:dyDescent="0.15">
      <c r="A14" s="422" t="s">
        <v>134</v>
      </c>
      <c r="B14" s="422">
        <v>1.4</v>
      </c>
      <c r="C14" s="422" t="s">
        <v>87</v>
      </c>
      <c r="D14" s="422"/>
      <c r="E14" s="707"/>
      <c r="F14" s="708"/>
      <c r="G14" s="708"/>
      <c r="H14" s="708"/>
      <c r="I14" s="708"/>
      <c r="J14" s="708"/>
      <c r="K14" s="708"/>
      <c r="L14" s="708"/>
      <c r="M14" s="708"/>
      <c r="N14" s="708"/>
      <c r="O14" s="708"/>
      <c r="P14" s="716">
        <f>P30*P$37</f>
        <v>3.08</v>
      </c>
      <c r="Q14" s="716">
        <f>$P$14</f>
        <v>3.08</v>
      </c>
      <c r="R14" s="716">
        <f t="shared" ref="R14:X14" si="9">$P$14</f>
        <v>3.08</v>
      </c>
      <c r="S14" s="716">
        <f t="shared" si="9"/>
        <v>3.08</v>
      </c>
      <c r="T14" s="716">
        <f t="shared" si="9"/>
        <v>3.08</v>
      </c>
      <c r="U14" s="716">
        <f t="shared" si="9"/>
        <v>3.08</v>
      </c>
      <c r="V14" s="716">
        <f t="shared" si="9"/>
        <v>3.08</v>
      </c>
      <c r="W14" s="716">
        <f t="shared" si="9"/>
        <v>3.08</v>
      </c>
      <c r="X14" s="716">
        <f t="shared" si="9"/>
        <v>3.08</v>
      </c>
      <c r="Y14" s="716">
        <f>$P$14</f>
        <v>3.08</v>
      </c>
      <c r="Z14" s="711" t="s">
        <v>133</v>
      </c>
    </row>
    <row r="15" spans="1:27" x14ac:dyDescent="0.15">
      <c r="A15" s="422" t="s">
        <v>135</v>
      </c>
      <c r="B15" s="422">
        <v>1.5</v>
      </c>
      <c r="C15" s="422" t="s">
        <v>260</v>
      </c>
      <c r="D15" s="422"/>
      <c r="E15" s="707"/>
      <c r="F15" s="708"/>
      <c r="G15" s="708"/>
      <c r="H15" s="708"/>
      <c r="I15" s="708"/>
      <c r="J15" s="708"/>
      <c r="K15" s="708"/>
      <c r="L15" s="708"/>
      <c r="M15" s="708"/>
      <c r="N15" s="708"/>
      <c r="O15" s="708"/>
      <c r="P15" s="717">
        <f>P31*P$37</f>
        <v>3.3000000000000003</v>
      </c>
      <c r="Q15" s="717">
        <f>$P$15</f>
        <v>3.3000000000000003</v>
      </c>
      <c r="R15" s="717">
        <f t="shared" ref="R15:X15" si="10">$P$15</f>
        <v>3.3000000000000003</v>
      </c>
      <c r="S15" s="717">
        <f>$P$15</f>
        <v>3.3000000000000003</v>
      </c>
      <c r="T15" s="717">
        <f>$P$15</f>
        <v>3.3000000000000003</v>
      </c>
      <c r="U15" s="717">
        <f t="shared" si="10"/>
        <v>3.3000000000000003</v>
      </c>
      <c r="V15" s="717">
        <f t="shared" si="10"/>
        <v>3.3000000000000003</v>
      </c>
      <c r="W15" s="717">
        <f t="shared" si="10"/>
        <v>3.3000000000000003</v>
      </c>
      <c r="X15" s="717">
        <f t="shared" si="10"/>
        <v>3.3000000000000003</v>
      </c>
      <c r="Y15" s="717">
        <f>$P$15</f>
        <v>3.3000000000000003</v>
      </c>
      <c r="Z15" s="713" t="s">
        <v>16</v>
      </c>
    </row>
    <row r="16" spans="1:27" x14ac:dyDescent="0.15">
      <c r="A16" s="422" t="s">
        <v>136</v>
      </c>
      <c r="B16" s="422">
        <v>1.6</v>
      </c>
      <c r="C16" s="422" t="s">
        <v>98</v>
      </c>
      <c r="D16" s="422"/>
      <c r="E16" s="707"/>
      <c r="F16" s="708"/>
      <c r="G16" s="708"/>
      <c r="H16" s="708"/>
      <c r="I16" s="708"/>
      <c r="J16" s="708"/>
      <c r="K16" s="708"/>
      <c r="L16" s="708"/>
      <c r="M16" s="708"/>
      <c r="N16" s="708"/>
      <c r="O16" s="708"/>
      <c r="P16" s="718">
        <f>P32*P$37</f>
        <v>3.5200000000000005</v>
      </c>
      <c r="Q16" s="718">
        <f>$P$16</f>
        <v>3.5200000000000005</v>
      </c>
      <c r="R16" s="718">
        <f t="shared" ref="R16:X16" si="11">$P$16</f>
        <v>3.5200000000000005</v>
      </c>
      <c r="S16" s="718">
        <f t="shared" si="11"/>
        <v>3.5200000000000005</v>
      </c>
      <c r="T16" s="718">
        <f t="shared" si="11"/>
        <v>3.5200000000000005</v>
      </c>
      <c r="U16" s="718">
        <f t="shared" si="11"/>
        <v>3.5200000000000005</v>
      </c>
      <c r="V16" s="718">
        <f t="shared" si="11"/>
        <v>3.5200000000000005</v>
      </c>
      <c r="W16" s="718">
        <f t="shared" si="11"/>
        <v>3.5200000000000005</v>
      </c>
      <c r="X16" s="718">
        <f t="shared" si="11"/>
        <v>3.5200000000000005</v>
      </c>
      <c r="Y16" s="718">
        <f>$P$16</f>
        <v>3.5200000000000005</v>
      </c>
      <c r="Z16" s="715" t="s">
        <v>56</v>
      </c>
    </row>
    <row r="17" spans="1:28" x14ac:dyDescent="0.15">
      <c r="A17" s="422" t="s">
        <v>48</v>
      </c>
      <c r="B17" s="719">
        <v>0.83</v>
      </c>
      <c r="C17" s="422"/>
      <c r="D17" s="422"/>
      <c r="E17" s="707"/>
      <c r="F17" s="708"/>
      <c r="G17" s="708"/>
      <c r="H17" s="708"/>
      <c r="I17" s="708"/>
      <c r="J17" s="708"/>
      <c r="K17" s="708"/>
      <c r="L17" s="708"/>
      <c r="M17" s="708"/>
      <c r="N17" s="708"/>
      <c r="O17" s="708"/>
      <c r="P17" s="708"/>
      <c r="Q17" s="708"/>
      <c r="R17" s="708"/>
      <c r="S17" s="708"/>
      <c r="T17" s="708"/>
      <c r="U17" s="708"/>
      <c r="V17" s="708"/>
      <c r="W17" s="708"/>
      <c r="X17" s="708"/>
      <c r="Y17" s="708"/>
    </row>
    <row r="18" spans="1:28" ht="22" x14ac:dyDescent="0.15">
      <c r="A18" s="422" t="s">
        <v>169</v>
      </c>
      <c r="C18" s="695" t="s">
        <v>384</v>
      </c>
      <c r="D18" s="422"/>
      <c r="E18" s="707">
        <f>E29*(E$38)</f>
        <v>9.5999999999999992E-3</v>
      </c>
      <c r="F18" s="707">
        <f t="shared" ref="F18:S18" si="12">F29*(F$38)</f>
        <v>3.2399999999999998E-2</v>
      </c>
      <c r="G18" s="707">
        <f t="shared" si="12"/>
        <v>9.9000000000000005E-2</v>
      </c>
      <c r="H18" s="707">
        <f>H29*(H$38)</f>
        <v>0.33600000000000002</v>
      </c>
      <c r="I18" s="696">
        <f t="shared" si="12"/>
        <v>1.1199999999999999</v>
      </c>
      <c r="J18" s="696">
        <f t="shared" si="12"/>
        <v>2.5850000000000004</v>
      </c>
      <c r="K18" s="696">
        <f t="shared" si="12"/>
        <v>4.8100000000000005</v>
      </c>
      <c r="L18" s="696">
        <f t="shared" si="12"/>
        <v>8.3999999999999986</v>
      </c>
      <c r="M18" s="708">
        <f t="shared" si="12"/>
        <v>14.156799999999999</v>
      </c>
      <c r="N18" s="708">
        <f t="shared" si="12"/>
        <v>24.1851232</v>
      </c>
      <c r="O18" s="708">
        <f t="shared" si="12"/>
        <v>39.758664960000004</v>
      </c>
      <c r="P18" s="708">
        <f t="shared" si="12"/>
        <v>61.422719733760005</v>
      </c>
      <c r="Q18" s="708">
        <f>Q29*(Q$38)</f>
        <v>88.22536107212801</v>
      </c>
      <c r="R18" s="708">
        <f t="shared" si="12"/>
        <v>130.68381608808963</v>
      </c>
      <c r="S18" s="708">
        <f t="shared" si="12"/>
        <v>178.94970549662406</v>
      </c>
      <c r="T18" s="708">
        <f>T29*(T$38)</f>
        <v>239.24199088702514</v>
      </c>
      <c r="U18" s="708">
        <f>$T$18</f>
        <v>239.24199088702514</v>
      </c>
      <c r="V18" s="708">
        <f>$T$18</f>
        <v>239.24199088702514</v>
      </c>
      <c r="W18" s="708">
        <f>$T$18</f>
        <v>239.24199088702514</v>
      </c>
      <c r="X18" s="708">
        <f>$T$18</f>
        <v>239.24199088702514</v>
      </c>
      <c r="Y18" s="708">
        <f>$T$18</f>
        <v>239.24199088702514</v>
      </c>
      <c r="Z18" s="694" t="s">
        <v>126</v>
      </c>
      <c r="AA18" s="694" t="s">
        <v>146</v>
      </c>
    </row>
    <row r="19" spans="1:28" x14ac:dyDescent="0.15">
      <c r="C19" s="422" t="s">
        <v>87</v>
      </c>
      <c r="D19" s="422"/>
      <c r="E19" s="707"/>
      <c r="F19" s="708"/>
      <c r="G19" s="708"/>
      <c r="H19" s="708"/>
      <c r="I19" s="708"/>
      <c r="J19" s="708"/>
      <c r="K19" s="708"/>
      <c r="L19" s="708"/>
      <c r="M19" s="708"/>
      <c r="N19" s="708"/>
      <c r="O19" s="708"/>
      <c r="P19" s="720">
        <f>P30*(P$38)</f>
        <v>54.207999999999998</v>
      </c>
      <c r="Q19" s="720">
        <f>Q30*(Q$38)</f>
        <v>68.99199999999999</v>
      </c>
      <c r="R19" s="720">
        <f t="shared" ref="R19:T21" si="13">R30*(R$38)</f>
        <v>90.551999999999964</v>
      </c>
      <c r="S19" s="720">
        <f t="shared" si="13"/>
        <v>109.86975999999996</v>
      </c>
      <c r="T19" s="720">
        <f t="shared" si="13"/>
        <v>130.15340799999996</v>
      </c>
      <c r="U19" s="720">
        <f>$T$19</f>
        <v>130.15340799999996</v>
      </c>
      <c r="V19" s="720">
        <f>$T$19</f>
        <v>130.15340799999996</v>
      </c>
      <c r="W19" s="720">
        <f>$T$19</f>
        <v>130.15340799999996</v>
      </c>
      <c r="X19" s="720">
        <f>$T$19</f>
        <v>130.15340799999996</v>
      </c>
      <c r="Y19" s="720">
        <f>$T$19</f>
        <v>130.15340799999996</v>
      </c>
      <c r="Z19" s="711" t="s">
        <v>133</v>
      </c>
    </row>
    <row r="20" spans="1:28" x14ac:dyDescent="0.15">
      <c r="C20" s="422" t="s">
        <v>260</v>
      </c>
      <c r="D20" s="422"/>
      <c r="E20" s="707"/>
      <c r="F20" s="708"/>
      <c r="G20" s="708"/>
      <c r="H20" s="708"/>
      <c r="I20" s="708"/>
      <c r="J20" s="708"/>
      <c r="K20" s="708"/>
      <c r="L20" s="708"/>
      <c r="M20" s="708"/>
      <c r="N20" s="708"/>
      <c r="O20" s="708"/>
      <c r="P20" s="721">
        <f>P31*(P$38)</f>
        <v>58.08</v>
      </c>
      <c r="Q20" s="721">
        <f>Q31*(Q$38)</f>
        <v>79.2</v>
      </c>
      <c r="R20" s="721">
        <f t="shared" si="13"/>
        <v>111.375</v>
      </c>
      <c r="S20" s="721">
        <f t="shared" si="13"/>
        <v>144.78749999999999</v>
      </c>
      <c r="T20" s="721">
        <f>T31*(T$38)</f>
        <v>183.76875000000001</v>
      </c>
      <c r="U20" s="721">
        <f>$T$20</f>
        <v>183.76875000000001</v>
      </c>
      <c r="V20" s="721">
        <f>$T$20</f>
        <v>183.76875000000001</v>
      </c>
      <c r="W20" s="721">
        <f>$T$20</f>
        <v>183.76875000000001</v>
      </c>
      <c r="X20" s="721">
        <f>$T$20</f>
        <v>183.76875000000001</v>
      </c>
      <c r="Y20" s="721">
        <f>$T$20</f>
        <v>183.76875000000001</v>
      </c>
      <c r="Z20" s="713" t="s">
        <v>16</v>
      </c>
    </row>
    <row r="21" spans="1:28" x14ac:dyDescent="0.15">
      <c r="C21" s="422" t="s">
        <v>261</v>
      </c>
      <c r="D21" s="422"/>
      <c r="E21" s="707"/>
      <c r="F21" s="708"/>
      <c r="G21" s="708"/>
      <c r="H21" s="708"/>
      <c r="I21" s="708"/>
      <c r="J21" s="708"/>
      <c r="K21" s="708"/>
      <c r="L21" s="708"/>
      <c r="M21" s="708"/>
      <c r="N21" s="708"/>
      <c r="O21" s="708"/>
      <c r="P21" s="722">
        <f>P32*(P$38)</f>
        <v>61.952000000000005</v>
      </c>
      <c r="Q21" s="722">
        <f>Q32*(Q$38)</f>
        <v>90.112000000000023</v>
      </c>
      <c r="R21" s="722">
        <f t="shared" si="13"/>
        <v>135.16800000000003</v>
      </c>
      <c r="S21" s="722">
        <f t="shared" si="13"/>
        <v>187.43296000000007</v>
      </c>
      <c r="T21" s="722">
        <f t="shared" si="13"/>
        <v>253.75539200000009</v>
      </c>
      <c r="U21" s="722">
        <f>$T$21</f>
        <v>253.75539200000009</v>
      </c>
      <c r="V21" s="722">
        <f>$T$21</f>
        <v>253.75539200000009</v>
      </c>
      <c r="W21" s="722">
        <f>$T$21</f>
        <v>253.75539200000009</v>
      </c>
      <c r="X21" s="722">
        <f>$T$21</f>
        <v>253.75539200000009</v>
      </c>
      <c r="Y21" s="722">
        <f>$T$21</f>
        <v>253.75539200000009</v>
      </c>
      <c r="Z21" s="715" t="s">
        <v>56</v>
      </c>
    </row>
    <row r="22" spans="1:28" x14ac:dyDescent="0.15">
      <c r="C22" s="422"/>
      <c r="D22" s="422"/>
      <c r="E22" s="707"/>
      <c r="F22" s="708"/>
      <c r="G22" s="708"/>
      <c r="H22" s="708"/>
      <c r="I22" s="708"/>
      <c r="J22" s="708"/>
      <c r="K22" s="708"/>
      <c r="L22" s="708"/>
      <c r="M22" s="708"/>
      <c r="N22" s="708"/>
      <c r="O22" s="708"/>
      <c r="P22" s="708"/>
      <c r="Q22" s="708"/>
      <c r="R22" s="708"/>
      <c r="S22" s="708"/>
      <c r="T22" s="708"/>
      <c r="U22" s="708"/>
      <c r="V22" s="708"/>
      <c r="W22" s="708"/>
      <c r="X22" s="708"/>
      <c r="Y22" s="708"/>
      <c r="AB22" s="694">
        <f>1.05/435</f>
        <v>2.413793103448276E-3</v>
      </c>
    </row>
    <row r="23" spans="1:28" x14ac:dyDescent="0.15">
      <c r="C23" s="695" t="s">
        <v>385</v>
      </c>
      <c r="D23" s="422"/>
      <c r="E23" s="707">
        <f t="shared" ref="E23:W23" si="14">E29*E$39</f>
        <v>8.8817841970012525E-18</v>
      </c>
      <c r="F23" s="708">
        <f t="shared" si="14"/>
        <v>-1.6739999999999657E-3</v>
      </c>
      <c r="G23" s="708">
        <f t="shared" si="14"/>
        <v>-4.167000000000046E-4</v>
      </c>
      <c r="H23" s="708">
        <f t="shared" si="14"/>
        <v>-4.5407839999999757E-3</v>
      </c>
      <c r="I23" s="708">
        <f t="shared" si="14"/>
        <v>-9.7208515600000212E-3</v>
      </c>
      <c r="J23" s="708">
        <f t="shared" si="14"/>
        <v>1.2058485106299944E-2</v>
      </c>
      <c r="K23" s="708">
        <f t="shared" si="14"/>
        <v>-8.3404390331422336E-3</v>
      </c>
      <c r="L23" s="709"/>
      <c r="M23" s="709">
        <f t="shared" si="14"/>
        <v>3.7097464050588294E-2</v>
      </c>
      <c r="N23" s="709">
        <f t="shared" si="14"/>
        <v>6.515595903595231E-2</v>
      </c>
      <c r="O23" s="707">
        <f>O29*O$39</f>
        <v>0.44176294400000532</v>
      </c>
      <c r="P23" s="708">
        <f>P29*P$39</f>
        <v>3.8389199833599958</v>
      </c>
      <c r="Q23" s="708">
        <f t="shared" si="14"/>
        <v>17.519434833151998</v>
      </c>
      <c r="R23" s="708">
        <f t="shared" si="14"/>
        <v>39.024366594483205</v>
      </c>
      <c r="S23" s="708">
        <f t="shared" si="14"/>
        <v>91.820628294071412</v>
      </c>
      <c r="T23" s="708">
        <f t="shared" si="14"/>
        <v>191.20654165450418</v>
      </c>
      <c r="U23" s="708">
        <f t="shared" si="14"/>
        <v>443.49809568082162</v>
      </c>
      <c r="V23" s="708">
        <f t="shared" si="14"/>
        <v>842.11875104240312</v>
      </c>
      <c r="W23" s="708">
        <f t="shared" si="14"/>
        <v>1471.9393865137019</v>
      </c>
      <c r="X23" s="708">
        <f>X29*X$39</f>
        <v>2467.0559905583546</v>
      </c>
      <c r="Y23" s="708">
        <f>Y29*Y$39</f>
        <v>4039.340224948905</v>
      </c>
      <c r="Z23" s="694" t="s">
        <v>126</v>
      </c>
      <c r="AA23" s="694" t="s">
        <v>147</v>
      </c>
    </row>
    <row r="24" spans="1:28" x14ac:dyDescent="0.15">
      <c r="C24" s="422" t="s">
        <v>87</v>
      </c>
      <c r="D24" s="422"/>
      <c r="E24" s="708"/>
      <c r="F24" s="708"/>
      <c r="G24" s="708"/>
      <c r="H24" s="708"/>
      <c r="I24" s="708"/>
      <c r="J24" s="708"/>
      <c r="K24" s="708"/>
      <c r="L24" s="708"/>
      <c r="M24" s="708"/>
      <c r="N24" s="708"/>
      <c r="O24" s="708"/>
      <c r="P24" s="720">
        <f t="shared" ref="P24:Y24" si="15">P30*P$39</f>
        <v>3.3879999999999959</v>
      </c>
      <c r="Q24" s="720">
        <f t="shared" si="15"/>
        <v>13.70015189873417</v>
      </c>
      <c r="R24" s="720">
        <f t="shared" si="15"/>
        <v>27.040337125460649</v>
      </c>
      <c r="S24" s="720">
        <f t="shared" si="15"/>
        <v>56.375115933952458</v>
      </c>
      <c r="T24" s="720">
        <f t="shared" si="15"/>
        <v>104.02096611869203</v>
      </c>
      <c r="U24" s="720">
        <f t="shared" si="15"/>
        <v>213.78677929504352</v>
      </c>
      <c r="V24" s="720">
        <f t="shared" si="15"/>
        <v>359.69414760826629</v>
      </c>
      <c r="W24" s="720">
        <f t="shared" si="15"/>
        <v>557.08428717896993</v>
      </c>
      <c r="X24" s="720">
        <f t="shared" si="15"/>
        <v>827.33412403685918</v>
      </c>
      <c r="Y24" s="720">
        <f t="shared" si="15"/>
        <v>1200.2820589559203</v>
      </c>
      <c r="Z24" s="711" t="s">
        <v>133</v>
      </c>
    </row>
    <row r="25" spans="1:28" x14ac:dyDescent="0.15">
      <c r="C25" s="422" t="s">
        <v>88</v>
      </c>
      <c r="D25" s="422"/>
      <c r="E25" s="708"/>
      <c r="F25" s="708"/>
      <c r="G25" s="708"/>
      <c r="H25" s="708"/>
      <c r="I25" s="708"/>
      <c r="J25" s="708"/>
      <c r="K25" s="708"/>
      <c r="L25" s="708"/>
      <c r="M25" s="708"/>
      <c r="N25" s="708"/>
      <c r="O25" s="708"/>
      <c r="P25" s="721">
        <f t="shared" ref="P25:Y25" si="16">P31*P$39</f>
        <v>3.6299999999999959</v>
      </c>
      <c r="Q25" s="721">
        <f t="shared" si="16"/>
        <v>15.727215189873414</v>
      </c>
      <c r="R25" s="721">
        <f t="shared" si="16"/>
        <v>33.258432142284882</v>
      </c>
      <c r="S25" s="721">
        <f>S31*S$39</f>
        <v>74.291707730017293</v>
      </c>
      <c r="T25" s="721">
        <f>T31*T$39</f>
        <v>146.87132062976326</v>
      </c>
      <c r="U25" s="721">
        <f t="shared" si="16"/>
        <v>323.41501958521832</v>
      </c>
      <c r="V25" s="721">
        <f t="shared" si="16"/>
        <v>583.00990783406803</v>
      </c>
      <c r="W25" s="721">
        <f t="shared" si="16"/>
        <v>967.44591724753298</v>
      </c>
      <c r="X25" s="721">
        <f t="shared" si="16"/>
        <v>1539.394561469177</v>
      </c>
      <c r="Y25" s="721">
        <f t="shared" si="16"/>
        <v>2392.8504044802312</v>
      </c>
      <c r="Z25" s="713" t="s">
        <v>16</v>
      </c>
    </row>
    <row r="26" spans="1:28" x14ac:dyDescent="0.15">
      <c r="C26" s="422" t="s">
        <v>98</v>
      </c>
      <c r="D26" s="422"/>
      <c r="E26" s="708"/>
      <c r="F26" s="708"/>
      <c r="G26" s="708"/>
      <c r="H26" s="708"/>
      <c r="I26" s="708"/>
      <c r="J26" s="708"/>
      <c r="K26" s="708"/>
      <c r="L26" s="708"/>
      <c r="M26" s="708"/>
      <c r="N26" s="708"/>
      <c r="O26" s="708"/>
      <c r="P26" s="722">
        <f>P32*P$39</f>
        <v>3.8719999999999959</v>
      </c>
      <c r="Q26" s="722">
        <f t="shared" ref="Q26:Y26" si="17">Q32*Q$39</f>
        <v>17.894075949367085</v>
      </c>
      <c r="R26" s="722">
        <f t="shared" si="17"/>
        <v>40.363418682903387</v>
      </c>
      <c r="S26" s="722">
        <f t="shared" si="17"/>
        <v>96.173458919395841</v>
      </c>
      <c r="T26" s="722">
        <f t="shared" si="17"/>
        <v>202.80591526014774</v>
      </c>
      <c r="U26" s="722">
        <f t="shared" si="17"/>
        <v>476.35697261787124</v>
      </c>
      <c r="V26" s="722">
        <f>V32*V$39</f>
        <v>915.96103791176836</v>
      </c>
      <c r="W26" s="722">
        <f t="shared" si="17"/>
        <v>1621.2742497455886</v>
      </c>
      <c r="X26" s="722">
        <f t="shared" si="17"/>
        <v>2751.7467379086474</v>
      </c>
      <c r="Y26" s="722">
        <f t="shared" si="17"/>
        <v>4562.4990219861957</v>
      </c>
      <c r="Z26" s="715" t="s">
        <v>56</v>
      </c>
    </row>
    <row r="27" spans="1:28" x14ac:dyDescent="0.15">
      <c r="C27" s="422"/>
      <c r="D27" s="422"/>
      <c r="E27" s="422"/>
      <c r="F27" s="422"/>
      <c r="G27" s="422"/>
      <c r="H27" s="422"/>
      <c r="I27" s="422"/>
      <c r="J27" s="422"/>
      <c r="K27" s="422"/>
      <c r="L27" s="422"/>
      <c r="M27" s="422"/>
      <c r="N27" s="708"/>
      <c r="O27" s="708"/>
      <c r="P27" s="708"/>
      <c r="Q27" s="708"/>
      <c r="R27" s="708"/>
      <c r="S27" s="708"/>
      <c r="T27" s="708"/>
      <c r="U27" s="708"/>
      <c r="V27" s="708"/>
      <c r="W27" s="708"/>
      <c r="X27" s="708"/>
      <c r="Y27" s="708"/>
    </row>
    <row r="28" spans="1:28" x14ac:dyDescent="0.15">
      <c r="C28" s="422"/>
      <c r="D28" s="422"/>
      <c r="E28" s="422"/>
      <c r="F28" s="422"/>
      <c r="G28" s="422"/>
      <c r="H28" s="422"/>
      <c r="I28" s="422"/>
      <c r="J28" s="422"/>
      <c r="K28" s="422"/>
      <c r="L28" s="422"/>
      <c r="M28" s="422"/>
      <c r="N28" s="708"/>
      <c r="O28" s="708"/>
      <c r="P28" s="708"/>
      <c r="Q28" s="708"/>
      <c r="R28" s="708"/>
      <c r="S28" s="708"/>
      <c r="T28" s="708"/>
      <c r="U28" s="708"/>
      <c r="V28" s="708"/>
      <c r="W28" s="708"/>
      <c r="X28" s="708"/>
      <c r="Y28" s="708"/>
    </row>
    <row r="29" spans="1:28" x14ac:dyDescent="0.15">
      <c r="C29" s="695" t="s">
        <v>380</v>
      </c>
      <c r="D29" s="422"/>
      <c r="E29" s="422">
        <v>0.32</v>
      </c>
      <c r="F29" s="422">
        <v>0.54</v>
      </c>
      <c r="G29" s="696">
        <v>0.9</v>
      </c>
      <c r="H29" s="697">
        <v>1.6</v>
      </c>
      <c r="I29" s="697">
        <v>2.8</v>
      </c>
      <c r="J29" s="698">
        <v>4.7</v>
      </c>
      <c r="K29" s="696">
        <v>7.4</v>
      </c>
      <c r="L29" s="696">
        <v>11.2</v>
      </c>
      <c r="M29" s="694">
        <f>L29*$B$13</f>
        <v>17.695999999999998</v>
      </c>
      <c r="N29" s="699">
        <f>M29*$B$13</f>
        <v>27.959679999999999</v>
      </c>
      <c r="O29" s="699">
        <f>N29*$B$13</f>
        <v>44.176294400000003</v>
      </c>
      <c r="P29" s="699">
        <f>O29*$B$13</f>
        <v>69.798545152000003</v>
      </c>
      <c r="Q29" s="699">
        <f>P29*$B$13</f>
        <v>110.28170134016001</v>
      </c>
      <c r="R29" s="699">
        <f t="shared" ref="R29:W29" si="18">Q29*$B$13</f>
        <v>174.24508811745284</v>
      </c>
      <c r="S29" s="699">
        <f t="shared" si="18"/>
        <v>275.30723922557547</v>
      </c>
      <c r="T29" s="699">
        <f>S29*$B$13</f>
        <v>434.98543797640929</v>
      </c>
      <c r="U29" s="699">
        <f t="shared" si="18"/>
        <v>687.27699200272673</v>
      </c>
      <c r="V29" s="699">
        <f t="shared" si="18"/>
        <v>1085.8976473643083</v>
      </c>
      <c r="W29" s="699">
        <f t="shared" si="18"/>
        <v>1715.7182828356072</v>
      </c>
      <c r="X29" s="699">
        <f>W29*$B$13</f>
        <v>2710.8348868802595</v>
      </c>
      <c r="Y29" s="700">
        <f>X29*$B$13</f>
        <v>4283.11912127081</v>
      </c>
      <c r="Z29" s="694" t="s">
        <v>126</v>
      </c>
      <c r="AA29" s="694" t="s">
        <v>196</v>
      </c>
    </row>
    <row r="30" spans="1:28" x14ac:dyDescent="0.15">
      <c r="C30" s="695"/>
      <c r="D30" s="422"/>
      <c r="E30" s="422"/>
      <c r="F30" s="422"/>
      <c r="G30" s="696"/>
      <c r="H30" s="697"/>
      <c r="I30" s="697"/>
      <c r="J30" s="701"/>
      <c r="K30" s="696"/>
      <c r="L30" s="696"/>
      <c r="N30" s="699"/>
      <c r="O30" s="346">
        <v>44</v>
      </c>
      <c r="P30" s="346">
        <f>O30*$B$14</f>
        <v>61.599999999999994</v>
      </c>
      <c r="Q30" s="346">
        <f t="shared" ref="Q30:X30" si="19">P30*$B$14</f>
        <v>86.239999999999981</v>
      </c>
      <c r="R30" s="346">
        <f t="shared" si="19"/>
        <v>120.73599999999996</v>
      </c>
      <c r="S30" s="346">
        <f t="shared" si="19"/>
        <v>169.03039999999993</v>
      </c>
      <c r="T30" s="346">
        <f t="shared" si="19"/>
        <v>236.64255999999989</v>
      </c>
      <c r="U30" s="346">
        <f t="shared" si="19"/>
        <v>331.29958399999981</v>
      </c>
      <c r="V30" s="346">
        <f t="shared" si="19"/>
        <v>463.81941759999972</v>
      </c>
      <c r="W30" s="346">
        <f t="shared" si="19"/>
        <v>649.34718463999957</v>
      </c>
      <c r="X30" s="346">
        <f t="shared" si="19"/>
        <v>909.08605849599928</v>
      </c>
      <c r="Y30" s="346">
        <f>X30*$B$14</f>
        <v>1272.720481894399</v>
      </c>
      <c r="Z30" s="711" t="s">
        <v>133</v>
      </c>
    </row>
    <row r="31" spans="1:28" x14ac:dyDescent="0.15">
      <c r="C31" s="695"/>
      <c r="D31" s="422"/>
      <c r="E31" s="422"/>
      <c r="F31" s="422"/>
      <c r="G31" s="696"/>
      <c r="H31" s="697"/>
      <c r="I31" s="697"/>
      <c r="J31" s="701"/>
      <c r="K31" s="696"/>
      <c r="L31" s="696"/>
      <c r="N31" s="699"/>
      <c r="O31" s="723">
        <v>44</v>
      </c>
      <c r="P31" s="723">
        <f>O31*$B$15</f>
        <v>66</v>
      </c>
      <c r="Q31" s="723">
        <f t="shared" ref="Q31:Y31" si="20">P31*$B$15</f>
        <v>99</v>
      </c>
      <c r="R31" s="723">
        <f t="shared" si="20"/>
        <v>148.5</v>
      </c>
      <c r="S31" s="723">
        <f t="shared" si="20"/>
        <v>222.75</v>
      </c>
      <c r="T31" s="723">
        <f>S31*$B$15</f>
        <v>334.125</v>
      </c>
      <c r="U31" s="723">
        <f t="shared" si="20"/>
        <v>501.1875</v>
      </c>
      <c r="V31" s="723">
        <f t="shared" si="20"/>
        <v>751.78125</v>
      </c>
      <c r="W31" s="723">
        <f t="shared" si="20"/>
        <v>1127.671875</v>
      </c>
      <c r="X31" s="723">
        <f t="shared" si="20"/>
        <v>1691.5078125</v>
      </c>
      <c r="Y31" s="723">
        <f t="shared" si="20"/>
        <v>2537.26171875</v>
      </c>
      <c r="Z31" s="713" t="s">
        <v>16</v>
      </c>
    </row>
    <row r="32" spans="1:28" x14ac:dyDescent="0.15">
      <c r="C32" s="695"/>
      <c r="D32" s="422"/>
      <c r="E32" s="422"/>
      <c r="F32" s="422"/>
      <c r="G32" s="696"/>
      <c r="H32" s="697"/>
      <c r="I32" s="697"/>
      <c r="J32" s="701"/>
      <c r="K32" s="696"/>
      <c r="L32" s="696"/>
      <c r="N32" s="699"/>
      <c r="O32" s="358">
        <v>44</v>
      </c>
      <c r="P32" s="358">
        <f>O32*$B$16</f>
        <v>70.400000000000006</v>
      </c>
      <c r="Q32" s="358">
        <f t="shared" ref="Q32:X32" si="21">P32*$B$16</f>
        <v>112.64000000000001</v>
      </c>
      <c r="R32" s="358">
        <f t="shared" si="21"/>
        <v>180.22400000000005</v>
      </c>
      <c r="S32" s="358">
        <f t="shared" si="21"/>
        <v>288.35840000000007</v>
      </c>
      <c r="T32" s="358">
        <f t="shared" si="21"/>
        <v>461.37344000000013</v>
      </c>
      <c r="U32" s="358">
        <f t="shared" si="21"/>
        <v>738.19750400000021</v>
      </c>
      <c r="V32" s="358">
        <f t="shared" si="21"/>
        <v>1181.1160064000003</v>
      </c>
      <c r="W32" s="358">
        <f t="shared" si="21"/>
        <v>1889.7856102400006</v>
      </c>
      <c r="X32" s="358">
        <f t="shared" si="21"/>
        <v>3023.6569763840012</v>
      </c>
      <c r="Y32" s="358">
        <f>X32*$B$16</f>
        <v>4837.8511622144024</v>
      </c>
      <c r="Z32" s="715" t="s">
        <v>56</v>
      </c>
    </row>
    <row r="33" spans="1:27" x14ac:dyDescent="0.15">
      <c r="C33" s="695"/>
      <c r="D33" s="422"/>
      <c r="E33" s="422"/>
      <c r="F33" s="422"/>
      <c r="G33" s="696"/>
      <c r="H33" s="697"/>
      <c r="I33" s="697"/>
      <c r="J33" s="701"/>
      <c r="K33" s="696"/>
      <c r="L33" s="696"/>
      <c r="N33" s="699"/>
      <c r="O33" s="724"/>
      <c r="P33" s="724"/>
      <c r="Q33" s="724"/>
      <c r="R33" s="724"/>
      <c r="S33" s="724"/>
      <c r="T33" s="724"/>
      <c r="U33" s="724"/>
      <c r="V33" s="724"/>
      <c r="W33" s="724"/>
      <c r="X33" s="724"/>
      <c r="Y33" s="724"/>
      <c r="Z33" s="725"/>
    </row>
    <row r="34" spans="1:27" x14ac:dyDescent="0.15">
      <c r="C34" s="695"/>
      <c r="D34" s="422"/>
      <c r="E34" s="422"/>
      <c r="F34" s="422"/>
      <c r="G34" s="696"/>
      <c r="H34" s="697"/>
      <c r="I34" s="697"/>
      <c r="J34" s="701"/>
      <c r="K34" s="696"/>
      <c r="L34" s="696"/>
      <c r="N34" s="699"/>
      <c r="O34" s="724"/>
      <c r="P34" s="724"/>
      <c r="Q34" s="724"/>
      <c r="R34" s="724"/>
      <c r="S34" s="724"/>
      <c r="T34" s="724"/>
      <c r="U34" s="724"/>
      <c r="V34" s="724"/>
      <c r="W34" s="724"/>
      <c r="X34" s="724"/>
      <c r="Y34" s="724"/>
      <c r="Z34" s="725"/>
    </row>
    <row r="35" spans="1:27" x14ac:dyDescent="0.15">
      <c r="C35" s="726" t="s">
        <v>119</v>
      </c>
      <c r="E35" s="702">
        <v>2010</v>
      </c>
      <c r="F35" s="702">
        <v>2011</v>
      </c>
      <c r="G35" s="702">
        <v>2012</v>
      </c>
      <c r="H35" s="702">
        <v>2013</v>
      </c>
      <c r="I35" s="702">
        <v>2014</v>
      </c>
      <c r="J35" s="702">
        <v>2015</v>
      </c>
      <c r="K35" s="702">
        <v>2016</v>
      </c>
      <c r="L35" s="702">
        <v>2017</v>
      </c>
      <c r="M35" s="702">
        <v>2018</v>
      </c>
      <c r="N35" s="702">
        <v>2019</v>
      </c>
      <c r="O35" s="702">
        <v>2020</v>
      </c>
      <c r="P35" s="703">
        <v>2021</v>
      </c>
      <c r="Q35" s="703">
        <v>2022</v>
      </c>
      <c r="R35" s="703">
        <v>2023</v>
      </c>
      <c r="S35" s="703">
        <v>2024</v>
      </c>
      <c r="T35" s="703">
        <v>2025</v>
      </c>
      <c r="U35" s="703">
        <v>2026</v>
      </c>
      <c r="V35" s="703">
        <v>2027</v>
      </c>
      <c r="W35" s="703">
        <v>2028</v>
      </c>
      <c r="X35" s="703">
        <v>2029</v>
      </c>
      <c r="Y35" s="703">
        <v>2030</v>
      </c>
    </row>
    <row r="36" spans="1:27" x14ac:dyDescent="0.15">
      <c r="A36" s="422"/>
      <c r="B36" s="719"/>
      <c r="C36" s="694" t="s">
        <v>120</v>
      </c>
      <c r="E36" s="727">
        <v>0.47</v>
      </c>
      <c r="F36" s="727">
        <f>E36*0.73</f>
        <v>0.34309999999999996</v>
      </c>
      <c r="G36" s="727">
        <f t="shared" ref="G36:N36" si="22">F36*0.73</f>
        <v>0.25046299999999999</v>
      </c>
      <c r="H36" s="727">
        <f t="shared" si="22"/>
        <v>0.18283798999999998</v>
      </c>
      <c r="I36" s="727">
        <f t="shared" si="22"/>
        <v>0.13347173269999998</v>
      </c>
      <c r="J36" s="728">
        <f>I36*0.73</f>
        <v>9.743436487099999E-2</v>
      </c>
      <c r="K36" s="729">
        <f t="shared" si="22"/>
        <v>7.1127086355829997E-2</v>
      </c>
      <c r="L36" s="729">
        <f t="shared" si="22"/>
        <v>5.1922773039755898E-2</v>
      </c>
      <c r="M36" s="729">
        <f t="shared" si="22"/>
        <v>3.7903624319021806E-2</v>
      </c>
      <c r="N36" s="729">
        <f t="shared" si="22"/>
        <v>2.7669645752885916E-2</v>
      </c>
      <c r="O36" s="729">
        <v>1.99999999999999E-2</v>
      </c>
      <c r="P36" s="729">
        <v>1.4999999999999999E-2</v>
      </c>
      <c r="Q36" s="729">
        <f>Q8/Q29</f>
        <v>9.4936708860759479E-3</v>
      </c>
      <c r="R36" s="729">
        <f>R8/R29</f>
        <v>6.0086524595417386E-3</v>
      </c>
      <c r="S36" s="728">
        <f t="shared" ref="S36:Y36" si="23">S8/S29</f>
        <v>3.8029445946466704E-3</v>
      </c>
      <c r="T36" s="728">
        <f>T8/T29</f>
        <v>2.406926958637133E-3</v>
      </c>
      <c r="U36" s="728">
        <f t="shared" si="23"/>
        <v>1.5233714928083119E-3</v>
      </c>
      <c r="V36" s="728">
        <f t="shared" si="23"/>
        <v>9.6415917266348835E-4</v>
      </c>
      <c r="W36" s="728">
        <f t="shared" si="23"/>
        <v>6.1022732447056226E-4</v>
      </c>
      <c r="X36" s="728">
        <f t="shared" si="23"/>
        <v>3.8621982561427989E-4</v>
      </c>
      <c r="Y36" s="728">
        <f t="shared" si="23"/>
        <v>2.4444292760397463E-4</v>
      </c>
      <c r="Z36" s="694" t="s">
        <v>144</v>
      </c>
    </row>
    <row r="37" spans="1:27" x14ac:dyDescent="0.15">
      <c r="A37" s="422"/>
      <c r="B37" s="719"/>
      <c r="C37" s="422" t="s">
        <v>121</v>
      </c>
      <c r="D37" s="422"/>
      <c r="E37" s="730">
        <v>0.5</v>
      </c>
      <c r="F37" s="730">
        <v>0.6</v>
      </c>
      <c r="G37" s="730">
        <v>0.64</v>
      </c>
      <c r="H37" s="730">
        <v>0.61</v>
      </c>
      <c r="I37" s="730">
        <v>0.47</v>
      </c>
      <c r="J37" s="730">
        <v>0.35</v>
      </c>
      <c r="K37" s="730">
        <f>J37*0.8</f>
        <v>0.27999999999999997</v>
      </c>
      <c r="L37" s="730">
        <v>0.2</v>
      </c>
      <c r="M37" s="730">
        <f>L37*0.8</f>
        <v>0.16000000000000003</v>
      </c>
      <c r="N37" s="730">
        <v>0.105</v>
      </c>
      <c r="O37" s="730">
        <v>7.0000000000000007E-2</v>
      </c>
      <c r="P37" s="731">
        <v>0.05</v>
      </c>
      <c r="Q37" s="732">
        <f>Q13/Q29</f>
        <v>3.164556962025316E-2</v>
      </c>
      <c r="R37" s="732">
        <f t="shared" ref="R37:X37" si="24">R13/R29</f>
        <v>2.0028841531805796E-2</v>
      </c>
      <c r="S37" s="733">
        <f t="shared" si="24"/>
        <v>1.2676481982155569E-2</v>
      </c>
      <c r="T37" s="733">
        <f>T13/T29</f>
        <v>8.0230898621237775E-3</v>
      </c>
      <c r="U37" s="733">
        <f>U13/U29</f>
        <v>5.077904976027706E-3</v>
      </c>
      <c r="V37" s="733">
        <f t="shared" si="24"/>
        <v>3.2138639088782951E-3</v>
      </c>
      <c r="W37" s="733">
        <f t="shared" si="24"/>
        <v>2.034091081568541E-3</v>
      </c>
      <c r="X37" s="733">
        <f t="shared" si="24"/>
        <v>1.2873994187142664E-3</v>
      </c>
      <c r="Y37" s="732">
        <f>Y13/Y29</f>
        <v>8.1480975867991544E-4</v>
      </c>
      <c r="Z37" s="694" t="s">
        <v>145</v>
      </c>
    </row>
    <row r="38" spans="1:27" x14ac:dyDescent="0.15">
      <c r="A38" s="422"/>
      <c r="B38" s="719"/>
      <c r="C38" s="422" t="s">
        <v>122</v>
      </c>
      <c r="D38" s="422"/>
      <c r="E38" s="730">
        <v>0.03</v>
      </c>
      <c r="F38" s="730">
        <v>0.06</v>
      </c>
      <c r="G38" s="730">
        <v>0.11</v>
      </c>
      <c r="H38" s="727">
        <v>0.21</v>
      </c>
      <c r="I38" s="734">
        <v>0.4</v>
      </c>
      <c r="J38" s="735">
        <v>0.55000000000000004</v>
      </c>
      <c r="K38" s="730">
        <v>0.65</v>
      </c>
      <c r="L38" s="727">
        <v>0.75</v>
      </c>
      <c r="M38" s="727">
        <v>0.8</v>
      </c>
      <c r="N38" s="727">
        <v>0.86499999999999999</v>
      </c>
      <c r="O38" s="727">
        <v>0.9</v>
      </c>
      <c r="P38" s="727">
        <v>0.88</v>
      </c>
      <c r="Q38" s="727">
        <v>0.8</v>
      </c>
      <c r="R38" s="727">
        <v>0.75</v>
      </c>
      <c r="S38" s="727">
        <v>0.65</v>
      </c>
      <c r="T38" s="736">
        <v>0.55000000000000004</v>
      </c>
      <c r="U38" s="727">
        <f>U18/U29</f>
        <v>0.34810126582278483</v>
      </c>
      <c r="V38" s="727">
        <f>V18/V29</f>
        <v>0.22031725684986378</v>
      </c>
      <c r="W38" s="727">
        <f>W18/W29</f>
        <v>0.13944130180371125</v>
      </c>
      <c r="X38" s="727">
        <f>X18/X29</f>
        <v>8.8253988483361551E-2</v>
      </c>
      <c r="Y38" s="727">
        <f>Y18/Y29</f>
        <v>5.5856954736304781E-2</v>
      </c>
      <c r="Z38" s="694" t="s">
        <v>146</v>
      </c>
    </row>
    <row r="39" spans="1:27" x14ac:dyDescent="0.15">
      <c r="A39" s="422"/>
      <c r="B39" s="719"/>
      <c r="C39" s="422" t="s">
        <v>123</v>
      </c>
      <c r="D39" s="422"/>
      <c r="E39" s="730">
        <f>1-E36-E37-E38</f>
        <v>2.7755575615628914E-17</v>
      </c>
      <c r="F39" s="730">
        <f t="shared" ref="F39:X39" si="25">1-F36-F37-F38</f>
        <v>-3.0999999999999361E-3</v>
      </c>
      <c r="G39" s="730">
        <f t="shared" si="25"/>
        <v>-4.6300000000000507E-4</v>
      </c>
      <c r="H39" s="730">
        <f t="shared" si="25"/>
        <v>-2.8379899999999847E-3</v>
      </c>
      <c r="I39" s="730">
        <f t="shared" si="25"/>
        <v>-3.4717327000000076E-3</v>
      </c>
      <c r="J39" s="730">
        <f t="shared" si="25"/>
        <v>2.5656351289999879E-3</v>
      </c>
      <c r="K39" s="730">
        <f t="shared" si="25"/>
        <v>-1.1270863558300315E-3</v>
      </c>
      <c r="L39" s="730">
        <f>1-L36-L37-L38</f>
        <v>-1.922773039755965E-3</v>
      </c>
      <c r="M39" s="730">
        <f t="shared" si="25"/>
        <v>2.0963756809780909E-3</v>
      </c>
      <c r="N39" s="731">
        <f>1-N36-N37-N38</f>
        <v>2.3303542471141414E-3</v>
      </c>
      <c r="O39" s="731">
        <f>1-O36-O37-O38</f>
        <v>1.000000000000012E-2</v>
      </c>
      <c r="P39" s="731">
        <f>1-P36-P37-P38</f>
        <v>5.4999999999999938E-2</v>
      </c>
      <c r="Q39" s="730">
        <f t="shared" si="25"/>
        <v>0.15886075949367084</v>
      </c>
      <c r="R39" s="730">
        <f t="shared" si="25"/>
        <v>0.22396250600865242</v>
      </c>
      <c r="S39" s="730">
        <f t="shared" si="25"/>
        <v>0.33352057342319774</v>
      </c>
      <c r="T39" s="730">
        <f t="shared" si="25"/>
        <v>0.43956998317923912</v>
      </c>
      <c r="U39" s="730">
        <f t="shared" si="25"/>
        <v>0.64529745770837921</v>
      </c>
      <c r="V39" s="730">
        <f t="shared" si="25"/>
        <v>0.77550472006859439</v>
      </c>
      <c r="W39" s="730">
        <f t="shared" si="25"/>
        <v>0.85791437979024965</v>
      </c>
      <c r="X39" s="730">
        <f t="shared" si="25"/>
        <v>0.91007239227230996</v>
      </c>
      <c r="Y39" s="730">
        <f>1-Y36-Y37-Y38</f>
        <v>0.94308379257741137</v>
      </c>
      <c r="Z39" s="694" t="s">
        <v>147</v>
      </c>
    </row>
    <row r="40" spans="1:27" x14ac:dyDescent="0.15">
      <c r="A40" s="422"/>
      <c r="B40" s="719"/>
      <c r="C40" s="695"/>
      <c r="D40" s="422"/>
      <c r="E40" s="730"/>
      <c r="F40" s="730"/>
      <c r="G40" s="730"/>
      <c r="H40" s="730"/>
      <c r="I40" s="730"/>
      <c r="J40" s="730"/>
      <c r="K40" s="730"/>
      <c r="L40" s="730"/>
      <c r="M40" s="730"/>
      <c r="N40" s="730"/>
      <c r="O40" s="730"/>
      <c r="P40" s="730"/>
      <c r="Q40" s="730"/>
      <c r="R40" s="730"/>
      <c r="S40" s="730"/>
      <c r="T40" s="730"/>
      <c r="U40" s="730"/>
      <c r="V40" s="730"/>
      <c r="W40" s="730"/>
      <c r="X40" s="730"/>
      <c r="Y40" s="730"/>
      <c r="AA40" s="694">
        <f>0.23/100*435</f>
        <v>1.0004999999999999</v>
      </c>
    </row>
    <row r="41" spans="1:27" x14ac:dyDescent="0.15">
      <c r="A41" s="422"/>
      <c r="B41" s="719"/>
      <c r="C41" s="695" t="s">
        <v>117</v>
      </c>
      <c r="D41" s="422"/>
      <c r="E41" s="730"/>
      <c r="F41" s="730"/>
      <c r="G41" s="730"/>
      <c r="H41" s="730"/>
      <c r="I41" s="730"/>
      <c r="J41" s="730"/>
      <c r="K41" s="730"/>
      <c r="L41" s="730"/>
      <c r="M41" s="730"/>
      <c r="N41" s="730"/>
      <c r="O41" s="730"/>
      <c r="P41" s="730"/>
      <c r="Q41" s="730"/>
      <c r="R41" s="730"/>
      <c r="S41" s="730"/>
      <c r="T41" s="730"/>
      <c r="U41" s="730"/>
      <c r="V41" s="730"/>
      <c r="W41" s="730"/>
      <c r="X41" s="730"/>
      <c r="Y41" s="730"/>
    </row>
    <row r="42" spans="1:27" x14ac:dyDescent="0.15">
      <c r="A42" s="422"/>
      <c r="B42" s="719"/>
      <c r="C42" s="695"/>
      <c r="D42" s="422"/>
      <c r="E42" s="702">
        <v>2010</v>
      </c>
      <c r="F42" s="702">
        <v>2011</v>
      </c>
      <c r="G42" s="702">
        <v>2012</v>
      </c>
      <c r="H42" s="702">
        <v>2013</v>
      </c>
      <c r="I42" s="702">
        <v>2014</v>
      </c>
      <c r="J42" s="702">
        <v>2015</v>
      </c>
      <c r="K42" s="702">
        <v>2016</v>
      </c>
      <c r="L42" s="702">
        <v>2017</v>
      </c>
      <c r="M42" s="702">
        <v>2018</v>
      </c>
      <c r="N42" s="702">
        <v>2019</v>
      </c>
      <c r="O42" s="702">
        <v>2020</v>
      </c>
      <c r="P42" s="703">
        <v>2021</v>
      </c>
      <c r="Q42" s="703">
        <v>2022</v>
      </c>
      <c r="R42" s="703">
        <v>2023</v>
      </c>
      <c r="S42" s="703">
        <v>2024</v>
      </c>
      <c r="T42" s="703">
        <v>2025</v>
      </c>
      <c r="U42" s="703">
        <v>2026</v>
      </c>
      <c r="V42" s="703">
        <v>2027</v>
      </c>
      <c r="W42" s="703">
        <v>2028</v>
      </c>
      <c r="X42" s="703">
        <v>2029</v>
      </c>
      <c r="Y42" s="703">
        <v>2030</v>
      </c>
    </row>
    <row r="43" spans="1:27" x14ac:dyDescent="0.15">
      <c r="A43" s="422"/>
      <c r="B43" s="719"/>
      <c r="C43" s="422" t="s">
        <v>118</v>
      </c>
      <c r="D43" s="422"/>
      <c r="E43" s="730">
        <f>E6/SUM(E6:E23)</f>
        <v>0.83</v>
      </c>
      <c r="F43" s="730">
        <f>F6/SUM(F6:F23)</f>
        <v>0.74314493564633455</v>
      </c>
      <c r="G43" s="730">
        <f t="shared" ref="G43:N43" si="26">G6/SUM(G6:G23)</f>
        <v>0.63449593884376476</v>
      </c>
      <c r="H43" s="730">
        <f>H6/SUM(H6:H23)</f>
        <v>0.49404761904761896</v>
      </c>
      <c r="I43" s="730">
        <f>I6/SUM(I6:I23)</f>
        <v>0.35814455231930958</v>
      </c>
      <c r="J43" s="730">
        <f>J6/SUM(J6:J23)</f>
        <v>0.24948337403719703</v>
      </c>
      <c r="K43" s="730">
        <f t="shared" si="26"/>
        <v>0.1743239695458125</v>
      </c>
      <c r="L43" s="730">
        <f t="shared" si="26"/>
        <v>0.12221265872100757</v>
      </c>
      <c r="M43" s="730">
        <f t="shared" si="26"/>
        <v>8.1125989639331431E-2</v>
      </c>
      <c r="N43" s="730">
        <f t="shared" si="26"/>
        <v>5.2921590606226372E-2</v>
      </c>
      <c r="O43" s="730">
        <f>O6/SUM(O6:O23)</f>
        <v>3.4158267285922847E-2</v>
      </c>
      <c r="P43" s="730">
        <f>P6/(P6+P8+P13+P18+P23)</f>
        <v>2.189368383700124E-2</v>
      </c>
      <c r="Q43" s="730">
        <f t="shared" ref="Q43:X43" si="27">Q6/(Q6+Q8+Q13+Q18+Q23)</f>
        <v>1.3969029924885169E-2</v>
      </c>
      <c r="R43" s="730">
        <f t="shared" si="27"/>
        <v>8.8867281826566571E-3</v>
      </c>
      <c r="S43" s="730">
        <f t="shared" si="27"/>
        <v>5.6429199355178825E-3</v>
      </c>
      <c r="T43" s="737">
        <f t="shared" si="27"/>
        <v>3.5788817941159188E-3</v>
      </c>
      <c r="U43" s="730">
        <f t="shared" si="27"/>
        <v>2.2680948070753753E-3</v>
      </c>
      <c r="V43" s="730">
        <f t="shared" si="27"/>
        <v>1.4366992263969071E-3</v>
      </c>
      <c r="W43" s="730">
        <f t="shared" si="27"/>
        <v>9.0978312375237711E-4</v>
      </c>
      <c r="X43" s="730">
        <f t="shared" si="27"/>
        <v>5.7600447244199522E-4</v>
      </c>
      <c r="Y43" s="730">
        <f>Y6/(Y6+Y8+Y13+Y18+Y23)</f>
        <v>3.6463689321592077E-4</v>
      </c>
      <c r="Z43" s="694" t="s">
        <v>148</v>
      </c>
    </row>
    <row r="44" spans="1:27" x14ac:dyDescent="0.15">
      <c r="A44" s="422"/>
      <c r="B44" s="719"/>
      <c r="C44" s="694" t="s">
        <v>120</v>
      </c>
      <c r="D44" s="422"/>
      <c r="E44" s="730">
        <f>E8/SUM(E6:E23)</f>
        <v>7.9900000000000013E-2</v>
      </c>
      <c r="F44" s="730">
        <f t="shared" ref="F44:O44" si="28">F8/SUM(F6:F23)</f>
        <v>8.8126972579742599E-2</v>
      </c>
      <c r="G44" s="730">
        <f t="shared" si="28"/>
        <v>9.1545243669374096E-2</v>
      </c>
      <c r="H44" s="730">
        <f>H8/SUM(H6:H23)</f>
        <v>9.2507316369047618E-2</v>
      </c>
      <c r="I44" s="730">
        <f>I8/SUM(I6:I23)</f>
        <v>8.5669558744875945E-2</v>
      </c>
      <c r="J44" s="730">
        <f t="shared" si="28"/>
        <v>7.3126110775811576E-2</v>
      </c>
      <c r="K44" s="730">
        <f t="shared" si="28"/>
        <v>5.8727930320053905E-2</v>
      </c>
      <c r="L44" s="730">
        <f t="shared" si="28"/>
        <v>4.5489686555504012E-2</v>
      </c>
      <c r="M44" s="730">
        <f t="shared" si="28"/>
        <v>3.4828655285223734E-2</v>
      </c>
      <c r="N44" s="730">
        <f t="shared" si="28"/>
        <v>2.6205324088132375E-2</v>
      </c>
      <c r="O44" s="730">
        <f t="shared" si="28"/>
        <v>1.9316834654281446E-2</v>
      </c>
      <c r="P44" s="730">
        <f>P8/(P6+P8+P13+P18+P23)</f>
        <v>1.467159474244498E-2</v>
      </c>
      <c r="Q44" s="730">
        <f t="shared" ref="Q44:Y44" si="29">Q8/(Q6+Q8+Q13+Q18+Q23)</f>
        <v>9.3610535133713431E-3</v>
      </c>
      <c r="R44" s="730">
        <f t="shared" si="29"/>
        <v>5.95525519838974E-3</v>
      </c>
      <c r="S44" s="730">
        <f t="shared" si="29"/>
        <v>3.7814848827798686E-3</v>
      </c>
      <c r="T44" s="737">
        <f>T8/(T6+T8+T13+T18+T23)</f>
        <v>2.3983128515650998E-3</v>
      </c>
      <c r="U44" s="730">
        <f t="shared" si="29"/>
        <v>1.5199163418362265E-3</v>
      </c>
      <c r="V44" s="730">
        <f t="shared" si="29"/>
        <v>9.6277396592599933E-4</v>
      </c>
      <c r="W44" s="730">
        <f t="shared" si="29"/>
        <v>6.0967214994910642E-4</v>
      </c>
      <c r="X44" s="730">
        <f t="shared" si="29"/>
        <v>3.8599736126738028E-4</v>
      </c>
      <c r="Y44" s="730">
        <f t="shared" si="29"/>
        <v>2.443537946942845E-4</v>
      </c>
      <c r="Z44" s="694" t="s">
        <v>144</v>
      </c>
    </row>
    <row r="45" spans="1:27" x14ac:dyDescent="0.15">
      <c r="A45" s="422"/>
      <c r="B45" s="719"/>
      <c r="C45" s="422" t="s">
        <v>121</v>
      </c>
      <c r="D45" s="422"/>
      <c r="E45" s="730">
        <f>E13/SUM(E6:E23)</f>
        <v>8.5000000000000006E-2</v>
      </c>
      <c r="F45" s="730">
        <f t="shared" ref="F45:O45" si="30">F13/SUM(F6:F23)</f>
        <v>0.15411303861219924</v>
      </c>
      <c r="G45" s="730">
        <f t="shared" si="30"/>
        <v>0.23392259913999047</v>
      </c>
      <c r="H45" s="730">
        <f>H13/SUM(H6:H23)</f>
        <v>0.30863095238095239</v>
      </c>
      <c r="I45" s="730">
        <f t="shared" si="30"/>
        <v>0.3016720604099245</v>
      </c>
      <c r="J45" s="730">
        <f t="shared" si="30"/>
        <v>0.26268081908698104</v>
      </c>
      <c r="K45" s="730">
        <f t="shared" si="30"/>
        <v>0.23118928852717249</v>
      </c>
      <c r="L45" s="730">
        <f t="shared" si="30"/>
        <v>0.17522055888915547</v>
      </c>
      <c r="M45" s="730">
        <f t="shared" si="30"/>
        <v>0.14701984165770698</v>
      </c>
      <c r="N45" s="730">
        <f t="shared" si="30"/>
        <v>9.9443232986346219E-2</v>
      </c>
      <c r="O45" s="730">
        <f t="shared" si="30"/>
        <v>6.7608921289985413E-2</v>
      </c>
      <c r="P45" s="730">
        <f>P13/(P6+P8+P13+P18+P23)</f>
        <v>4.8905315808149941E-2</v>
      </c>
      <c r="Q45" s="730">
        <f t="shared" ref="Q45:Y45" si="31">Q13/(Q6+Q8+Q13+Q18+Q23)</f>
        <v>3.1203511711237815E-2</v>
      </c>
      <c r="R45" s="730">
        <f t="shared" si="31"/>
        <v>1.9850850661299133E-2</v>
      </c>
      <c r="S45" s="730">
        <f t="shared" si="31"/>
        <v>1.260494960926623E-2</v>
      </c>
      <c r="T45" s="737">
        <f t="shared" si="31"/>
        <v>7.9943761718836662E-3</v>
      </c>
      <c r="U45" s="730">
        <f t="shared" si="31"/>
        <v>5.0663878061207555E-3</v>
      </c>
      <c r="V45" s="730">
        <f t="shared" si="31"/>
        <v>3.2092465530866648E-3</v>
      </c>
      <c r="W45" s="730">
        <f t="shared" si="31"/>
        <v>2.0322404998303549E-3</v>
      </c>
      <c r="X45" s="730">
        <f t="shared" si="31"/>
        <v>1.2866578708912678E-3</v>
      </c>
      <c r="Y45" s="730">
        <f t="shared" si="31"/>
        <v>8.1451264898094828E-4</v>
      </c>
      <c r="Z45" s="694" t="s">
        <v>145</v>
      </c>
    </row>
    <row r="46" spans="1:27" x14ac:dyDescent="0.15">
      <c r="A46" s="422"/>
      <c r="B46" s="719"/>
      <c r="C46" s="422" t="s">
        <v>122</v>
      </c>
      <c r="D46" s="422"/>
      <c r="E46" s="730">
        <f>E18/SUM(E6:E23)</f>
        <v>5.1000000000000004E-3</v>
      </c>
      <c r="F46" s="730">
        <f t="shared" ref="F46:O46" si="32">F18/SUM(F6:F23)</f>
        <v>1.5411303861219923E-2</v>
      </c>
      <c r="G46" s="730">
        <f t="shared" si="32"/>
        <v>4.0205446727185859E-2</v>
      </c>
      <c r="H46" s="730">
        <f>H18/SUM(H6:H23)</f>
        <v>0.10625000000000001</v>
      </c>
      <c r="I46" s="730">
        <f>I18/SUM(I6:I23)</f>
        <v>0.2567421790722762</v>
      </c>
      <c r="J46" s="730">
        <f t="shared" si="32"/>
        <v>0.41278414427954174</v>
      </c>
      <c r="K46" s="730">
        <f t="shared" si="32"/>
        <v>0.53668941979522189</v>
      </c>
      <c r="L46" s="730">
        <f t="shared" si="32"/>
        <v>0.65707709583433294</v>
      </c>
      <c r="M46" s="730">
        <f t="shared" si="32"/>
        <v>0.73509920828853481</v>
      </c>
      <c r="N46" s="730">
        <f t="shared" si="32"/>
        <v>0.81922282412561409</v>
      </c>
      <c r="O46" s="730">
        <f t="shared" si="32"/>
        <v>0.86925755944266947</v>
      </c>
      <c r="P46" s="730">
        <f>P18/(P6+P8+P13+P18+P23)</f>
        <v>0.86073355822343889</v>
      </c>
      <c r="Q46" s="730">
        <f t="shared" ref="Q46:Y46" si="33">Q18/(Q6+Q8+Q13+Q18+Q23)</f>
        <v>0.78882477606009194</v>
      </c>
      <c r="R46" s="730">
        <f t="shared" si="33"/>
        <v>0.74333495386300752</v>
      </c>
      <c r="S46" s="730">
        <f t="shared" si="33"/>
        <v>0.64633210204191338</v>
      </c>
      <c r="T46" s="730">
        <f t="shared" si="33"/>
        <v>0.54803161501323627</v>
      </c>
      <c r="U46" s="730">
        <f t="shared" si="33"/>
        <v>0.34731173914943575</v>
      </c>
      <c r="V46" s="730">
        <f t="shared" si="33"/>
        <v>0.22000072721738573</v>
      </c>
      <c r="W46" s="730">
        <f t="shared" si="33"/>
        <v>0.1393144404605762</v>
      </c>
      <c r="X46" s="730">
        <f t="shared" si="33"/>
        <v>8.8203153791284294E-2</v>
      </c>
      <c r="Y46" s="730">
        <f t="shared" si="33"/>
        <v>5.5836587229865224E-2</v>
      </c>
      <c r="Z46" s="694" t="s">
        <v>146</v>
      </c>
    </row>
    <row r="47" spans="1:27" x14ac:dyDescent="0.15">
      <c r="A47" s="422"/>
      <c r="B47" s="719"/>
      <c r="C47" s="422" t="s">
        <v>123</v>
      </c>
      <c r="D47" s="422"/>
      <c r="E47" s="730">
        <f>E23/SUM(E6:E23)</f>
        <v>4.7184478546569156E-18</v>
      </c>
      <c r="F47" s="730">
        <f t="shared" ref="F47:O47" si="34">F23/SUM(F6:F23)</f>
        <v>-7.9625069949634635E-4</v>
      </c>
      <c r="G47" s="730">
        <f t="shared" si="34"/>
        <v>-1.6922838031533871E-4</v>
      </c>
      <c r="H47" s="730">
        <f t="shared" si="34"/>
        <v>-1.4358877976190401E-3</v>
      </c>
      <c r="I47" s="730">
        <f t="shared" si="34"/>
        <v>-2.2283505463861972E-3</v>
      </c>
      <c r="J47" s="730">
        <f t="shared" si="34"/>
        <v>1.9255518204687118E-3</v>
      </c>
      <c r="K47" s="730">
        <f t="shared" si="34"/>
        <v>-9.306081882608162E-4</v>
      </c>
      <c r="L47" s="730">
        <f t="shared" si="34"/>
        <v>0</v>
      </c>
      <c r="M47" s="730">
        <f t="shared" si="34"/>
        <v>1.9263051292029161E-3</v>
      </c>
      <c r="N47" s="730">
        <f>N23/SUM(N6:N23)</f>
        <v>2.2070281936808853E-3</v>
      </c>
      <c r="O47" s="730">
        <f t="shared" si="34"/>
        <v>9.6584173271408863E-3</v>
      </c>
      <c r="P47" s="730">
        <f>P23/(P6+P8+P13+P18+P23)</f>
        <v>5.3795847388964868E-2</v>
      </c>
      <c r="Q47" s="730">
        <f t="shared" ref="Q47:Y47" si="35">Q23/(Q6+Q8+Q13+Q18+Q23)</f>
        <v>0.15664162879041379</v>
      </c>
      <c r="R47" s="730">
        <f t="shared" si="35"/>
        <v>0.22197221209464693</v>
      </c>
      <c r="S47" s="730">
        <f t="shared" si="35"/>
        <v>0.33163854353052263</v>
      </c>
      <c r="T47" s="730">
        <f t="shared" si="35"/>
        <v>0.43799681416919906</v>
      </c>
      <c r="U47" s="730">
        <f t="shared" si="35"/>
        <v>0.64383386189553182</v>
      </c>
      <c r="V47" s="730">
        <f t="shared" si="35"/>
        <v>0.77439055303720472</v>
      </c>
      <c r="W47" s="730">
        <f t="shared" si="35"/>
        <v>0.85713386376589196</v>
      </c>
      <c r="X47" s="730">
        <f t="shared" si="35"/>
        <v>0.90954818650411517</v>
      </c>
      <c r="Y47" s="730">
        <f t="shared" si="35"/>
        <v>0.94273990943324359</v>
      </c>
      <c r="Z47" s="694" t="s">
        <v>147</v>
      </c>
    </row>
    <row r="48" spans="1:27" x14ac:dyDescent="0.15">
      <c r="A48" s="422"/>
      <c r="B48" s="719"/>
      <c r="C48" s="695"/>
      <c r="D48" s="738"/>
      <c r="E48" s="422"/>
      <c r="F48" s="422"/>
      <c r="G48" s="730"/>
      <c r="H48" s="730"/>
      <c r="I48" s="730"/>
      <c r="J48" s="730"/>
      <c r="K48" s="730"/>
      <c r="L48" s="730"/>
      <c r="M48" s="730"/>
      <c r="N48" s="730"/>
      <c r="O48" s="730"/>
      <c r="P48" s="730"/>
      <c r="Q48" s="730"/>
      <c r="R48" s="730"/>
      <c r="S48" s="730"/>
      <c r="T48" s="730"/>
      <c r="U48" s="730"/>
      <c r="V48" s="730"/>
      <c r="W48" s="730"/>
      <c r="X48" s="730"/>
      <c r="Y48" s="730"/>
      <c r="Z48" s="730"/>
      <c r="AA48" s="730"/>
    </row>
    <row r="49" spans="1:27" x14ac:dyDescent="0.15">
      <c r="A49" s="422"/>
      <c r="B49" s="719"/>
      <c r="C49" s="695"/>
      <c r="D49" s="738"/>
      <c r="E49" s="422"/>
      <c r="F49" s="422"/>
      <c r="G49" s="730"/>
      <c r="H49" s="730"/>
      <c r="I49" s="730"/>
      <c r="J49" s="730"/>
      <c r="K49" s="730"/>
      <c r="L49" s="730"/>
      <c r="M49" s="730"/>
      <c r="N49" s="730"/>
      <c r="O49" s="730"/>
      <c r="P49" s="730"/>
      <c r="Q49" s="730"/>
      <c r="R49" s="730"/>
      <c r="S49" s="730"/>
      <c r="T49" s="730"/>
      <c r="U49" s="730"/>
      <c r="V49" s="730"/>
      <c r="W49" s="730"/>
      <c r="X49" s="730"/>
      <c r="Y49" s="730"/>
      <c r="Z49" s="730"/>
      <c r="AA49" s="730"/>
    </row>
    <row r="50" spans="1:27" x14ac:dyDescent="0.15">
      <c r="A50" s="422"/>
      <c r="B50" s="719"/>
    </row>
    <row r="51" spans="1:27" x14ac:dyDescent="0.15">
      <c r="A51" s="422"/>
      <c r="B51" s="719"/>
      <c r="C51" s="695"/>
      <c r="D51" s="738"/>
      <c r="E51" s="422"/>
      <c r="F51" s="422"/>
      <c r="G51" s="730"/>
      <c r="H51" s="730"/>
      <c r="I51" s="730"/>
      <c r="J51" s="730"/>
      <c r="K51" s="730"/>
      <c r="L51" s="730"/>
      <c r="M51" s="730"/>
      <c r="N51" s="730"/>
      <c r="O51" s="727"/>
      <c r="P51" s="727"/>
      <c r="Q51" s="730"/>
      <c r="R51" s="730"/>
      <c r="S51" s="730"/>
      <c r="T51" s="727"/>
      <c r="U51" s="727"/>
      <c r="V51" s="730"/>
      <c r="W51" s="730"/>
      <c r="X51" s="727"/>
      <c r="Y51" s="727"/>
      <c r="Z51" s="727"/>
      <c r="AA51" s="727"/>
    </row>
    <row r="52" spans="1:27" x14ac:dyDescent="0.15">
      <c r="A52" s="422"/>
      <c r="B52" s="719"/>
      <c r="C52" s="695"/>
      <c r="D52" s="738"/>
      <c r="E52" s="422"/>
      <c r="F52" s="422"/>
      <c r="G52" s="730"/>
      <c r="H52" s="730"/>
      <c r="I52" s="730"/>
      <c r="J52" s="727"/>
      <c r="K52" s="727"/>
      <c r="L52" s="730"/>
      <c r="M52" s="730"/>
      <c r="N52" s="727"/>
      <c r="O52" s="727"/>
      <c r="P52" s="727"/>
      <c r="Q52" s="730"/>
      <c r="R52" s="730"/>
      <c r="S52" s="730"/>
      <c r="T52" s="727"/>
      <c r="U52" s="727"/>
      <c r="V52" s="730"/>
      <c r="W52" s="730"/>
      <c r="X52" s="727"/>
      <c r="Y52" s="727"/>
      <c r="Z52" s="727"/>
      <c r="AA52" s="727"/>
    </row>
    <row r="53" spans="1:27" x14ac:dyDescent="0.15">
      <c r="A53" s="422"/>
      <c r="B53" s="719"/>
      <c r="C53" s="695"/>
      <c r="D53" s="738"/>
      <c r="E53" s="422"/>
      <c r="F53" s="422"/>
      <c r="G53" s="730"/>
      <c r="H53" s="730"/>
      <c r="I53" s="730"/>
      <c r="J53" s="727"/>
      <c r="K53" s="727"/>
      <c r="L53" s="730"/>
      <c r="M53" s="730"/>
      <c r="N53" s="727"/>
      <c r="O53" s="727"/>
      <c r="P53" s="727"/>
      <c r="Q53" s="730"/>
      <c r="R53" s="730"/>
      <c r="S53" s="730"/>
      <c r="T53" s="727"/>
      <c r="U53" s="727"/>
      <c r="V53" s="730"/>
      <c r="W53" s="730"/>
      <c r="X53" s="727"/>
      <c r="Y53" s="727"/>
      <c r="Z53" s="727"/>
      <c r="AA53" s="727"/>
    </row>
    <row r="54" spans="1:27" x14ac:dyDescent="0.15">
      <c r="A54" s="422"/>
      <c r="B54" s="719"/>
      <c r="C54" s="695"/>
      <c r="D54" s="738"/>
      <c r="E54" s="422"/>
      <c r="F54" s="702">
        <v>2010</v>
      </c>
      <c r="G54" s="702">
        <v>2011</v>
      </c>
      <c r="H54" s="702">
        <v>2012</v>
      </c>
      <c r="I54" s="702">
        <v>2013</v>
      </c>
      <c r="J54" s="702">
        <v>2014</v>
      </c>
      <c r="K54" s="702">
        <v>2015</v>
      </c>
      <c r="L54" s="702">
        <v>2016</v>
      </c>
      <c r="M54" s="702">
        <v>2017</v>
      </c>
      <c r="N54" s="702">
        <v>2018</v>
      </c>
      <c r="O54" s="702">
        <v>2019</v>
      </c>
      <c r="P54" s="702">
        <v>2020</v>
      </c>
      <c r="Q54" s="703">
        <v>2021</v>
      </c>
      <c r="R54" s="703">
        <v>2022</v>
      </c>
      <c r="S54" s="703">
        <v>2023</v>
      </c>
      <c r="T54" s="703">
        <v>2024</v>
      </c>
      <c r="U54" s="703">
        <v>2025</v>
      </c>
      <c r="V54" s="703">
        <v>2026</v>
      </c>
      <c r="W54" s="703">
        <v>2027</v>
      </c>
      <c r="X54" s="703">
        <v>2028</v>
      </c>
      <c r="Y54" s="703">
        <v>2029</v>
      </c>
      <c r="Z54" s="703">
        <v>2030</v>
      </c>
    </row>
    <row r="55" spans="1:27" x14ac:dyDescent="0.15">
      <c r="A55" s="694" t="s">
        <v>41</v>
      </c>
      <c r="C55" s="695" t="s">
        <v>224</v>
      </c>
      <c r="D55" s="739" t="s">
        <v>40</v>
      </c>
      <c r="E55" s="422"/>
      <c r="F55" s="740">
        <f>E6*12</f>
        <v>18.748235294117642</v>
      </c>
      <c r="G55" s="740">
        <f t="shared" ref="G55:P55" si="36">F6*12</f>
        <v>18.748235294117642</v>
      </c>
      <c r="H55" s="740">
        <f t="shared" si="36"/>
        <v>18.748235294117642</v>
      </c>
      <c r="I55" s="740">
        <f t="shared" si="36"/>
        <v>18.748235294117642</v>
      </c>
      <c r="J55" s="740">
        <f t="shared" si="36"/>
        <v>18.748235294117642</v>
      </c>
      <c r="K55" s="698">
        <f>J6*12</f>
        <v>18.748235294117642</v>
      </c>
      <c r="L55" s="740">
        <f t="shared" si="36"/>
        <v>18.748235294117642</v>
      </c>
      <c r="M55" s="740">
        <f>L6*12</f>
        <v>18.748235294117642</v>
      </c>
      <c r="N55" s="740">
        <f>M6*12</f>
        <v>18.748235294117642</v>
      </c>
      <c r="O55" s="740">
        <f>N6*12</f>
        <v>18.748235294117642</v>
      </c>
      <c r="P55" s="740">
        <f t="shared" si="36"/>
        <v>18.748235294117642</v>
      </c>
      <c r="Q55" s="740">
        <f t="shared" ref="Q55:Y55" si="37">P6*12</f>
        <v>18.748235294117642</v>
      </c>
      <c r="R55" s="740">
        <f t="shared" si="37"/>
        <v>18.748235294117642</v>
      </c>
      <c r="S55" s="740">
        <f t="shared" si="37"/>
        <v>18.748235294117642</v>
      </c>
      <c r="T55" s="740">
        <f t="shared" si="37"/>
        <v>18.748235294117642</v>
      </c>
      <c r="U55" s="740">
        <f t="shared" si="37"/>
        <v>18.748235294117642</v>
      </c>
      <c r="V55" s="740">
        <f t="shared" si="37"/>
        <v>18.748235294117642</v>
      </c>
      <c r="W55" s="740">
        <f t="shared" si="37"/>
        <v>18.748235294117642</v>
      </c>
      <c r="X55" s="740">
        <f t="shared" si="37"/>
        <v>18.748235294117642</v>
      </c>
      <c r="Y55" s="740">
        <f t="shared" si="37"/>
        <v>18.748235294117642</v>
      </c>
      <c r="Z55" s="740">
        <f>Y6*12</f>
        <v>18.748235294117642</v>
      </c>
      <c r="AA55" s="695" t="s">
        <v>45</v>
      </c>
    </row>
    <row r="56" spans="1:27" x14ac:dyDescent="0.15">
      <c r="C56" s="695"/>
      <c r="D56" s="739"/>
      <c r="E56" s="422"/>
      <c r="F56" s="740"/>
      <c r="G56" s="740"/>
      <c r="H56" s="740"/>
      <c r="I56" s="740"/>
      <c r="J56" s="740"/>
      <c r="K56" s="698"/>
      <c r="L56" s="740"/>
      <c r="M56" s="740"/>
      <c r="N56" s="740"/>
      <c r="O56" s="740"/>
      <c r="P56" s="740"/>
      <c r="Q56" s="740"/>
      <c r="R56" s="740"/>
      <c r="S56" s="740"/>
      <c r="T56" s="740"/>
      <c r="U56" s="740"/>
      <c r="V56" s="740"/>
      <c r="W56" s="740"/>
      <c r="X56" s="740"/>
      <c r="Y56" s="740"/>
      <c r="Z56" s="740"/>
      <c r="AA56" s="695"/>
    </row>
    <row r="57" spans="1:27" x14ac:dyDescent="0.15">
      <c r="A57" s="694" t="s">
        <v>41</v>
      </c>
      <c r="C57" s="695" t="s">
        <v>225</v>
      </c>
      <c r="D57" s="739" t="s">
        <v>40</v>
      </c>
      <c r="E57" s="422"/>
      <c r="F57" s="740">
        <f>E8*12</f>
        <v>1.8048000000000002</v>
      </c>
      <c r="G57" s="740">
        <f>F8*12</f>
        <v>2.2232880000000002</v>
      </c>
      <c r="H57" s="740">
        <f>G8*12</f>
        <v>2.7050003999999999</v>
      </c>
      <c r="I57" s="740">
        <f t="shared" ref="I57:N57" si="38">H8*12</f>
        <v>3.5104894079999998</v>
      </c>
      <c r="J57" s="740">
        <f>I8*12</f>
        <v>4.4846502187199997</v>
      </c>
      <c r="K57" s="698">
        <f>J8*12</f>
        <v>5.4952981787243997</v>
      </c>
      <c r="L57" s="740">
        <f t="shared" si="38"/>
        <v>6.3160852683977033</v>
      </c>
      <c r="M57" s="740">
        <f t="shared" si="38"/>
        <v>6.9784206965431927</v>
      </c>
      <c r="N57" s="740">
        <f t="shared" si="38"/>
        <v>8.0489104313929172</v>
      </c>
      <c r="O57" s="740">
        <f>N8*12</f>
        <v>9.2836132915685923</v>
      </c>
      <c r="P57" s="740">
        <f>O8*12</f>
        <v>10.602310655999947</v>
      </c>
      <c r="Q57" s="740">
        <f>P8*12</f>
        <v>12.563738127360001</v>
      </c>
      <c r="R57" s="740">
        <f t="shared" ref="R57:Y57" si="39">Q8*12</f>
        <v>12.563738127360001</v>
      </c>
      <c r="S57" s="740">
        <f t="shared" si="39"/>
        <v>12.563738127360001</v>
      </c>
      <c r="T57" s="740">
        <f t="shared" si="39"/>
        <v>12.563738127360001</v>
      </c>
      <c r="U57" s="740">
        <f>T8*12</f>
        <v>12.563738127360001</v>
      </c>
      <c r="V57" s="740">
        <f t="shared" si="39"/>
        <v>12.563738127360001</v>
      </c>
      <c r="W57" s="740">
        <f t="shared" si="39"/>
        <v>12.563738127360001</v>
      </c>
      <c r="X57" s="740">
        <f t="shared" si="39"/>
        <v>12.563738127360001</v>
      </c>
      <c r="Y57" s="740">
        <f t="shared" si="39"/>
        <v>12.563738127360001</v>
      </c>
      <c r="Z57" s="740">
        <f>Y8*12</f>
        <v>12.563738127360001</v>
      </c>
      <c r="AA57" s="695" t="s">
        <v>104</v>
      </c>
    </row>
    <row r="58" spans="1:27" x14ac:dyDescent="0.15">
      <c r="C58" s="422" t="s">
        <v>55</v>
      </c>
      <c r="D58" s="739"/>
      <c r="E58" s="422"/>
      <c r="F58" s="740"/>
      <c r="G58" s="740"/>
      <c r="H58" s="740"/>
      <c r="I58" s="740"/>
      <c r="J58" s="740"/>
      <c r="K58" s="698"/>
      <c r="L58" s="740"/>
      <c r="M58" s="740"/>
      <c r="N58" s="740"/>
      <c r="O58" s="740"/>
      <c r="P58" s="740"/>
      <c r="Q58" s="720">
        <f t="shared" ref="Q58:Z58" si="40">P9*12</f>
        <v>11.087999999999999</v>
      </c>
      <c r="R58" s="720">
        <f t="shared" si="40"/>
        <v>11.087999999999999</v>
      </c>
      <c r="S58" s="720">
        <f t="shared" si="40"/>
        <v>11.087999999999999</v>
      </c>
      <c r="T58" s="720">
        <f t="shared" si="40"/>
        <v>11.087999999999999</v>
      </c>
      <c r="U58" s="720">
        <f t="shared" si="40"/>
        <v>11.087999999999999</v>
      </c>
      <c r="V58" s="720">
        <f t="shared" si="40"/>
        <v>11.087999999999999</v>
      </c>
      <c r="W58" s="720">
        <f t="shared" si="40"/>
        <v>11.087999999999999</v>
      </c>
      <c r="X58" s="720">
        <f t="shared" si="40"/>
        <v>11.087999999999999</v>
      </c>
      <c r="Y58" s="720">
        <f t="shared" si="40"/>
        <v>11.087999999999999</v>
      </c>
      <c r="Z58" s="720">
        <f t="shared" si="40"/>
        <v>11.087999999999999</v>
      </c>
      <c r="AA58" s="695"/>
    </row>
    <row r="59" spans="1:27" x14ac:dyDescent="0.15">
      <c r="C59" s="422" t="s">
        <v>16</v>
      </c>
      <c r="D59" s="739"/>
      <c r="E59" s="422"/>
      <c r="F59" s="740"/>
      <c r="G59" s="740"/>
      <c r="H59" s="740"/>
      <c r="I59" s="740"/>
      <c r="J59" s="740"/>
      <c r="K59" s="698"/>
      <c r="L59" s="740"/>
      <c r="M59" s="740"/>
      <c r="N59" s="740"/>
      <c r="O59" s="740"/>
      <c r="P59" s="740"/>
      <c r="Q59" s="712">
        <f>P10*12</f>
        <v>11.879999999999999</v>
      </c>
      <c r="R59" s="712">
        <f t="shared" ref="R59:Z59" si="41">Q10*12</f>
        <v>11.879999999999999</v>
      </c>
      <c r="S59" s="712">
        <f t="shared" si="41"/>
        <v>11.879999999999999</v>
      </c>
      <c r="T59" s="712">
        <f>S10*12</f>
        <v>11.879999999999999</v>
      </c>
      <c r="U59" s="712">
        <f>T10*12</f>
        <v>11.879999999999999</v>
      </c>
      <c r="V59" s="712">
        <f>U10*12</f>
        <v>11.879999999999999</v>
      </c>
      <c r="W59" s="712">
        <f t="shared" si="41"/>
        <v>11.879999999999999</v>
      </c>
      <c r="X59" s="712">
        <f t="shared" si="41"/>
        <v>11.879999999999999</v>
      </c>
      <c r="Y59" s="712">
        <f t="shared" si="41"/>
        <v>11.879999999999999</v>
      </c>
      <c r="Z59" s="712">
        <f t="shared" si="41"/>
        <v>11.879999999999999</v>
      </c>
      <c r="AA59" s="695"/>
    </row>
    <row r="60" spans="1:27" x14ac:dyDescent="0.15">
      <c r="C60" s="422" t="s">
        <v>56</v>
      </c>
      <c r="D60" s="739"/>
      <c r="E60" s="422"/>
      <c r="F60" s="740"/>
      <c r="G60" s="740"/>
      <c r="H60" s="740"/>
      <c r="I60" s="740"/>
      <c r="J60" s="740"/>
      <c r="K60" s="698"/>
      <c r="L60" s="740"/>
      <c r="M60" s="740"/>
      <c r="N60" s="740"/>
      <c r="O60" s="740"/>
      <c r="P60" s="740"/>
      <c r="Q60" s="722">
        <f t="shared" ref="Q60:Z60" si="42">P11*12</f>
        <v>12.672000000000001</v>
      </c>
      <c r="R60" s="722">
        <f t="shared" si="42"/>
        <v>12.672000000000001</v>
      </c>
      <c r="S60" s="722">
        <f t="shared" si="42"/>
        <v>12.672000000000001</v>
      </c>
      <c r="T60" s="722">
        <f t="shared" si="42"/>
        <v>12.672000000000001</v>
      </c>
      <c r="U60" s="722">
        <f t="shared" si="42"/>
        <v>12.672000000000001</v>
      </c>
      <c r="V60" s="722">
        <f t="shared" si="42"/>
        <v>12.672000000000001</v>
      </c>
      <c r="W60" s="722">
        <f t="shared" si="42"/>
        <v>12.672000000000001</v>
      </c>
      <c r="X60" s="722">
        <f t="shared" si="42"/>
        <v>12.672000000000001</v>
      </c>
      <c r="Y60" s="722">
        <f t="shared" si="42"/>
        <v>12.672000000000001</v>
      </c>
      <c r="Z60" s="722">
        <f t="shared" si="42"/>
        <v>12.672000000000001</v>
      </c>
      <c r="AA60" s="695"/>
    </row>
    <row r="61" spans="1:27" x14ac:dyDescent="0.15">
      <c r="C61" s="422"/>
      <c r="D61" s="739"/>
      <c r="E61" s="422"/>
      <c r="F61" s="740"/>
      <c r="G61" s="740"/>
      <c r="H61" s="740"/>
      <c r="I61" s="740"/>
      <c r="J61" s="740"/>
      <c r="K61" s="698"/>
      <c r="L61" s="740"/>
      <c r="M61" s="740"/>
      <c r="N61" s="740"/>
      <c r="O61" s="740"/>
      <c r="P61" s="740"/>
      <c r="Q61" s="740"/>
      <c r="R61" s="740"/>
      <c r="S61" s="740"/>
      <c r="T61" s="740"/>
      <c r="U61" s="740"/>
      <c r="V61" s="740"/>
      <c r="W61" s="740"/>
      <c r="X61" s="740"/>
      <c r="Y61" s="740"/>
      <c r="Z61" s="740"/>
      <c r="AA61" s="695"/>
    </row>
    <row r="62" spans="1:27" x14ac:dyDescent="0.15">
      <c r="C62" s="695" t="s">
        <v>226</v>
      </c>
      <c r="D62" s="739" t="s">
        <v>40</v>
      </c>
      <c r="E62" s="422"/>
      <c r="F62" s="740">
        <f>E13*12</f>
        <v>1.92</v>
      </c>
      <c r="G62" s="740">
        <f>F13*12</f>
        <v>3.8879999999999999</v>
      </c>
      <c r="H62" s="740">
        <f t="shared" ref="H62:Z62" si="43">G13*12</f>
        <v>6.9120000000000008</v>
      </c>
      <c r="I62" s="740">
        <f t="shared" si="43"/>
        <v>11.712</v>
      </c>
      <c r="J62" s="740">
        <f t="shared" si="43"/>
        <v>15.791999999999998</v>
      </c>
      <c r="K62" s="698">
        <f>J13*12</f>
        <v>19.740000000000002</v>
      </c>
      <c r="L62" s="740">
        <f t="shared" si="43"/>
        <v>24.864000000000001</v>
      </c>
      <c r="M62" s="740">
        <f>L13*12</f>
        <v>26.879999999999995</v>
      </c>
      <c r="N62" s="740">
        <f t="shared" si="43"/>
        <v>33.976320000000001</v>
      </c>
      <c r="O62" s="740">
        <f>N13*12</f>
        <v>35.229196799999997</v>
      </c>
      <c r="P62" s="740">
        <f t="shared" si="43"/>
        <v>37.108087296000008</v>
      </c>
      <c r="Q62" s="740">
        <f>P13*12</f>
        <v>41.879127091200004</v>
      </c>
      <c r="R62" s="740">
        <f t="shared" si="43"/>
        <v>41.879127091200004</v>
      </c>
      <c r="S62" s="740">
        <f t="shared" si="43"/>
        <v>41.879127091200004</v>
      </c>
      <c r="T62" s="740">
        <f t="shared" si="43"/>
        <v>41.879127091200004</v>
      </c>
      <c r="U62" s="740">
        <f t="shared" si="43"/>
        <v>41.879127091200004</v>
      </c>
      <c r="V62" s="740">
        <f t="shared" si="43"/>
        <v>41.879127091200004</v>
      </c>
      <c r="W62" s="740">
        <f t="shared" si="43"/>
        <v>41.879127091200004</v>
      </c>
      <c r="X62" s="740">
        <f t="shared" si="43"/>
        <v>41.879127091200004</v>
      </c>
      <c r="Y62" s="740">
        <f t="shared" si="43"/>
        <v>41.879127091200004</v>
      </c>
      <c r="Z62" s="740">
        <f t="shared" si="43"/>
        <v>41.879127091200004</v>
      </c>
      <c r="AA62" s="695" t="s">
        <v>103</v>
      </c>
    </row>
    <row r="63" spans="1:27" x14ac:dyDescent="0.15">
      <c r="C63" s="422" t="s">
        <v>55</v>
      </c>
      <c r="D63" s="739"/>
      <c r="E63" s="422"/>
      <c r="F63" s="740"/>
      <c r="G63" s="740"/>
      <c r="H63" s="740"/>
      <c r="I63" s="740"/>
      <c r="J63" s="740"/>
      <c r="K63" s="698"/>
      <c r="L63" s="740"/>
      <c r="M63" s="740"/>
      <c r="N63" s="740"/>
      <c r="O63" s="740"/>
      <c r="P63" s="740"/>
      <c r="Q63" s="720">
        <f t="shared" ref="Q63:Z65" si="44">P14*12</f>
        <v>36.96</v>
      </c>
      <c r="R63" s="720">
        <f t="shared" si="44"/>
        <v>36.96</v>
      </c>
      <c r="S63" s="720">
        <f t="shared" si="44"/>
        <v>36.96</v>
      </c>
      <c r="T63" s="720">
        <f t="shared" si="44"/>
        <v>36.96</v>
      </c>
      <c r="U63" s="720">
        <f t="shared" si="44"/>
        <v>36.96</v>
      </c>
      <c r="V63" s="720">
        <f t="shared" si="44"/>
        <v>36.96</v>
      </c>
      <c r="W63" s="720">
        <f t="shared" si="44"/>
        <v>36.96</v>
      </c>
      <c r="X63" s="720">
        <f t="shared" si="44"/>
        <v>36.96</v>
      </c>
      <c r="Y63" s="720">
        <f t="shared" si="44"/>
        <v>36.96</v>
      </c>
      <c r="Z63" s="720">
        <f t="shared" si="44"/>
        <v>36.96</v>
      </c>
      <c r="AA63" s="695"/>
    </row>
    <row r="64" spans="1:27" x14ac:dyDescent="0.15">
      <c r="C64" s="422" t="s">
        <v>16</v>
      </c>
      <c r="D64" s="739"/>
      <c r="E64" s="422"/>
      <c r="F64" s="740"/>
      <c r="G64" s="740"/>
      <c r="H64" s="740"/>
      <c r="I64" s="740"/>
      <c r="J64" s="740"/>
      <c r="K64" s="698"/>
      <c r="L64" s="740"/>
      <c r="M64" s="740"/>
      <c r="N64" s="740"/>
      <c r="O64" s="740"/>
      <c r="P64" s="740"/>
      <c r="Q64" s="721">
        <f t="shared" si="44"/>
        <v>39.6</v>
      </c>
      <c r="R64" s="721">
        <f t="shared" si="44"/>
        <v>39.6</v>
      </c>
      <c r="S64" s="721">
        <f t="shared" si="44"/>
        <v>39.6</v>
      </c>
      <c r="T64" s="721">
        <f t="shared" si="44"/>
        <v>39.6</v>
      </c>
      <c r="U64" s="721">
        <f>T15*12</f>
        <v>39.6</v>
      </c>
      <c r="V64" s="721">
        <f t="shared" si="44"/>
        <v>39.6</v>
      </c>
      <c r="W64" s="721">
        <f t="shared" si="44"/>
        <v>39.6</v>
      </c>
      <c r="X64" s="721">
        <f t="shared" si="44"/>
        <v>39.6</v>
      </c>
      <c r="Y64" s="721">
        <f t="shared" si="44"/>
        <v>39.6</v>
      </c>
      <c r="Z64" s="721">
        <f t="shared" si="44"/>
        <v>39.6</v>
      </c>
      <c r="AA64" s="695"/>
    </row>
    <row r="65" spans="1:31" x14ac:dyDescent="0.15">
      <c r="C65" s="422" t="s">
        <v>56</v>
      </c>
      <c r="D65" s="739"/>
      <c r="E65" s="422"/>
      <c r="F65" s="740"/>
      <c r="G65" s="740"/>
      <c r="H65" s="740"/>
      <c r="I65" s="740"/>
      <c r="J65" s="740"/>
      <c r="K65" s="698"/>
      <c r="L65" s="740"/>
      <c r="M65" s="740"/>
      <c r="N65" s="740"/>
      <c r="O65" s="740"/>
      <c r="P65" s="740"/>
      <c r="Q65" s="722">
        <f t="shared" si="44"/>
        <v>42.240000000000009</v>
      </c>
      <c r="R65" s="722">
        <f t="shared" si="44"/>
        <v>42.240000000000009</v>
      </c>
      <c r="S65" s="722">
        <f t="shared" si="44"/>
        <v>42.240000000000009</v>
      </c>
      <c r="T65" s="722">
        <f t="shared" si="44"/>
        <v>42.240000000000009</v>
      </c>
      <c r="U65" s="722">
        <f t="shared" si="44"/>
        <v>42.240000000000009</v>
      </c>
      <c r="V65" s="722">
        <f t="shared" si="44"/>
        <v>42.240000000000009</v>
      </c>
      <c r="W65" s="722">
        <f t="shared" si="44"/>
        <v>42.240000000000009</v>
      </c>
      <c r="X65" s="722">
        <f t="shared" si="44"/>
        <v>42.240000000000009</v>
      </c>
      <c r="Y65" s="722">
        <f t="shared" si="44"/>
        <v>42.240000000000009</v>
      </c>
      <c r="Z65" s="722">
        <f>Y16*12</f>
        <v>42.240000000000009</v>
      </c>
      <c r="AA65" s="695"/>
    </row>
    <row r="66" spans="1:31" x14ac:dyDescent="0.15">
      <c r="C66" s="422"/>
      <c r="D66" s="739"/>
      <c r="E66" s="422"/>
      <c r="F66" s="740"/>
      <c r="G66" s="740"/>
      <c r="H66" s="740"/>
      <c r="I66" s="740"/>
      <c r="J66" s="740"/>
      <c r="K66" s="698"/>
      <c r="L66" s="740"/>
      <c r="M66" s="740"/>
      <c r="N66" s="740"/>
      <c r="O66" s="740"/>
      <c r="P66" s="740"/>
      <c r="Q66" s="740"/>
      <c r="R66" s="740"/>
      <c r="S66" s="740"/>
      <c r="T66" s="740"/>
      <c r="U66" s="740"/>
      <c r="V66" s="740"/>
      <c r="W66" s="740"/>
      <c r="X66" s="740"/>
      <c r="Y66" s="740"/>
      <c r="Z66" s="740"/>
      <c r="AA66" s="695"/>
    </row>
    <row r="67" spans="1:31" x14ac:dyDescent="0.15">
      <c r="A67" s="694" t="s">
        <v>41</v>
      </c>
      <c r="C67" s="695" t="s">
        <v>227</v>
      </c>
      <c r="D67" s="739" t="s">
        <v>40</v>
      </c>
      <c r="E67" s="422"/>
      <c r="F67" s="740">
        <f>E18*12</f>
        <v>0.1152</v>
      </c>
      <c r="G67" s="740">
        <f t="shared" ref="G67:O67" si="45">F18*12</f>
        <v>0.38879999999999998</v>
      </c>
      <c r="H67" s="740">
        <f t="shared" si="45"/>
        <v>1.1880000000000002</v>
      </c>
      <c r="I67" s="740">
        <f t="shared" si="45"/>
        <v>4.032</v>
      </c>
      <c r="J67" s="740">
        <f t="shared" si="45"/>
        <v>13.439999999999998</v>
      </c>
      <c r="K67" s="698">
        <f>J18*12</f>
        <v>31.020000000000003</v>
      </c>
      <c r="L67" s="740">
        <f t="shared" si="45"/>
        <v>57.720000000000006</v>
      </c>
      <c r="M67" s="740">
        <f t="shared" si="45"/>
        <v>100.79999999999998</v>
      </c>
      <c r="N67" s="740">
        <f t="shared" si="45"/>
        <v>169.88159999999999</v>
      </c>
      <c r="O67" s="740">
        <f t="shared" si="45"/>
        <v>290.22147840000002</v>
      </c>
      <c r="P67" s="740">
        <f>O18*12</f>
        <v>477.10397952000005</v>
      </c>
      <c r="Q67" s="740">
        <f t="shared" ref="Q67:Z67" si="46">P18*12</f>
        <v>737.07263680512006</v>
      </c>
      <c r="R67" s="740">
        <f t="shared" si="46"/>
        <v>1058.7043328655361</v>
      </c>
      <c r="S67" s="740">
        <f t="shared" si="46"/>
        <v>1568.2057930570754</v>
      </c>
      <c r="T67" s="740">
        <f t="shared" si="46"/>
        <v>2147.3964659594885</v>
      </c>
      <c r="U67" s="740">
        <f>T18*12</f>
        <v>2870.9038906443016</v>
      </c>
      <c r="V67" s="740">
        <f t="shared" si="46"/>
        <v>2870.9038906443016</v>
      </c>
      <c r="W67" s="740">
        <f t="shared" si="46"/>
        <v>2870.9038906443016</v>
      </c>
      <c r="X67" s="740">
        <f t="shared" si="46"/>
        <v>2870.9038906443016</v>
      </c>
      <c r="Y67" s="740">
        <f t="shared" si="46"/>
        <v>2870.9038906443016</v>
      </c>
      <c r="Z67" s="740">
        <f t="shared" si="46"/>
        <v>2870.9038906443016</v>
      </c>
      <c r="AA67" s="695" t="s">
        <v>57</v>
      </c>
    </row>
    <row r="68" spans="1:31" x14ac:dyDescent="0.15">
      <c r="C68" s="422" t="s">
        <v>55</v>
      </c>
      <c r="D68" s="739"/>
      <c r="E68" s="422"/>
      <c r="F68" s="740"/>
      <c r="G68" s="740"/>
      <c r="H68" s="740"/>
      <c r="I68" s="740"/>
      <c r="J68" s="740"/>
      <c r="K68" s="698"/>
      <c r="L68" s="740"/>
      <c r="M68" s="740"/>
      <c r="N68" s="740"/>
      <c r="O68" s="740"/>
      <c r="P68" s="740"/>
      <c r="Q68" s="720">
        <f>P19*12</f>
        <v>650.49599999999998</v>
      </c>
      <c r="R68" s="720">
        <f t="shared" ref="R68:Z68" si="47">Q19*12</f>
        <v>827.90399999999988</v>
      </c>
      <c r="S68" s="720">
        <f t="shared" si="47"/>
        <v>1086.6239999999996</v>
      </c>
      <c r="T68" s="720">
        <f t="shared" si="47"/>
        <v>1318.4371199999996</v>
      </c>
      <c r="U68" s="720">
        <f t="shared" si="47"/>
        <v>1561.8408959999995</v>
      </c>
      <c r="V68" s="720">
        <f t="shared" si="47"/>
        <v>1561.8408959999995</v>
      </c>
      <c r="W68" s="720">
        <f t="shared" si="47"/>
        <v>1561.8408959999995</v>
      </c>
      <c r="X68" s="720">
        <f t="shared" si="47"/>
        <v>1561.8408959999995</v>
      </c>
      <c r="Y68" s="720">
        <f t="shared" si="47"/>
        <v>1561.8408959999995</v>
      </c>
      <c r="Z68" s="720">
        <f t="shared" si="47"/>
        <v>1561.8408959999995</v>
      </c>
      <c r="AA68" s="695"/>
    </row>
    <row r="69" spans="1:31" x14ac:dyDescent="0.15">
      <c r="C69" s="422" t="s">
        <v>16</v>
      </c>
      <c r="D69" s="739"/>
      <c r="E69" s="422"/>
      <c r="F69" s="740"/>
      <c r="G69" s="740"/>
      <c r="H69" s="740"/>
      <c r="I69" s="740"/>
      <c r="J69" s="740"/>
      <c r="K69" s="698"/>
      <c r="L69" s="740"/>
      <c r="M69" s="740"/>
      <c r="N69" s="740"/>
      <c r="O69" s="740"/>
      <c r="P69" s="740"/>
      <c r="Q69" s="721">
        <f>P20*12</f>
        <v>696.96</v>
      </c>
      <c r="R69" s="721">
        <f t="shared" ref="R69:Z69" si="48">Q20*12</f>
        <v>950.40000000000009</v>
      </c>
      <c r="S69" s="721">
        <f t="shared" si="48"/>
        <v>1336.5</v>
      </c>
      <c r="T69" s="721">
        <f t="shared" si="48"/>
        <v>1737.4499999999998</v>
      </c>
      <c r="U69" s="721">
        <f>T20*12</f>
        <v>2205.2250000000004</v>
      </c>
      <c r="V69" s="721">
        <f>U20*12</f>
        <v>2205.2250000000004</v>
      </c>
      <c r="W69" s="721">
        <f t="shared" si="48"/>
        <v>2205.2250000000004</v>
      </c>
      <c r="X69" s="721">
        <f t="shared" si="48"/>
        <v>2205.2250000000004</v>
      </c>
      <c r="Y69" s="721">
        <f t="shared" si="48"/>
        <v>2205.2250000000004</v>
      </c>
      <c r="Z69" s="721">
        <f t="shared" si="48"/>
        <v>2205.2250000000004</v>
      </c>
      <c r="AA69" s="695"/>
    </row>
    <row r="70" spans="1:31" x14ac:dyDescent="0.15">
      <c r="C70" s="422" t="s">
        <v>56</v>
      </c>
      <c r="D70" s="739"/>
      <c r="E70" s="422"/>
      <c r="F70" s="740"/>
      <c r="G70" s="740"/>
      <c r="H70" s="740"/>
      <c r="I70" s="740"/>
      <c r="J70" s="740"/>
      <c r="K70" s="698"/>
      <c r="L70" s="740"/>
      <c r="M70" s="740"/>
      <c r="N70" s="740"/>
      <c r="O70" s="740"/>
      <c r="P70" s="740"/>
      <c r="Q70" s="722">
        <f t="shared" ref="Q70:Z70" si="49">P21*12</f>
        <v>743.42400000000009</v>
      </c>
      <c r="R70" s="722">
        <f t="shared" si="49"/>
        <v>1081.3440000000003</v>
      </c>
      <c r="S70" s="722">
        <f t="shared" si="49"/>
        <v>1622.0160000000005</v>
      </c>
      <c r="T70" s="722">
        <f t="shared" si="49"/>
        <v>2249.1955200000007</v>
      </c>
      <c r="U70" s="722">
        <f t="shared" si="49"/>
        <v>3045.0647040000013</v>
      </c>
      <c r="V70" s="722">
        <f t="shared" si="49"/>
        <v>3045.0647040000013</v>
      </c>
      <c r="W70" s="722">
        <f t="shared" si="49"/>
        <v>3045.0647040000013</v>
      </c>
      <c r="X70" s="722">
        <f t="shared" si="49"/>
        <v>3045.0647040000013</v>
      </c>
      <c r="Y70" s="722">
        <f t="shared" si="49"/>
        <v>3045.0647040000013</v>
      </c>
      <c r="Z70" s="722">
        <f t="shared" si="49"/>
        <v>3045.0647040000013</v>
      </c>
      <c r="AA70" s="695"/>
    </row>
    <row r="71" spans="1:31" x14ac:dyDescent="0.15">
      <c r="C71" s="422"/>
      <c r="D71" s="739"/>
      <c r="E71" s="422"/>
      <c r="F71" s="740"/>
      <c r="G71" s="740"/>
      <c r="H71" s="740"/>
      <c r="I71" s="740"/>
      <c r="J71" s="740"/>
      <c r="K71" s="698"/>
      <c r="L71" s="740"/>
      <c r="M71" s="740"/>
      <c r="N71" s="740"/>
      <c r="O71" s="740"/>
      <c r="P71" s="740"/>
      <c r="Q71" s="740"/>
      <c r="R71" s="740"/>
      <c r="S71" s="740"/>
      <c r="T71" s="740"/>
      <c r="U71" s="740"/>
      <c r="V71" s="740"/>
      <c r="W71" s="740"/>
      <c r="X71" s="740"/>
      <c r="Y71" s="740"/>
      <c r="Z71" s="740"/>
      <c r="AA71" s="695"/>
    </row>
    <row r="72" spans="1:31" x14ac:dyDescent="0.15">
      <c r="A72" s="422"/>
      <c r="C72" s="695" t="s">
        <v>228</v>
      </c>
      <c r="D72" s="739" t="s">
        <v>40</v>
      </c>
      <c r="E72" s="422"/>
      <c r="F72" s="708">
        <f t="shared" ref="F72:X72" si="50">E23*12</f>
        <v>1.0658141036401502E-16</v>
      </c>
      <c r="G72" s="708">
        <f t="shared" si="50"/>
        <v>-2.0087999999999589E-2</v>
      </c>
      <c r="H72" s="708">
        <f t="shared" si="50"/>
        <v>-5.000400000000055E-3</v>
      </c>
      <c r="I72" s="708">
        <f t="shared" si="50"/>
        <v>-5.4489407999999712E-2</v>
      </c>
      <c r="J72" s="708">
        <f t="shared" si="50"/>
        <v>-0.11665021872000025</v>
      </c>
      <c r="K72" s="707">
        <f t="shared" si="50"/>
        <v>0.14470182127559933</v>
      </c>
      <c r="L72" s="707"/>
      <c r="M72" s="707"/>
      <c r="N72" s="707">
        <f t="shared" si="50"/>
        <v>0.44516956860705953</v>
      </c>
      <c r="O72" s="708">
        <f t="shared" si="50"/>
        <v>0.78187150843142772</v>
      </c>
      <c r="P72" s="708">
        <f t="shared" si="50"/>
        <v>5.3011553280000641</v>
      </c>
      <c r="Q72" s="708">
        <f t="shared" si="50"/>
        <v>46.067039800319947</v>
      </c>
      <c r="R72" s="708">
        <f t="shared" si="50"/>
        <v>210.23321799782397</v>
      </c>
      <c r="S72" s="708">
        <f t="shared" si="50"/>
        <v>468.29239913379843</v>
      </c>
      <c r="T72" s="708">
        <f t="shared" si="50"/>
        <v>1101.8475395288569</v>
      </c>
      <c r="U72" s="708">
        <f t="shared" si="50"/>
        <v>2294.4784998540499</v>
      </c>
      <c r="V72" s="708">
        <f t="shared" si="50"/>
        <v>5321.977148169859</v>
      </c>
      <c r="W72" s="708">
        <f t="shared" si="50"/>
        <v>10105.425012508837</v>
      </c>
      <c r="X72" s="708">
        <f t="shared" si="50"/>
        <v>17663.272638164424</v>
      </c>
      <c r="Y72" s="708">
        <f>X23*12</f>
        <v>29604.671886700256</v>
      </c>
      <c r="Z72" s="708">
        <f>Y23*12</f>
        <v>48472.082699386861</v>
      </c>
      <c r="AA72" s="695" t="s">
        <v>58</v>
      </c>
    </row>
    <row r="73" spans="1:31" x14ac:dyDescent="0.15">
      <c r="A73" s="422"/>
      <c r="C73" s="422" t="s">
        <v>55</v>
      </c>
      <c r="D73" s="422"/>
      <c r="E73" s="422"/>
      <c r="F73" s="708"/>
      <c r="G73" s="708"/>
      <c r="H73" s="708"/>
      <c r="I73" s="708"/>
      <c r="J73" s="708"/>
      <c r="K73" s="707"/>
      <c r="L73" s="708"/>
      <c r="M73" s="708"/>
      <c r="N73" s="708"/>
      <c r="O73" s="708"/>
      <c r="P73" s="708"/>
      <c r="Q73" s="720">
        <f t="shared" ref="Q73:Y73" si="51">P24*12</f>
        <v>40.655999999999949</v>
      </c>
      <c r="R73" s="720">
        <f t="shared" si="51"/>
        <v>164.40182278481004</v>
      </c>
      <c r="S73" s="720">
        <f t="shared" si="51"/>
        <v>324.48404550552777</v>
      </c>
      <c r="T73" s="720">
        <f t="shared" si="51"/>
        <v>676.50139120742949</v>
      </c>
      <c r="U73" s="720">
        <f t="shared" si="51"/>
        <v>1248.2515934243042</v>
      </c>
      <c r="V73" s="720">
        <f t="shared" si="51"/>
        <v>2565.4413515405222</v>
      </c>
      <c r="W73" s="720">
        <f t="shared" si="51"/>
        <v>4316.3297712991953</v>
      </c>
      <c r="X73" s="720">
        <f t="shared" si="51"/>
        <v>6685.0114461476387</v>
      </c>
      <c r="Y73" s="720">
        <f t="shared" si="51"/>
        <v>9928.0094884423106</v>
      </c>
      <c r="Z73" s="720">
        <f>Y24*12</f>
        <v>14403.384707471043</v>
      </c>
      <c r="AA73" s="695"/>
    </row>
    <row r="74" spans="1:31" x14ac:dyDescent="0.15">
      <c r="A74" s="422"/>
      <c r="C74" s="422" t="s">
        <v>16</v>
      </c>
      <c r="D74" s="422"/>
      <c r="E74" s="422"/>
      <c r="F74" s="708"/>
      <c r="G74" s="708"/>
      <c r="H74" s="708"/>
      <c r="I74" s="708"/>
      <c r="J74" s="708"/>
      <c r="K74" s="707"/>
      <c r="L74" s="708"/>
      <c r="M74" s="708"/>
      <c r="N74" s="708"/>
      <c r="O74" s="708"/>
      <c r="P74" s="708"/>
      <c r="Q74" s="721">
        <f t="shared" ref="Q74:Y74" si="52">P25*12</f>
        <v>43.559999999999953</v>
      </c>
      <c r="R74" s="721">
        <f t="shared" si="52"/>
        <v>188.72658227848098</v>
      </c>
      <c r="S74" s="721">
        <f t="shared" si="52"/>
        <v>399.10118570741861</v>
      </c>
      <c r="T74" s="721">
        <f t="shared" si="52"/>
        <v>891.50049276020752</v>
      </c>
      <c r="U74" s="721">
        <f t="shared" si="52"/>
        <v>1762.4558475571591</v>
      </c>
      <c r="V74" s="721">
        <f t="shared" si="52"/>
        <v>3880.98023502262</v>
      </c>
      <c r="W74" s="721">
        <f t="shared" si="52"/>
        <v>6996.1188940088159</v>
      </c>
      <c r="X74" s="721">
        <f t="shared" si="52"/>
        <v>11609.351006970395</v>
      </c>
      <c r="Y74" s="721">
        <f t="shared" si="52"/>
        <v>18472.734737630126</v>
      </c>
      <c r="Z74" s="721">
        <f>Y25*12</f>
        <v>28714.204853762774</v>
      </c>
      <c r="AA74" s="695"/>
    </row>
    <row r="75" spans="1:31" x14ac:dyDescent="0.15">
      <c r="A75" s="422"/>
      <c r="C75" s="422" t="s">
        <v>56</v>
      </c>
      <c r="D75" s="422"/>
      <c r="E75" s="422"/>
      <c r="F75" s="708"/>
      <c r="G75" s="708"/>
      <c r="H75" s="708"/>
      <c r="I75" s="708"/>
      <c r="J75" s="708"/>
      <c r="K75" s="707"/>
      <c r="L75" s="708"/>
      <c r="M75" s="708"/>
      <c r="N75" s="708"/>
      <c r="O75" s="708"/>
      <c r="P75" s="708"/>
      <c r="Q75" s="722">
        <f>P26*12</f>
        <v>46.463999999999949</v>
      </c>
      <c r="R75" s="722">
        <f t="shared" ref="R75:Y75" si="53">Q26*12</f>
        <v>214.72891139240502</v>
      </c>
      <c r="S75" s="722">
        <f t="shared" si="53"/>
        <v>484.36102419484064</v>
      </c>
      <c r="T75" s="722">
        <f t="shared" si="53"/>
        <v>1154.0815070327501</v>
      </c>
      <c r="U75" s="722">
        <f t="shared" si="53"/>
        <v>2433.6709831217731</v>
      </c>
      <c r="V75" s="722">
        <f t="shared" si="53"/>
        <v>5716.2836714144551</v>
      </c>
      <c r="W75" s="722">
        <f t="shared" si="53"/>
        <v>10991.53245494122</v>
      </c>
      <c r="X75" s="722">
        <f t="shared" si="53"/>
        <v>19455.290996947064</v>
      </c>
      <c r="Y75" s="722">
        <f t="shared" si="53"/>
        <v>33020.960854903766</v>
      </c>
      <c r="Z75" s="722">
        <f>Y26*12</f>
        <v>54749.988263834348</v>
      </c>
      <c r="AA75" s="695"/>
    </row>
    <row r="76" spans="1:31" x14ac:dyDescent="0.15">
      <c r="A76" s="422"/>
      <c r="C76" s="695"/>
      <c r="D76" s="422"/>
      <c r="E76" s="422"/>
      <c r="F76" s="422"/>
      <c r="G76" s="422"/>
      <c r="H76" s="422"/>
      <c r="I76" s="422"/>
      <c r="J76" s="422"/>
      <c r="K76" s="707"/>
      <c r="L76" s="422"/>
      <c r="M76" s="422"/>
      <c r="N76" s="696"/>
      <c r="O76" s="696"/>
      <c r="P76" s="696"/>
      <c r="Q76" s="696"/>
      <c r="R76" s="696"/>
      <c r="S76" s="696"/>
      <c r="T76" s="696"/>
      <c r="U76" s="696"/>
      <c r="V76" s="696"/>
      <c r="W76" s="696"/>
      <c r="X76" s="696"/>
      <c r="Y76" s="696"/>
      <c r="Z76" s="696"/>
      <c r="AA76" s="694" t="s">
        <v>149</v>
      </c>
      <c r="AB76" s="699">
        <f>Z77/2^10</f>
        <v>15.656271326919102</v>
      </c>
      <c r="AC76" s="694" t="s">
        <v>125</v>
      </c>
    </row>
    <row r="77" spans="1:31" x14ac:dyDescent="0.15">
      <c r="A77" s="422"/>
      <c r="D77" s="422"/>
      <c r="E77" s="422"/>
      <c r="F77" s="708">
        <f>SUM(F55:F72)</f>
        <v>22.588235294117645</v>
      </c>
      <c r="G77" s="708">
        <f t="shared" ref="G77:P77" si="54">SUM(G55:G72)</f>
        <v>25.228235294117642</v>
      </c>
      <c r="H77" s="708">
        <f t="shared" si="54"/>
        <v>29.548235294117642</v>
      </c>
      <c r="I77" s="708">
        <f t="shared" si="54"/>
        <v>37.94823529411763</v>
      </c>
      <c r="J77" s="708">
        <f t="shared" si="54"/>
        <v>52.348235294117643</v>
      </c>
      <c r="K77" s="707">
        <f t="shared" si="54"/>
        <v>75.14823529411764</v>
      </c>
      <c r="L77" s="708">
        <f t="shared" si="54"/>
        <v>107.64832056251535</v>
      </c>
      <c r="M77" s="708">
        <f t="shared" si="54"/>
        <v>153.40665599066079</v>
      </c>
      <c r="N77" s="708">
        <f t="shared" si="54"/>
        <v>231.10023529411762</v>
      </c>
      <c r="O77" s="708">
        <f t="shared" si="54"/>
        <v>354.26439529411766</v>
      </c>
      <c r="P77" s="708">
        <f t="shared" si="54"/>
        <v>548.86376809411775</v>
      </c>
      <c r="Q77" s="696">
        <f>Q55+Q58+Q63+Q68+Q73</f>
        <v>757.94823529411758</v>
      </c>
      <c r="R77" s="696">
        <f t="shared" ref="R77:Y77" si="55">R55+R58+R63+R68+R73</f>
        <v>1059.1020580789275</v>
      </c>
      <c r="S77" s="696">
        <f t="shared" si="55"/>
        <v>1477.904280799645</v>
      </c>
      <c r="T77" s="696">
        <f>T55+T58+T63+T68+T73</f>
        <v>2061.7347465015469</v>
      </c>
      <c r="U77" s="696">
        <f>U55+U58+U63+U68+U73</f>
        <v>2876.8887247184211</v>
      </c>
      <c r="V77" s="696">
        <f t="shared" si="55"/>
        <v>4194.0784828346395</v>
      </c>
      <c r="W77" s="696">
        <f t="shared" si="55"/>
        <v>5944.9669025933126</v>
      </c>
      <c r="X77" s="696">
        <f t="shared" si="55"/>
        <v>8313.6485774417561</v>
      </c>
      <c r="Y77" s="696">
        <f t="shared" si="55"/>
        <v>11556.646619736428</v>
      </c>
      <c r="Z77" s="696">
        <f>Z55+Z58+Z63+Z68+Z73</f>
        <v>16032.02183876516</v>
      </c>
      <c r="AA77" s="716" t="s">
        <v>132</v>
      </c>
      <c r="AB77" s="720">
        <f>Z55+Z58+Z63+Z68+Z73</f>
        <v>16032.02183876516</v>
      </c>
      <c r="AC77" s="741" t="s">
        <v>55</v>
      </c>
      <c r="AD77" s="346">
        <f>AB77/2^10</f>
        <v>15.656271326919102</v>
      </c>
      <c r="AE77" s="711" t="s">
        <v>125</v>
      </c>
    </row>
    <row r="78" spans="1:31" x14ac:dyDescent="0.15">
      <c r="A78" s="422"/>
      <c r="Q78" s="696">
        <f>Q55+Q59+Q64+Q69+Q74</f>
        <v>810.74823529411765</v>
      </c>
      <c r="R78" s="696">
        <f t="shared" ref="R78:Y78" si="56">R55+R59+R64+R69+R74</f>
        <v>1209.3548175725987</v>
      </c>
      <c r="S78" s="696">
        <f t="shared" si="56"/>
        <v>1805.8294210015363</v>
      </c>
      <c r="T78" s="696">
        <f t="shared" si="56"/>
        <v>2699.1787280543249</v>
      </c>
      <c r="U78" s="696">
        <f>U55+U59+U64+U69+U74</f>
        <v>4037.9090828512772</v>
      </c>
      <c r="V78" s="696">
        <f t="shared" si="56"/>
        <v>6156.4334703167378</v>
      </c>
      <c r="W78" s="696">
        <f t="shared" si="56"/>
        <v>9271.5721293029346</v>
      </c>
      <c r="X78" s="696">
        <f t="shared" si="56"/>
        <v>13884.804242264512</v>
      </c>
      <c r="Y78" s="696">
        <f t="shared" si="56"/>
        <v>20748.187972924243</v>
      </c>
      <c r="Z78" s="696">
        <f>Z55+Z59+Z64+Z69+Z74</f>
        <v>30989.658089056891</v>
      </c>
      <c r="AA78" s="717" t="s">
        <v>132</v>
      </c>
      <c r="AB78" s="721">
        <f>Z55+Z59+Z64+Z69+Z74</f>
        <v>30989.658089056891</v>
      </c>
      <c r="AC78" s="742" t="s">
        <v>16</v>
      </c>
      <c r="AD78" s="723">
        <f>AB78/2^10</f>
        <v>30.26333797759462</v>
      </c>
      <c r="AE78" s="713" t="s">
        <v>125</v>
      </c>
    </row>
    <row r="79" spans="1:31" x14ac:dyDescent="0.15">
      <c r="A79" s="422"/>
      <c r="Q79" s="696">
        <f>Q55+Q65+Q70+Q75</f>
        <v>850.87623529411769</v>
      </c>
      <c r="R79" s="696">
        <f t="shared" ref="R79:Z79" si="57">R55+R65+R70+R75</f>
        <v>1357.061146686523</v>
      </c>
      <c r="S79" s="696">
        <f t="shared" si="57"/>
        <v>2167.3652594889591</v>
      </c>
      <c r="T79" s="696">
        <f>T55+T65+T70+T75</f>
        <v>3464.2652623268687</v>
      </c>
      <c r="U79" s="696">
        <f t="shared" si="57"/>
        <v>5539.723922415892</v>
      </c>
      <c r="V79" s="696">
        <f t="shared" si="57"/>
        <v>8822.3366107085749</v>
      </c>
      <c r="W79" s="696">
        <f t="shared" si="57"/>
        <v>14097.585394235339</v>
      </c>
      <c r="X79" s="696">
        <f t="shared" si="57"/>
        <v>22561.343936241181</v>
      </c>
      <c r="Y79" s="696">
        <f t="shared" si="57"/>
        <v>36127.013794197883</v>
      </c>
      <c r="Z79" s="696">
        <f t="shared" si="57"/>
        <v>57856.041203128465</v>
      </c>
      <c r="AA79" s="718" t="s">
        <v>132</v>
      </c>
      <c r="AB79" s="722">
        <f>Z55+Z59+Z65+Z70+Z75</f>
        <v>57867.92120312847</v>
      </c>
      <c r="AC79" s="743" t="s">
        <v>56</v>
      </c>
      <c r="AD79" s="358">
        <f>AB79/2^10</f>
        <v>56.511641799930146</v>
      </c>
      <c r="AE79" s="715" t="s">
        <v>125</v>
      </c>
    </row>
    <row r="80" spans="1:31" x14ac:dyDescent="0.15">
      <c r="A80" s="422"/>
      <c r="F80" s="702">
        <v>2010</v>
      </c>
      <c r="G80" s="702">
        <v>2011</v>
      </c>
      <c r="H80" s="702">
        <v>2012</v>
      </c>
      <c r="I80" s="702">
        <v>2013</v>
      </c>
      <c r="J80" s="702">
        <v>2014</v>
      </c>
      <c r="K80" s="702">
        <v>2015</v>
      </c>
      <c r="L80" s="702">
        <v>2016</v>
      </c>
      <c r="M80" s="702">
        <v>2017</v>
      </c>
      <c r="N80" s="702">
        <v>2018</v>
      </c>
      <c r="O80" s="702">
        <v>2019</v>
      </c>
      <c r="P80" s="702">
        <v>2020</v>
      </c>
      <c r="Q80" s="703">
        <v>2021</v>
      </c>
      <c r="R80" s="703">
        <v>2022</v>
      </c>
      <c r="S80" s="703">
        <v>2023</v>
      </c>
      <c r="T80" s="703">
        <v>2024</v>
      </c>
      <c r="U80" s="703">
        <v>2025</v>
      </c>
      <c r="V80" s="703">
        <v>2026</v>
      </c>
      <c r="W80" s="703">
        <v>2027</v>
      </c>
      <c r="X80" s="703">
        <v>2028</v>
      </c>
      <c r="Y80" s="703">
        <v>2029</v>
      </c>
      <c r="Z80" s="703">
        <v>2030</v>
      </c>
    </row>
    <row r="81" spans="1:32" x14ac:dyDescent="0.15">
      <c r="A81" s="422"/>
      <c r="C81" s="695" t="s">
        <v>275</v>
      </c>
      <c r="D81" s="422"/>
      <c r="E81" s="422" t="s">
        <v>43</v>
      </c>
      <c r="F81" s="710">
        <f t="shared" ref="F81:Y81" si="58">G104/F77</f>
        <v>5.9630500000000008</v>
      </c>
      <c r="G81" s="710">
        <f t="shared" si="58"/>
        <v>4.9905306808897594</v>
      </c>
      <c r="H81" s="710">
        <f>I104/H77</f>
        <v>3.9257997291806013</v>
      </c>
      <c r="I81" s="710">
        <f t="shared" si="58"/>
        <v>2.5210573544989585</v>
      </c>
      <c r="J81" s="710">
        <f t="shared" si="58"/>
        <v>1.5045879395179995</v>
      </c>
      <c r="K81" s="710">
        <f t="shared" si="58"/>
        <v>0.85790838890442611</v>
      </c>
      <c r="L81" s="710">
        <f t="shared" si="58"/>
        <v>0.4856898805052951</v>
      </c>
      <c r="M81" s="710">
        <f t="shared" si="58"/>
        <v>0.26911584855649118</v>
      </c>
      <c r="N81" s="710">
        <f t="shared" si="58"/>
        <v>0.15131767366657151</v>
      </c>
      <c r="O81" s="710">
        <f t="shared" si="58"/>
        <v>8.3419223166088949E-2</v>
      </c>
      <c r="P81" s="744">
        <f t="shared" si="58"/>
        <v>4.6861111716934883E-2</v>
      </c>
      <c r="Q81" s="745">
        <f t="shared" si="58"/>
        <v>2.7399062652775485E-2</v>
      </c>
      <c r="R81" s="745">
        <f t="shared" si="58"/>
        <v>2.1032099183392695E-2</v>
      </c>
      <c r="S81" s="745">
        <f t="shared" si="58"/>
        <v>1.6687995223920647E-2</v>
      </c>
      <c r="T81" s="745">
        <f t="shared" si="58"/>
        <v>1.2932544240612283E-2</v>
      </c>
      <c r="U81" s="745">
        <f t="shared" si="58"/>
        <v>1.0006688138302121E-2</v>
      </c>
      <c r="V81" s="745">
        <f t="shared" si="58"/>
        <v>6.8640200482784743E-3</v>
      </c>
      <c r="W81" s="745">
        <f t="shared" si="58"/>
        <v>4.9061072629597328E-3</v>
      </c>
      <c r="X81" s="745">
        <f t="shared" si="58"/>
        <v>3.6138861342451009E-3</v>
      </c>
      <c r="Y81" s="745">
        <f t="shared" si="58"/>
        <v>2.7327163449947897E-3</v>
      </c>
      <c r="Z81" s="745">
        <f>AA104/Z77</f>
        <v>2.1198659590257432E-3</v>
      </c>
      <c r="AA81" s="711" t="s">
        <v>43</v>
      </c>
      <c r="AB81" s="746"/>
      <c r="AC81" s="741" t="s">
        <v>55</v>
      </c>
      <c r="AD81" s="746"/>
      <c r="AE81" s="746"/>
    </row>
    <row r="82" spans="1:32" x14ac:dyDescent="0.15">
      <c r="A82" s="422"/>
      <c r="C82" s="695" t="s">
        <v>244</v>
      </c>
      <c r="D82" s="422"/>
      <c r="E82" s="422" t="s">
        <v>43</v>
      </c>
      <c r="F82" s="712">
        <f t="shared" ref="F82:P82" si="59">G128/F77</f>
        <v>9.01586</v>
      </c>
      <c r="G82" s="712">
        <f t="shared" si="59"/>
        <v>7.9377670252602126</v>
      </c>
      <c r="H82" s="712">
        <f t="shared" si="59"/>
        <v>6.6542847068198752</v>
      </c>
      <c r="I82" s="712">
        <f t="shared" si="59"/>
        <v>3.7203916532757404</v>
      </c>
      <c r="J82" s="712">
        <f t="shared" si="59"/>
        <v>2.4820616519401648</v>
      </c>
      <c r="K82" s="712">
        <f t="shared" si="59"/>
        <v>1.5768620723360434</v>
      </c>
      <c r="L82" s="712">
        <f t="shared" si="59"/>
        <v>0.98673147557609497</v>
      </c>
      <c r="M82" s="712">
        <f t="shared" si="59"/>
        <v>0.60442997571578327</v>
      </c>
      <c r="N82" s="712">
        <f t="shared" si="59"/>
        <v>0.37322940537477933</v>
      </c>
      <c r="O82" s="712">
        <f t="shared" si="59"/>
        <v>0.22657275833292523</v>
      </c>
      <c r="P82" s="712">
        <f t="shared" si="59"/>
        <v>0.13937672811861573</v>
      </c>
      <c r="Q82" s="747">
        <f t="shared" ref="Q82:Y82" si="60">R128/Q78</f>
        <v>9.3232512970028145E-2</v>
      </c>
      <c r="R82" s="747">
        <f t="shared" si="60"/>
        <v>6.9737227140995728E-2</v>
      </c>
      <c r="S82" s="747">
        <f t="shared" si="60"/>
        <v>5.4804292009618075E-2</v>
      </c>
      <c r="T82" s="747">
        <f t="shared" si="60"/>
        <v>4.2794631314484549E-2</v>
      </c>
      <c r="U82" s="747">
        <f t="shared" si="60"/>
        <v>3.3808071661504395E-2</v>
      </c>
      <c r="V82" s="747">
        <f t="shared" si="60"/>
        <v>2.2549926518746616E-2</v>
      </c>
      <c r="W82" s="747">
        <f t="shared" si="60"/>
        <v>1.5704267971127311E-2</v>
      </c>
      <c r="X82" s="747">
        <f t="shared" si="60"/>
        <v>1.1445104716735209E-2</v>
      </c>
      <c r="Y82" s="747">
        <f t="shared" si="60"/>
        <v>8.7657244436674161E-3</v>
      </c>
      <c r="Z82" s="747">
        <f>AA128/Z78</f>
        <v>7.0723086473424238E-3</v>
      </c>
      <c r="AA82" s="713" t="s">
        <v>43</v>
      </c>
      <c r="AB82" s="746"/>
      <c r="AC82" s="742" t="s">
        <v>16</v>
      </c>
      <c r="AD82" s="746"/>
      <c r="AE82" s="746"/>
    </row>
    <row r="83" spans="1:32" x14ac:dyDescent="0.15">
      <c r="A83" s="422"/>
      <c r="C83" s="695"/>
      <c r="D83" s="422"/>
      <c r="E83" s="422" t="s">
        <v>43</v>
      </c>
      <c r="F83" s="714">
        <f t="shared" ref="F83:P83" si="61">G151/F77</f>
        <v>15.120486999999999</v>
      </c>
      <c r="G83" s="714">
        <f t="shared" si="61"/>
        <v>13.765032635458867</v>
      </c>
      <c r="H83" s="714">
        <f t="shared" si="61"/>
        <v>12.076686238775205</v>
      </c>
      <c r="I83" s="714">
        <f t="shared" si="61"/>
        <v>9.5924520848882437</v>
      </c>
      <c r="J83" s="714">
        <f t="shared" si="61"/>
        <v>7.179257460558115</v>
      </c>
      <c r="K83" s="714">
        <f t="shared" si="61"/>
        <v>5.1851403311400039</v>
      </c>
      <c r="L83" s="714">
        <f t="shared" si="61"/>
        <v>3.7367333472831348</v>
      </c>
      <c r="M83" s="714">
        <f t="shared" si="61"/>
        <v>2.6806055492003931</v>
      </c>
      <c r="N83" s="714">
        <f t="shared" si="61"/>
        <v>1.9374991115992177</v>
      </c>
      <c r="O83" s="714">
        <f t="shared" si="61"/>
        <v>1.4032388102437483</v>
      </c>
      <c r="P83" s="714">
        <f t="shared" si="61"/>
        <v>1.0381809170392504</v>
      </c>
      <c r="Q83" s="748">
        <f t="shared" ref="Q83:Y83" si="62">R151/Q79</f>
        <v>0.79582851647161301</v>
      </c>
      <c r="R83" s="748">
        <f t="shared" si="62"/>
        <v>0.59266284587590246</v>
      </c>
      <c r="S83" s="748">
        <f t="shared" si="62"/>
        <v>0.46544145590676766</v>
      </c>
      <c r="T83" s="748">
        <f t="shared" si="62"/>
        <v>0.35870191515478134</v>
      </c>
      <c r="U83" s="748">
        <f t="shared" si="62"/>
        <v>0.27798328922296045</v>
      </c>
      <c r="V83" s="748">
        <f t="shared" si="62"/>
        <v>0.17957684472348823</v>
      </c>
      <c r="W83" s="748">
        <f t="shared" si="62"/>
        <v>0.11990075054145483</v>
      </c>
      <c r="X83" s="748">
        <f t="shared" si="62"/>
        <v>8.3689015215450469E-2</v>
      </c>
      <c r="Y83" s="748">
        <f t="shared" si="62"/>
        <v>6.1550563084388783E-2</v>
      </c>
      <c r="Z83" s="748">
        <f>AA151/Z79</f>
        <v>4.7819342470731871E-2</v>
      </c>
      <c r="AA83" s="715" t="s">
        <v>43</v>
      </c>
      <c r="AB83" s="746"/>
      <c r="AC83" s="743" t="s">
        <v>56</v>
      </c>
      <c r="AD83" s="746"/>
      <c r="AE83" s="746"/>
    </row>
    <row r="84" spans="1:32" x14ac:dyDescent="0.15">
      <c r="A84" s="422"/>
      <c r="C84" s="695"/>
      <c r="D84" s="422"/>
      <c r="E84" s="422"/>
      <c r="F84" s="422"/>
      <c r="G84" s="422"/>
      <c r="H84" s="422"/>
      <c r="I84" s="422"/>
      <c r="J84" s="422"/>
      <c r="K84" s="422"/>
      <c r="L84" s="422"/>
      <c r="M84" s="422"/>
      <c r="N84" s="696"/>
      <c r="O84" s="696"/>
      <c r="P84" s="696"/>
      <c r="Q84" s="696"/>
      <c r="R84" s="696"/>
      <c r="S84" s="696"/>
      <c r="T84" s="696"/>
      <c r="U84" s="696"/>
      <c r="V84" s="696"/>
      <c r="W84" s="696"/>
      <c r="X84" s="696"/>
      <c r="Y84" s="696"/>
      <c r="Z84" s="696"/>
      <c r="AA84" s="746"/>
      <c r="AB84" s="746"/>
      <c r="AC84" s="746"/>
      <c r="AD84" s="746"/>
      <c r="AE84" s="746"/>
    </row>
    <row r="85" spans="1:32" x14ac:dyDescent="0.15">
      <c r="A85" s="422"/>
      <c r="C85" s="695"/>
      <c r="D85" s="738"/>
      <c r="E85" s="422"/>
      <c r="F85" s="422"/>
      <c r="G85" s="422"/>
      <c r="H85" s="422"/>
      <c r="I85" s="422"/>
      <c r="J85" s="422"/>
      <c r="K85" s="422"/>
      <c r="L85" s="422"/>
      <c r="M85" s="422"/>
      <c r="N85" s="422"/>
      <c r="O85" s="696"/>
      <c r="P85" s="696"/>
      <c r="Q85" s="696"/>
      <c r="R85" s="696"/>
      <c r="S85" s="696"/>
      <c r="T85" s="696"/>
      <c r="U85" s="696"/>
      <c r="V85" s="696"/>
      <c r="W85" s="696"/>
      <c r="X85" s="696"/>
      <c r="Y85" s="696"/>
      <c r="Z85" s="696"/>
      <c r="AA85" s="696"/>
      <c r="AB85" s="746"/>
      <c r="AC85" s="746"/>
      <c r="AD85" s="746"/>
      <c r="AE85" s="746"/>
      <c r="AF85" s="746"/>
    </row>
    <row r="86" spans="1:32" x14ac:dyDescent="0.15">
      <c r="A86" s="422"/>
      <c r="C86" s="695"/>
      <c r="D86" s="738"/>
      <c r="E86" s="422"/>
      <c r="F86" s="422"/>
      <c r="G86" s="422"/>
      <c r="H86" s="422"/>
      <c r="I86" s="422"/>
      <c r="J86" s="422"/>
      <c r="K86" s="422"/>
      <c r="L86" s="422"/>
      <c r="M86" s="422"/>
      <c r="N86" s="422"/>
      <c r="O86" s="696"/>
      <c r="P86" s="696"/>
      <c r="Q86" s="696"/>
      <c r="R86" s="696"/>
      <c r="S86" s="696"/>
      <c r="T86" s="696"/>
      <c r="U86" s="696"/>
      <c r="V86" s="696"/>
      <c r="W86" s="696"/>
      <c r="X86" s="696"/>
      <c r="Y86" s="696"/>
      <c r="Z86" s="696"/>
      <c r="AA86" s="696"/>
      <c r="AB86" s="746"/>
      <c r="AC86" s="746"/>
      <c r="AD86" s="746"/>
      <c r="AE86" s="746"/>
      <c r="AF86" s="746"/>
    </row>
    <row r="87" spans="1:32" x14ac:dyDescent="0.15">
      <c r="A87" s="422"/>
      <c r="C87" s="695"/>
      <c r="D87" s="738"/>
      <c r="E87" s="422"/>
      <c r="F87" s="422"/>
      <c r="G87" s="422"/>
      <c r="H87" s="422"/>
      <c r="I87" s="422"/>
      <c r="J87" s="422"/>
      <c r="K87" s="422"/>
      <c r="L87" s="422"/>
      <c r="M87" s="422"/>
      <c r="N87" s="422"/>
      <c r="O87" s="696"/>
      <c r="P87" s="696"/>
      <c r="Q87" s="696"/>
      <c r="R87" s="696"/>
      <c r="S87" s="696"/>
      <c r="T87" s="696"/>
      <c r="U87" s="696"/>
      <c r="V87" s="696"/>
      <c r="W87" s="696"/>
      <c r="X87" s="696"/>
      <c r="Y87" s="696"/>
      <c r="Z87" s="696"/>
      <c r="AA87" s="696"/>
      <c r="AB87" s="746"/>
      <c r="AC87" s="746"/>
      <c r="AD87" s="746"/>
      <c r="AE87" s="746"/>
      <c r="AF87" s="746"/>
    </row>
    <row r="88" spans="1:32" x14ac:dyDescent="0.15">
      <c r="A88" s="422"/>
      <c r="C88" s="695"/>
      <c r="D88" s="738"/>
      <c r="E88" s="422"/>
      <c r="F88" s="422"/>
      <c r="G88" s="422"/>
      <c r="H88" s="422"/>
      <c r="I88" s="422"/>
      <c r="J88" s="422"/>
      <c r="K88" s="422"/>
      <c r="L88" s="422"/>
      <c r="M88" s="422"/>
      <c r="N88" s="422"/>
      <c r="O88" s="696"/>
      <c r="P88" s="696"/>
      <c r="Q88" s="696"/>
      <c r="R88" s="696"/>
      <c r="S88" s="696"/>
      <c r="T88" s="696"/>
      <c r="U88" s="696"/>
      <c r="V88" s="696"/>
      <c r="W88" s="696"/>
      <c r="X88" s="696"/>
      <c r="Y88" s="696"/>
      <c r="Z88" s="696"/>
      <c r="AA88" s="696"/>
      <c r="AB88" s="746"/>
      <c r="AC88" s="746"/>
      <c r="AD88" s="746"/>
      <c r="AE88" s="746"/>
      <c r="AF88" s="746"/>
    </row>
    <row r="89" spans="1:32" x14ac:dyDescent="0.15">
      <c r="A89" s="422"/>
      <c r="C89" s="695"/>
      <c r="D89" s="738"/>
      <c r="E89" s="422"/>
      <c r="F89" s="422"/>
      <c r="G89" s="422"/>
      <c r="H89" s="422"/>
      <c r="I89" s="422"/>
      <c r="J89" s="422"/>
      <c r="K89" s="422"/>
      <c r="L89" s="422"/>
      <c r="M89" s="422"/>
      <c r="N89" s="422"/>
      <c r="O89" s="696"/>
      <c r="P89" s="696"/>
      <c r="Q89" s="696"/>
      <c r="R89" s="696"/>
      <c r="S89" s="696"/>
      <c r="T89" s="696"/>
      <c r="U89" s="696"/>
      <c r="V89" s="696"/>
      <c r="W89" s="696"/>
      <c r="X89" s="696"/>
      <c r="Y89" s="696"/>
    </row>
    <row r="90" spans="1:32" x14ac:dyDescent="0.15">
      <c r="A90" s="422"/>
      <c r="C90" s="695"/>
      <c r="D90" s="738"/>
      <c r="E90" s="422"/>
      <c r="F90" s="422"/>
      <c r="G90" s="422"/>
      <c r="H90" s="702" t="s">
        <v>128</v>
      </c>
      <c r="I90" s="422"/>
      <c r="J90" s="422"/>
      <c r="K90" s="422"/>
      <c r="L90" s="422"/>
      <c r="M90" s="422"/>
      <c r="N90" s="422"/>
      <c r="O90" s="696"/>
      <c r="P90" s="696"/>
      <c r="Q90" s="696"/>
      <c r="R90" s="696"/>
      <c r="S90" s="696"/>
      <c r="T90" s="696"/>
      <c r="U90" s="696"/>
      <c r="V90" s="696"/>
      <c r="W90" s="696"/>
      <c r="X90" s="696"/>
      <c r="Y90" s="696"/>
      <c r="Z90" s="696"/>
      <c r="AA90" s="696"/>
      <c r="AB90" s="422"/>
    </row>
    <row r="91" spans="1:32" x14ac:dyDescent="0.15">
      <c r="A91" s="422"/>
      <c r="C91" s="695"/>
      <c r="D91" s="738"/>
      <c r="E91" s="422"/>
      <c r="F91" s="422"/>
      <c r="G91" s="422"/>
      <c r="H91" s="422"/>
      <c r="I91" s="422"/>
      <c r="J91" s="422"/>
      <c r="K91" s="422"/>
      <c r="L91" s="422"/>
      <c r="M91" s="422"/>
      <c r="N91" s="422"/>
      <c r="O91" s="696"/>
      <c r="P91" s="696"/>
      <c r="Q91" s="696"/>
      <c r="R91" s="696"/>
      <c r="S91" s="696"/>
      <c r="T91" s="696"/>
      <c r="U91" s="696"/>
      <c r="V91" s="696"/>
      <c r="W91" s="696"/>
      <c r="X91" s="696"/>
      <c r="Y91" s="696"/>
      <c r="Z91" s="696"/>
      <c r="AA91" s="696"/>
      <c r="AB91" s="422"/>
    </row>
    <row r="92" spans="1:32" x14ac:dyDescent="0.15">
      <c r="A92" s="422"/>
      <c r="C92" s="695"/>
      <c r="D92" s="738"/>
      <c r="E92" s="422"/>
      <c r="F92" s="422"/>
      <c r="G92" s="422"/>
      <c r="H92" s="422"/>
      <c r="I92" s="422"/>
      <c r="J92" s="422"/>
      <c r="K92" s="422"/>
      <c r="L92" s="422"/>
      <c r="M92" s="422"/>
      <c r="N92" s="422"/>
      <c r="O92" s="696"/>
      <c r="P92" s="696"/>
      <c r="Q92" s="696"/>
      <c r="R92" s="696"/>
      <c r="S92" s="696"/>
      <c r="T92" s="696"/>
      <c r="U92" s="696"/>
      <c r="V92" s="696"/>
      <c r="W92" s="696"/>
      <c r="X92" s="696"/>
      <c r="Y92" s="696"/>
      <c r="Z92" s="696"/>
      <c r="AA92" s="696"/>
    </row>
    <row r="93" spans="1:32" x14ac:dyDescent="0.15">
      <c r="A93" s="422"/>
      <c r="B93" s="422"/>
      <c r="C93" s="422"/>
      <c r="D93" s="738"/>
      <c r="E93" s="422" t="s">
        <v>14</v>
      </c>
      <c r="F93" s="422" t="s">
        <v>14</v>
      </c>
      <c r="G93" s="422"/>
      <c r="H93" s="422"/>
      <c r="I93" s="696"/>
      <c r="J93" s="696"/>
      <c r="K93" s="696"/>
      <c r="L93" s="696"/>
      <c r="M93" s="696"/>
      <c r="N93" s="701"/>
      <c r="O93" s="701"/>
      <c r="P93" s="701"/>
      <c r="Q93" s="701"/>
      <c r="R93" s="696"/>
      <c r="AB93" s="694" t="s">
        <v>43</v>
      </c>
    </row>
    <row r="94" spans="1:32" s="751" customFormat="1" ht="12" customHeight="1" x14ac:dyDescent="0.15">
      <c r="A94" s="422" t="s">
        <v>129</v>
      </c>
      <c r="B94" s="707"/>
      <c r="C94" s="695" t="s">
        <v>229</v>
      </c>
      <c r="D94" s="749"/>
      <c r="E94" s="707" t="s">
        <v>90</v>
      </c>
      <c r="F94" s="707"/>
      <c r="G94" s="699">
        <f>F55*$C$105</f>
        <v>93.741176470588215</v>
      </c>
      <c r="H94" s="700">
        <f>G55*$C$105*0.85</f>
        <v>79.679999999999978</v>
      </c>
      <c r="I94" s="699">
        <f t="shared" ref="I94:Z94" si="63">H55*$C$105*F$108</f>
        <v>65.618823529411742</v>
      </c>
      <c r="J94" s="699">
        <f t="shared" si="63"/>
        <v>45.933176470588222</v>
      </c>
      <c r="K94" s="699">
        <f>J55*$C$105*H$108</f>
        <v>32.153223529411747</v>
      </c>
      <c r="L94" s="699">
        <f t="shared" si="63"/>
        <v>22.507256470588224</v>
      </c>
      <c r="M94" s="699">
        <f t="shared" si="63"/>
        <v>15.755079529411756</v>
      </c>
      <c r="N94" s="699">
        <f t="shared" si="63"/>
        <v>11.028555670588227</v>
      </c>
      <c r="O94" s="699">
        <f t="shared" si="63"/>
        <v>7.7199889694117596</v>
      </c>
      <c r="P94" s="699">
        <f t="shared" si="63"/>
        <v>5.4039922785882313</v>
      </c>
      <c r="Q94" s="699">
        <f t="shared" si="63"/>
        <v>3.7827945950117621</v>
      </c>
      <c r="R94" s="699">
        <f t="shared" si="63"/>
        <v>2.6479562165082333</v>
      </c>
      <c r="S94" s="699">
        <f t="shared" si="63"/>
        <v>2.5155584056828215</v>
      </c>
      <c r="T94" s="699">
        <f t="shared" si="63"/>
        <v>2.3897804853986804</v>
      </c>
      <c r="U94" s="699">
        <f t="shared" si="63"/>
        <v>2.2702914611287461</v>
      </c>
      <c r="V94" s="699">
        <f t="shared" si="63"/>
        <v>2.1567768880723088</v>
      </c>
      <c r="W94" s="699">
        <f t="shared" si="63"/>
        <v>2.0489380436686933</v>
      </c>
      <c r="X94" s="699">
        <f t="shared" si="63"/>
        <v>1.9464911414852586</v>
      </c>
      <c r="Y94" s="699">
        <f t="shared" si="63"/>
        <v>1.8491665844109957</v>
      </c>
      <c r="Z94" s="699">
        <f t="shared" si="63"/>
        <v>1.7567082551904456</v>
      </c>
      <c r="AA94" s="699">
        <f>Z55*$C$105*X$108</f>
        <v>1.6688728424309234</v>
      </c>
      <c r="AB94" s="750"/>
      <c r="AC94" s="751" t="s">
        <v>197</v>
      </c>
    </row>
    <row r="95" spans="1:32" s="751" customFormat="1" ht="22.5" customHeight="1" x14ac:dyDescent="0.15">
      <c r="A95" s="707"/>
      <c r="B95" s="707"/>
      <c r="C95" s="695" t="s">
        <v>105</v>
      </c>
      <c r="D95" s="749"/>
      <c r="E95" s="707" t="s">
        <v>90</v>
      </c>
      <c r="F95" s="707"/>
      <c r="G95" s="699">
        <f>F57*$C$106</f>
        <v>36.096000000000004</v>
      </c>
      <c r="H95" s="699">
        <f>G57*$C$106*0.85</f>
        <v>37.795895999999999</v>
      </c>
      <c r="I95" s="699">
        <f t="shared" ref="I95:AA95" si="64">H57*$C$106*F$108</f>
        <v>37.870005599999992</v>
      </c>
      <c r="J95" s="699">
        <f t="shared" si="64"/>
        <v>34.40279619839999</v>
      </c>
      <c r="K95" s="699">
        <f>J57*$C$106*H$108</f>
        <v>30.764700500419188</v>
      </c>
      <c r="L95" s="699">
        <f t="shared" si="64"/>
        <v>26.388421854234561</v>
      </c>
      <c r="M95" s="699">
        <f t="shared" si="64"/>
        <v>21.230889021192034</v>
      </c>
      <c r="N95" s="699">
        <f t="shared" si="64"/>
        <v>16.420084330552196</v>
      </c>
      <c r="O95" s="699">
        <f t="shared" si="64"/>
        <v>13.257247686801229</v>
      </c>
      <c r="P95" s="699">
        <f t="shared" si="64"/>
        <v>10.703636637369577</v>
      </c>
      <c r="Q95" s="699">
        <f t="shared" si="64"/>
        <v>8.5568295500826768</v>
      </c>
      <c r="R95" s="699">
        <f t="shared" si="64"/>
        <v>7.0978901117936157</v>
      </c>
      <c r="S95" s="699">
        <f t="shared" si="64"/>
        <v>6.7429956062039347</v>
      </c>
      <c r="T95" s="699">
        <f t="shared" si="64"/>
        <v>6.4058458258937376</v>
      </c>
      <c r="U95" s="699">
        <f t="shared" si="64"/>
        <v>6.0855535345990504</v>
      </c>
      <c r="V95" s="699">
        <f t="shared" si="64"/>
        <v>5.7812758578690975</v>
      </c>
      <c r="W95" s="699">
        <f t="shared" si="64"/>
        <v>5.4922120649756421</v>
      </c>
      <c r="X95" s="699">
        <f t="shared" si="64"/>
        <v>5.2176014617268605</v>
      </c>
      <c r="Y95" s="699">
        <f t="shared" si="64"/>
        <v>4.956721388640517</v>
      </c>
      <c r="Z95" s="699">
        <f t="shared" si="64"/>
        <v>4.7088853192084912</v>
      </c>
      <c r="AA95" s="699">
        <f t="shared" si="64"/>
        <v>4.4734410532480657</v>
      </c>
      <c r="AB95" s="750"/>
    </row>
    <row r="96" spans="1:32" s="751" customFormat="1" ht="22.5" customHeight="1" x14ac:dyDescent="0.15">
      <c r="A96" s="707"/>
      <c r="B96" s="707"/>
      <c r="C96" s="422" t="s">
        <v>87</v>
      </c>
      <c r="D96" s="749"/>
      <c r="E96" s="707"/>
      <c r="F96" s="707"/>
      <c r="G96" s="699"/>
      <c r="H96" s="699"/>
      <c r="I96" s="699"/>
      <c r="J96" s="699"/>
      <c r="K96" s="699"/>
      <c r="L96" s="699"/>
      <c r="M96" s="699"/>
      <c r="N96" s="699"/>
      <c r="O96" s="699"/>
      <c r="P96" s="699"/>
      <c r="Q96" s="699"/>
      <c r="R96" s="699">
        <f t="shared" ref="R96:AA96" si="65">Q58*$C$106*O$108</f>
        <v>6.2641711218239964</v>
      </c>
      <c r="S96" s="699">
        <f t="shared" si="65"/>
        <v>5.9509625657327963</v>
      </c>
      <c r="T96" s="699">
        <f t="shared" si="65"/>
        <v>5.6534144374461563</v>
      </c>
      <c r="U96" s="699">
        <f t="shared" si="65"/>
        <v>5.3707437155738482</v>
      </c>
      <c r="V96" s="699">
        <f t="shared" si="65"/>
        <v>5.1022065297951551</v>
      </c>
      <c r="W96" s="699">
        <f t="shared" si="65"/>
        <v>4.8470962033053979</v>
      </c>
      <c r="X96" s="699">
        <f t="shared" si="65"/>
        <v>4.6047413931401273</v>
      </c>
      <c r="Y96" s="699">
        <f t="shared" si="65"/>
        <v>4.3745043234831211</v>
      </c>
      <c r="Z96" s="699">
        <f t="shared" si="65"/>
        <v>4.1557791073089652</v>
      </c>
      <c r="AA96" s="699">
        <f t="shared" si="65"/>
        <v>3.9479901519435163</v>
      </c>
      <c r="AB96" s="750"/>
      <c r="AC96" s="751" t="s">
        <v>144</v>
      </c>
    </row>
    <row r="97" spans="1:44" s="751" customFormat="1" ht="22.5" customHeight="1" x14ac:dyDescent="0.15">
      <c r="A97" s="707"/>
      <c r="B97" s="707"/>
      <c r="C97" s="695" t="s">
        <v>101</v>
      </c>
      <c r="D97" s="749"/>
      <c r="E97" s="707" t="s">
        <v>90</v>
      </c>
      <c r="F97" s="707"/>
      <c r="G97" s="699">
        <f>F62*$C$107</f>
        <v>4.8</v>
      </c>
      <c r="H97" s="699">
        <f>G62*$C$107*0.85</f>
        <v>8.2619999999999987</v>
      </c>
      <c r="I97" s="699">
        <f t="shared" ref="I97:AA97" si="66">H62*$C$107*F$108</f>
        <v>12.096</v>
      </c>
      <c r="J97" s="699">
        <f t="shared" si="66"/>
        <v>14.347199999999999</v>
      </c>
      <c r="K97" s="699">
        <f t="shared" si="66"/>
        <v>13.541639999999996</v>
      </c>
      <c r="L97" s="699">
        <f t="shared" si="66"/>
        <v>11.848934999999999</v>
      </c>
      <c r="M97" s="699">
        <f t="shared" si="66"/>
        <v>10.447231199999997</v>
      </c>
      <c r="N97" s="699">
        <f t="shared" si="66"/>
        <v>7.9060127999999947</v>
      </c>
      <c r="O97" s="699">
        <f t="shared" si="66"/>
        <v>6.995240125439997</v>
      </c>
      <c r="P97" s="699">
        <f t="shared" si="66"/>
        <v>5.0772327235459178</v>
      </c>
      <c r="Q97" s="699">
        <f t="shared" si="66"/>
        <v>3.7436129281611907</v>
      </c>
      <c r="R97" s="699">
        <f t="shared" si="66"/>
        <v>2.95745421324734</v>
      </c>
      <c r="S97" s="699">
        <f t="shared" si="66"/>
        <v>2.8095815025849733</v>
      </c>
      <c r="T97" s="699">
        <f t="shared" si="66"/>
        <v>2.6691024274557242</v>
      </c>
      <c r="U97" s="699">
        <f t="shared" si="66"/>
        <v>2.5356473060829381</v>
      </c>
      <c r="V97" s="699">
        <f t="shared" si="66"/>
        <v>2.4088649407787908</v>
      </c>
      <c r="W97" s="699">
        <f t="shared" si="66"/>
        <v>2.2884216937398514</v>
      </c>
      <c r="X97" s="699">
        <f t="shared" si="66"/>
        <v>2.1740006090528587</v>
      </c>
      <c r="Y97" s="699">
        <f t="shared" si="66"/>
        <v>2.0653005786002159</v>
      </c>
      <c r="Z97" s="699">
        <f t="shared" si="66"/>
        <v>1.9620355496702049</v>
      </c>
      <c r="AA97" s="699">
        <f t="shared" si="66"/>
        <v>1.8639337721866944</v>
      </c>
      <c r="AB97" s="750"/>
    </row>
    <row r="98" spans="1:44" s="751" customFormat="1" ht="22.5" customHeight="1" x14ac:dyDescent="0.15">
      <c r="A98" s="707"/>
      <c r="B98" s="707"/>
      <c r="C98" s="422" t="s">
        <v>87</v>
      </c>
      <c r="D98" s="749"/>
      <c r="E98" s="707"/>
      <c r="F98" s="707"/>
      <c r="G98" s="699"/>
      <c r="H98" s="699"/>
      <c r="I98" s="699"/>
      <c r="J98" s="699"/>
      <c r="K98" s="699"/>
      <c r="L98" s="699"/>
      <c r="M98" s="699"/>
      <c r="N98" s="699"/>
      <c r="O98" s="699"/>
      <c r="P98" s="699"/>
      <c r="Q98" s="699"/>
      <c r="R98" s="699">
        <f t="shared" ref="R98:AA98" si="67">Q63*$C$107*O$108</f>
        <v>2.6100713007599987</v>
      </c>
      <c r="S98" s="699">
        <f t="shared" si="67"/>
        <v>2.4795677357219987</v>
      </c>
      <c r="T98" s="699">
        <f t="shared" si="67"/>
        <v>2.3555893489358986</v>
      </c>
      <c r="U98" s="699">
        <f t="shared" si="67"/>
        <v>2.2378098814891034</v>
      </c>
      <c r="V98" s="699">
        <f t="shared" si="67"/>
        <v>2.125919387414648</v>
      </c>
      <c r="W98" s="699">
        <f t="shared" si="67"/>
        <v>2.0196234180439157</v>
      </c>
      <c r="X98" s="699">
        <f t="shared" si="67"/>
        <v>1.9186422471417199</v>
      </c>
      <c r="Y98" s="699">
        <f t="shared" si="67"/>
        <v>1.822710134784634</v>
      </c>
      <c r="Z98" s="699">
        <f t="shared" si="67"/>
        <v>1.7315746280454021</v>
      </c>
      <c r="AA98" s="699">
        <f t="shared" si="67"/>
        <v>1.6449958966431319</v>
      </c>
      <c r="AB98" s="750"/>
      <c r="AC98" s="751" t="s">
        <v>145</v>
      </c>
      <c r="AD98" s="884" t="s">
        <v>146</v>
      </c>
      <c r="AE98" s="726">
        <v>2015</v>
      </c>
      <c r="AF98" s="726">
        <v>2016</v>
      </c>
      <c r="AG98" s="726">
        <v>2017</v>
      </c>
      <c r="AH98" s="726">
        <v>2018</v>
      </c>
      <c r="AI98" s="726">
        <v>2019</v>
      </c>
      <c r="AJ98" s="726">
        <v>2020</v>
      </c>
      <c r="AK98" s="726">
        <v>2021</v>
      </c>
      <c r="AL98" s="726">
        <v>2022</v>
      </c>
      <c r="AM98" s="726">
        <v>2023</v>
      </c>
      <c r="AN98" s="726">
        <v>2024</v>
      </c>
      <c r="AO98" s="726">
        <v>2025</v>
      </c>
      <c r="AP98" s="694"/>
    </row>
    <row r="99" spans="1:44" ht="12.75" customHeight="1" x14ac:dyDescent="0.15">
      <c r="A99" s="422"/>
      <c r="B99" s="422"/>
      <c r="C99" s="695" t="s">
        <v>99</v>
      </c>
      <c r="D99" s="738"/>
      <c r="E99" s="707" t="s">
        <v>90</v>
      </c>
      <c r="F99" s="422"/>
      <c r="G99" s="708">
        <f>F67*$C$108</f>
        <v>5.7599999999999998E-2</v>
      </c>
      <c r="H99" s="708">
        <f>G67*$C$108*0.85</f>
        <v>0.16524</v>
      </c>
      <c r="I99" s="708">
        <f t="shared" ref="I99:AA99" si="68">H67*$C$108*F$108</f>
        <v>0.41580000000000006</v>
      </c>
      <c r="J99" s="708">
        <f t="shared" si="68"/>
        <v>0.98783999999999983</v>
      </c>
      <c r="K99" s="708">
        <f t="shared" si="68"/>
        <v>2.304959999999999</v>
      </c>
      <c r="L99" s="708">
        <f>K67*$C$108*I$108</f>
        <v>3.7239509999999991</v>
      </c>
      <c r="M99" s="708">
        <f>L67*$C$108*J$108</f>
        <v>4.850500199999999</v>
      </c>
      <c r="N99" s="708">
        <f t="shared" si="68"/>
        <v>5.9295095999999967</v>
      </c>
      <c r="O99" s="708">
        <f t="shared" si="68"/>
        <v>6.995240125439997</v>
      </c>
      <c r="P99" s="708">
        <f t="shared" si="68"/>
        <v>8.365345344508988</v>
      </c>
      <c r="Q99" s="708">
        <f>P67*$C$108*N$108</f>
        <v>9.62643324384306</v>
      </c>
      <c r="R99" s="708">
        <f t="shared" si="68"/>
        <v>10.410238830630636</v>
      </c>
      <c r="S99" s="708">
        <f t="shared" si="68"/>
        <v>14.205244077069624</v>
      </c>
      <c r="T99" s="708">
        <f t="shared" si="68"/>
        <v>19.989441899701411</v>
      </c>
      <c r="U99" s="708">
        <f t="shared" si="68"/>
        <v>26.003598652591574</v>
      </c>
      <c r="V99" s="708">
        <f t="shared" si="68"/>
        <v>33.026570565610733</v>
      </c>
      <c r="W99" s="708">
        <f t="shared" si="68"/>
        <v>31.375242037330196</v>
      </c>
      <c r="X99" s="708">
        <f t="shared" si="68"/>
        <v>29.806479935463685</v>
      </c>
      <c r="Y99" s="708">
        <f t="shared" si="68"/>
        <v>28.316155938690503</v>
      </c>
      <c r="Z99" s="708">
        <f>Y67*$C$108*W$108</f>
        <v>26.900348141755973</v>
      </c>
      <c r="AA99" s="708">
        <f t="shared" si="68"/>
        <v>25.555330734668175</v>
      </c>
      <c r="AB99" s="750"/>
      <c r="AD99" s="884"/>
      <c r="AE99" s="751">
        <f>(L121/K67)/2652*1000000</f>
        <v>65.320687058823552</v>
      </c>
      <c r="AF99" s="751">
        <f t="shared" ref="AF99:AJ99" si="69">(M121/L67)/2652*1000000</f>
        <v>50.950135905882355</v>
      </c>
      <c r="AG99" s="751">
        <f t="shared" si="69"/>
        <v>39.741106006588247</v>
      </c>
      <c r="AH99" s="751">
        <f t="shared" si="69"/>
        <v>30.99806268513883</v>
      </c>
      <c r="AI99" s="751">
        <f t="shared" si="69"/>
        <v>24.178488894408286</v>
      </c>
      <c r="AJ99" s="751">
        <f t="shared" si="69"/>
        <v>18.859221337638459</v>
      </c>
      <c r="AK99" s="751">
        <f>(R122/Q69)/2652*1000000</f>
        <v>14.710192643358001</v>
      </c>
      <c r="AL99" s="751">
        <f t="shared" ref="AL99:AN99" si="70">(S122/R69)/2652*1000000</f>
        <v>13.974683011190098</v>
      </c>
      <c r="AM99" s="751">
        <f t="shared" si="70"/>
        <v>13.275948860630594</v>
      </c>
      <c r="AN99" s="751">
        <f t="shared" si="70"/>
        <v>12.61215141759906</v>
      </c>
      <c r="AO99" s="751">
        <f>(V122/U69)/2652*1000000</f>
        <v>11.981543846719109</v>
      </c>
      <c r="AP99" s="694" t="s">
        <v>301</v>
      </c>
      <c r="AQ99" s="728">
        <f>1-(AO99/AE99)^0.1</f>
        <v>0.15599269848047859</v>
      </c>
      <c r="AR99" s="694" t="s">
        <v>303</v>
      </c>
    </row>
    <row r="100" spans="1:44" ht="12.75" customHeight="1" x14ac:dyDescent="0.15">
      <c r="A100" s="422"/>
      <c r="B100" s="422"/>
      <c r="C100" s="422" t="s">
        <v>87</v>
      </c>
      <c r="D100" s="738"/>
      <c r="E100" s="707"/>
      <c r="F100" s="422"/>
      <c r="G100" s="708"/>
      <c r="H100" s="708"/>
      <c r="I100" s="708"/>
      <c r="J100" s="708"/>
      <c r="K100" s="708"/>
      <c r="L100" s="708"/>
      <c r="M100" s="708"/>
      <c r="N100" s="708"/>
      <c r="O100" s="708"/>
      <c r="P100" s="708"/>
      <c r="Q100" s="708"/>
      <c r="R100" s="708">
        <f>Q68*$C$108*O$108</f>
        <v>9.1874509786751943</v>
      </c>
      <c r="S100" s="708">
        <f t="shared" ref="S100:Y100" si="71">R68*$C$108*P$108</f>
        <v>11.108463456034553</v>
      </c>
      <c r="T100" s="708">
        <f t="shared" si="71"/>
        <v>13.850865371743078</v>
      </c>
      <c r="U100" s="708">
        <f t="shared" si="71"/>
        <v>15.965430818495856</v>
      </c>
      <c r="V100" s="708">
        <f t="shared" si="71"/>
        <v>17.96725022112264</v>
      </c>
      <c r="W100" s="708">
        <f t="shared" si="71"/>
        <v>17.068887710066509</v>
      </c>
      <c r="X100" s="708">
        <f t="shared" si="71"/>
        <v>16.215443324563182</v>
      </c>
      <c r="Y100" s="708">
        <f t="shared" si="71"/>
        <v>15.404671158335024</v>
      </c>
      <c r="Z100" s="708">
        <f>Y68*$C$108*W$108</f>
        <v>14.634437600418272</v>
      </c>
      <c r="AA100" s="708">
        <f>Z68*$C$108*X$108</f>
        <v>13.902715720397357</v>
      </c>
      <c r="AB100" s="750"/>
      <c r="AC100" s="694" t="s">
        <v>146</v>
      </c>
      <c r="AD100" s="884"/>
      <c r="AE100" s="751">
        <f>($L$121/K67)/2652*1000000</f>
        <v>65.320687058823552</v>
      </c>
      <c r="AF100" s="751">
        <f>($L$121/L67)/2652*1000000</f>
        <v>35.10477672496026</v>
      </c>
      <c r="AG100" s="751">
        <f t="shared" ref="AG100:AJ100" si="72">($L$121/M67)/2652*1000000</f>
        <v>20.101663815126059</v>
      </c>
      <c r="AH100" s="751">
        <f>($L$121/N67)/2652*1000000</f>
        <v>11.92741128270929</v>
      </c>
      <c r="AI100" s="751">
        <f t="shared" si="72"/>
        <v>6.9817290013663795</v>
      </c>
      <c r="AJ100" s="751">
        <f t="shared" si="72"/>
        <v>4.2469729860632341</v>
      </c>
      <c r="AK100" s="751">
        <f>($L$121/Q69)/2652*1000000</f>
        <v>2.9072654278074874</v>
      </c>
      <c r="AL100" s="751">
        <f t="shared" ref="AL100:AN100" si="73">($L$121/R69)/2652*1000000</f>
        <v>2.1319946470588236</v>
      </c>
      <c r="AM100" s="751">
        <f t="shared" si="73"/>
        <v>1.5160850823529415</v>
      </c>
      <c r="AN100" s="751">
        <f t="shared" si="73"/>
        <v>1.1662192941176475</v>
      </c>
      <c r="AO100" s="751">
        <f>($L$121/U69)/2652*1000000</f>
        <v>0.9188394438502675</v>
      </c>
      <c r="AP100" s="694" t="s">
        <v>300</v>
      </c>
      <c r="AQ100" s="728">
        <f>1-(AO100/AE100)^0.1</f>
        <v>0.34714176192518698</v>
      </c>
      <c r="AR100" s="694" t="s">
        <v>303</v>
      </c>
    </row>
    <row r="101" spans="1:44" ht="12.75" customHeight="1" x14ac:dyDescent="0.15">
      <c r="A101" s="422"/>
      <c r="B101" s="422"/>
      <c r="C101" s="695" t="s">
        <v>100</v>
      </c>
      <c r="D101" s="738"/>
      <c r="E101" s="707" t="s">
        <v>90</v>
      </c>
      <c r="F101" s="422"/>
      <c r="G101" s="708">
        <f>F72*$C$109</f>
        <v>5.3290705182007515E-18</v>
      </c>
      <c r="H101" s="708">
        <f>G72*$C$109*0.85</f>
        <v>-8.5373999999998262E-4</v>
      </c>
      <c r="I101" s="708">
        <f t="shared" ref="I101:Z101" si="74">H72*$C$109*F$108</f>
        <v>-1.7501400000000193E-4</v>
      </c>
      <c r="J101" s="708">
        <f t="shared" si="74"/>
        <v>-1.3349904959999929E-3</v>
      </c>
      <c r="K101" s="708">
        <f t="shared" si="74"/>
        <v>-2.0005512510480037E-3</v>
      </c>
      <c r="L101" s="708">
        <f t="shared" si="74"/>
        <v>1.7371453644135695E-3</v>
      </c>
      <c r="M101" s="708">
        <f t="shared" si="74"/>
        <v>0</v>
      </c>
      <c r="N101" s="709">
        <f t="shared" si="74"/>
        <v>0</v>
      </c>
      <c r="O101" s="709">
        <f t="shared" si="74"/>
        <v>1.8330814101968173E-3</v>
      </c>
      <c r="P101" s="709">
        <f t="shared" si="74"/>
        <v>2.2536668268385005E-3</v>
      </c>
      <c r="Q101" s="709">
        <f t="shared" si="74"/>
        <v>1.0696036937603529E-2</v>
      </c>
      <c r="R101" s="709">
        <f t="shared" si="74"/>
        <v>6.5063992691441405E-2</v>
      </c>
      <c r="S101" s="709">
        <f t="shared" si="74"/>
        <v>0.28208198285953123</v>
      </c>
      <c r="T101" s="709">
        <f t="shared" si="74"/>
        <v>0.59691806687619808</v>
      </c>
      <c r="U101" s="709">
        <f t="shared" si="74"/>
        <v>1.3342669436429284</v>
      </c>
      <c r="V101" s="709">
        <f t="shared" si="74"/>
        <v>2.6395434669079019</v>
      </c>
      <c r="W101" s="709">
        <f t="shared" si="74"/>
        <v>5.8162281811355099</v>
      </c>
      <c r="X101" s="709">
        <f t="shared" si="74"/>
        <v>10.49171826532581</v>
      </c>
      <c r="Y101" s="709">
        <f t="shared" si="74"/>
        <v>17.421550893423387</v>
      </c>
      <c r="Z101" s="709">
        <f t="shared" si="74"/>
        <v>27.739555579339378</v>
      </c>
      <c r="AA101" s="708">
        <f>Z72*$C$109*X$108</f>
        <v>43.147390228483729</v>
      </c>
      <c r="AE101" s="751"/>
      <c r="AF101" s="751"/>
      <c r="AG101" s="751"/>
      <c r="AH101" s="751"/>
      <c r="AI101" s="751"/>
      <c r="AJ101" s="751"/>
      <c r="AK101" s="751"/>
      <c r="AL101" s="751"/>
      <c r="AM101" s="751"/>
      <c r="AN101" s="751"/>
      <c r="AO101" s="751"/>
    </row>
    <row r="102" spans="1:44" ht="12.75" customHeight="1" x14ac:dyDescent="0.15">
      <c r="A102" s="422"/>
      <c r="B102" s="422"/>
      <c r="C102" s="422" t="s">
        <v>87</v>
      </c>
      <c r="D102" s="738"/>
      <c r="E102" s="707"/>
      <c r="F102" s="422"/>
      <c r="G102" s="708"/>
      <c r="H102" s="708"/>
      <c r="I102" s="708"/>
      <c r="J102" s="708"/>
      <c r="K102" s="708"/>
      <c r="L102" s="708"/>
      <c r="M102" s="708"/>
      <c r="N102" s="709"/>
      <c r="O102" s="709"/>
      <c r="P102" s="709"/>
      <c r="Q102" s="709"/>
      <c r="R102" s="709">
        <f>Q73*$C$109*O$108</f>
        <v>5.7421568616719904E-2</v>
      </c>
      <c r="S102" s="709">
        <f t="shared" ref="S102:Z102" si="75">R73*$C$109*P$108</f>
        <v>0.22058736767916703</v>
      </c>
      <c r="T102" s="709">
        <f t="shared" si="75"/>
        <v>0.4136099358725393</v>
      </c>
      <c r="U102" s="709">
        <f t="shared" si="75"/>
        <v>0.81919994485125081</v>
      </c>
      <c r="V102" s="709">
        <f t="shared" si="75"/>
        <v>1.4359752504501921</v>
      </c>
      <c r="W102" s="709">
        <f t="shared" si="75"/>
        <v>2.8036934151458186</v>
      </c>
      <c r="X102" s="709">
        <f t="shared" si="75"/>
        <v>4.4813271925379841</v>
      </c>
      <c r="Y102" s="709">
        <f t="shared" si="75"/>
        <v>6.5935271179894936</v>
      </c>
      <c r="Z102" s="709">
        <f t="shared" si="75"/>
        <v>9.3025375201194365</v>
      </c>
      <c r="AA102" s="708">
        <f>Z73*$C$109*X$108</f>
        <v>12.82116273894064</v>
      </c>
      <c r="AB102" s="752"/>
      <c r="AC102" s="694" t="s">
        <v>147</v>
      </c>
      <c r="AD102" s="885" t="s">
        <v>147</v>
      </c>
      <c r="AE102" s="726">
        <v>2015</v>
      </c>
      <c r="AF102" s="726">
        <v>2016</v>
      </c>
      <c r="AG102" s="726">
        <v>2017</v>
      </c>
      <c r="AH102" s="726">
        <v>2018</v>
      </c>
      <c r="AI102" s="726">
        <v>2019</v>
      </c>
      <c r="AJ102" s="726">
        <v>2020</v>
      </c>
      <c r="AK102" s="726">
        <v>2021</v>
      </c>
      <c r="AL102" s="726">
        <v>2022</v>
      </c>
      <c r="AM102" s="726">
        <v>2023</v>
      </c>
      <c r="AN102" s="726">
        <v>2024</v>
      </c>
      <c r="AO102" s="726">
        <v>2025</v>
      </c>
    </row>
    <row r="103" spans="1:44" ht="15.75" customHeight="1" x14ac:dyDescent="0.15">
      <c r="A103" s="422"/>
      <c r="B103" s="422"/>
      <c r="C103" s="422"/>
      <c r="D103" s="738"/>
      <c r="E103" s="422"/>
      <c r="F103" s="695"/>
      <c r="G103" s="695">
        <v>2010</v>
      </c>
      <c r="H103" s="695">
        <v>2011</v>
      </c>
      <c r="I103" s="702">
        <v>2012</v>
      </c>
      <c r="J103" s="702">
        <v>2013</v>
      </c>
      <c r="K103" s="702">
        <v>2014</v>
      </c>
      <c r="L103" s="702">
        <v>2015</v>
      </c>
      <c r="M103" s="702">
        <v>2016</v>
      </c>
      <c r="N103" s="702">
        <v>2017</v>
      </c>
      <c r="O103" s="702">
        <v>2018</v>
      </c>
      <c r="P103" s="702">
        <v>2019</v>
      </c>
      <c r="Q103" s="702">
        <v>2020</v>
      </c>
      <c r="R103" s="702">
        <v>2021</v>
      </c>
      <c r="S103" s="702">
        <v>2022</v>
      </c>
      <c r="T103" s="702">
        <v>2023</v>
      </c>
      <c r="U103" s="702">
        <v>2024</v>
      </c>
      <c r="V103" s="702">
        <v>2025</v>
      </c>
      <c r="W103" s="702">
        <v>2026</v>
      </c>
      <c r="X103" s="702">
        <v>2027</v>
      </c>
      <c r="Y103" s="702">
        <v>2028</v>
      </c>
      <c r="Z103" s="702">
        <v>2029</v>
      </c>
      <c r="AA103" s="702">
        <v>2030</v>
      </c>
      <c r="AD103" s="885"/>
      <c r="AE103" s="750">
        <v>0</v>
      </c>
      <c r="AF103" s="750">
        <v>0</v>
      </c>
      <c r="AG103" s="750">
        <v>0</v>
      </c>
      <c r="AH103" s="750">
        <f>(O123/N72)/2652*1000000</f>
        <v>3.0998062685138827</v>
      </c>
      <c r="AI103" s="750">
        <f>(P123/O72)/2652*1000000</f>
        <v>2.4178488894408288</v>
      </c>
      <c r="AJ103" s="750">
        <f>(Q123/P72)/2652*1000000</f>
        <v>1.8859221337638463</v>
      </c>
      <c r="AK103" s="750">
        <f>(R124/Q74)/2652*1000000</f>
        <v>1.4710192643358</v>
      </c>
      <c r="AL103" s="750">
        <f t="shared" ref="AL103:AN103" si="76">(S124/R74)/2652*1000000</f>
        <v>1.3974683011190097</v>
      </c>
      <c r="AM103" s="750">
        <f t="shared" si="76"/>
        <v>1.3275948860630591</v>
      </c>
      <c r="AN103" s="750">
        <f t="shared" si="76"/>
        <v>1.2612151417599062</v>
      </c>
      <c r="AO103" s="750">
        <f>(V124/U74)/2652*1000000</f>
        <v>1.1981543846719109</v>
      </c>
      <c r="AP103" s="694" t="s">
        <v>301</v>
      </c>
      <c r="AQ103" s="728">
        <f>1-(AO103/AH103)^0.1</f>
        <v>9.0677739421830994E-2</v>
      </c>
    </row>
    <row r="104" spans="1:44" x14ac:dyDescent="0.15">
      <c r="A104" s="694" t="s">
        <v>107</v>
      </c>
      <c r="B104" s="422"/>
      <c r="C104" s="753"/>
      <c r="D104" s="754"/>
      <c r="E104" s="754"/>
      <c r="F104" s="755" t="s">
        <v>46</v>
      </c>
      <c r="G104" s="756">
        <f>SUM(G94:G101)</f>
        <v>134.69477647058824</v>
      </c>
      <c r="H104" s="756">
        <f>SUM(H94:H101)</f>
        <v>125.90228225999998</v>
      </c>
      <c r="I104" s="756">
        <f t="shared" ref="I104:Q104" si="77">SUM(I94:I101)</f>
        <v>116.00045411541173</v>
      </c>
      <c r="J104" s="756">
        <f t="shared" si="77"/>
        <v>95.669677678492206</v>
      </c>
      <c r="K104" s="756">
        <f>SUM(K94:K101)</f>
        <v>78.76252347857988</v>
      </c>
      <c r="L104" s="756">
        <f>SUM(L94:L101)</f>
        <v>64.470301470187195</v>
      </c>
      <c r="M104" s="756">
        <f t="shared" si="77"/>
        <v>52.283699950603783</v>
      </c>
      <c r="N104" s="756">
        <f t="shared" si="77"/>
        <v>41.284162401140414</v>
      </c>
      <c r="O104" s="756">
        <f t="shared" si="77"/>
        <v>34.969549988503182</v>
      </c>
      <c r="P104" s="756">
        <f t="shared" si="77"/>
        <v>29.552460650839553</v>
      </c>
      <c r="Q104" s="756">
        <f t="shared" si="77"/>
        <v>25.72036635403629</v>
      </c>
      <c r="R104" s="756">
        <f>R94+R96+R98+R100+R102</f>
        <v>20.767071186384143</v>
      </c>
      <c r="S104" s="756">
        <f t="shared" ref="S104:Y104" si="78">S94+S96+S98+S100+S102</f>
        <v>22.275139530851334</v>
      </c>
      <c r="T104" s="756">
        <f t="shared" si="78"/>
        <v>24.663259579396353</v>
      </c>
      <c r="U104" s="756">
        <f t="shared" si="78"/>
        <v>26.663475821538803</v>
      </c>
      <c r="V104" s="756">
        <f t="shared" si="78"/>
        <v>28.788128276854941</v>
      </c>
      <c r="W104" s="756">
        <f t="shared" si="78"/>
        <v>28.788238790230334</v>
      </c>
      <c r="X104" s="756">
        <f t="shared" si="78"/>
        <v>29.166645298868275</v>
      </c>
      <c r="Y104" s="756">
        <f t="shared" si="78"/>
        <v>30.044579319003269</v>
      </c>
      <c r="Z104" s="756">
        <f>Z94+Z96+Z98+Z100+Z102</f>
        <v>31.581037111082523</v>
      </c>
      <c r="AA104" s="756">
        <f>AA94+AA96+AA98+AA100+AA102</f>
        <v>33.985737350355564</v>
      </c>
      <c r="AD104" s="885"/>
      <c r="AE104" s="750">
        <v>0</v>
      </c>
      <c r="AF104" s="750">
        <v>0</v>
      </c>
      <c r="AG104" s="750">
        <v>0</v>
      </c>
      <c r="AH104" s="750">
        <f>($O$123/N72)/2652*1000000</f>
        <v>3.0998062685138827</v>
      </c>
      <c r="AI104" s="750">
        <f t="shared" ref="AI104:AJ104" si="79">($O$123/O72)/2652*1000000</f>
        <v>1.7649184097885675</v>
      </c>
      <c r="AJ104" s="750">
        <f t="shared" si="79"/>
        <v>0.26030918430763766</v>
      </c>
      <c r="AK104" s="750">
        <f>($O$123/Q74)/2652*1000000</f>
        <v>3.1679050030298112E-2</v>
      </c>
      <c r="AL104" s="750">
        <f t="shared" ref="AL104:AN104" si="80">($O$123/R74)/2652*1000000</f>
        <v>7.3118444824247092E-3</v>
      </c>
      <c r="AM104" s="750">
        <f t="shared" si="80"/>
        <v>3.4576179393549051E-3</v>
      </c>
      <c r="AN104" s="750">
        <f t="shared" si="80"/>
        <v>1.5478840791745415E-3</v>
      </c>
      <c r="AO104" s="750">
        <f>($O$123/U74)/2652*1000000</f>
        <v>7.8296396544199416E-4</v>
      </c>
      <c r="AP104" s="694" t="s">
        <v>300</v>
      </c>
      <c r="AQ104" s="728">
        <f>1-(AO104/AH104)^0.1</f>
        <v>0.56324214716484566</v>
      </c>
    </row>
    <row r="105" spans="1:44" x14ac:dyDescent="0.15">
      <c r="A105" s="422"/>
      <c r="B105" s="422" t="s">
        <v>111</v>
      </c>
      <c r="C105" s="422">
        <v>5</v>
      </c>
      <c r="D105" s="754"/>
      <c r="E105" s="757"/>
      <c r="F105" s="758" t="s">
        <v>47</v>
      </c>
      <c r="G105" s="759">
        <f t="shared" ref="G105:AA105" si="81">G171+G189</f>
        <v>204.1</v>
      </c>
      <c r="H105" s="759">
        <f t="shared" si="81"/>
        <v>224.4</v>
      </c>
      <c r="I105" s="759">
        <f t="shared" si="81"/>
        <v>247.64000000000001</v>
      </c>
      <c r="J105" s="759">
        <f t="shared" si="81"/>
        <v>243.11569702127665</v>
      </c>
      <c r="K105" s="759">
        <f t="shared" si="81"/>
        <v>239.68025338553196</v>
      </c>
      <c r="L105" s="759">
        <f t="shared" si="81"/>
        <v>237.26547829781794</v>
      </c>
      <c r="M105" s="759">
        <f t="shared" si="81"/>
        <v>239.95629045106392</v>
      </c>
      <c r="N105" s="759">
        <f t="shared" si="81"/>
        <v>239.52860272422137</v>
      </c>
      <c r="O105" s="759">
        <f t="shared" si="81"/>
        <v>239.96609015065505</v>
      </c>
      <c r="P105" s="759">
        <f t="shared" si="81"/>
        <v>241.22571886220916</v>
      </c>
      <c r="Q105" s="759">
        <f t="shared" si="81"/>
        <v>243.269566032939</v>
      </c>
      <c r="R105" s="759">
        <f t="shared" si="81"/>
        <v>246.06442306986875</v>
      </c>
      <c r="S105" s="759">
        <f t="shared" si="81"/>
        <v>281.7679540759479</v>
      </c>
      <c r="T105" s="759">
        <f t="shared" si="81"/>
        <v>324.65395141237133</v>
      </c>
      <c r="U105" s="759">
        <f t="shared" si="81"/>
        <v>376.33517120161048</v>
      </c>
      <c r="V105" s="759">
        <f t="shared" si="81"/>
        <v>438.79813717537712</v>
      </c>
      <c r="W105" s="759">
        <f t="shared" si="81"/>
        <v>0</v>
      </c>
      <c r="X105" s="759" t="e">
        <f t="shared" si="81"/>
        <v>#DIV/0!</v>
      </c>
      <c r="Y105" s="759" t="e">
        <f t="shared" si="81"/>
        <v>#DIV/0!</v>
      </c>
      <c r="Z105" s="759" t="e">
        <f t="shared" si="81"/>
        <v>#DIV/0!</v>
      </c>
      <c r="AA105" s="759" t="e">
        <f t="shared" si="81"/>
        <v>#DIV/0!</v>
      </c>
    </row>
    <row r="106" spans="1:44" x14ac:dyDescent="0.15">
      <c r="A106" s="422"/>
      <c r="B106" s="422" t="s">
        <v>112</v>
      </c>
      <c r="C106" s="422">
        <v>20</v>
      </c>
      <c r="D106" s="754"/>
      <c r="E106" s="757"/>
      <c r="F106" s="760" t="s">
        <v>59</v>
      </c>
      <c r="G106" s="761">
        <f>SUM(G104:G105)</f>
        <v>338.7947764705882</v>
      </c>
      <c r="H106" s="761">
        <f t="shared" ref="H106:AA106" si="82">SUM(H104:H105)</f>
        <v>350.30228225999997</v>
      </c>
      <c r="I106" s="761">
        <f t="shared" si="82"/>
        <v>363.64045411541173</v>
      </c>
      <c r="J106" s="761">
        <f>SUM(J104:J105)</f>
        <v>338.78537469976885</v>
      </c>
      <c r="K106" s="761">
        <f t="shared" si="82"/>
        <v>318.44277686411181</v>
      </c>
      <c r="L106" s="761">
        <f t="shared" si="82"/>
        <v>301.73577976800516</v>
      </c>
      <c r="M106" s="761">
        <f t="shared" si="82"/>
        <v>292.23999040166768</v>
      </c>
      <c r="N106" s="761">
        <f t="shared" si="82"/>
        <v>280.81276512536181</v>
      </c>
      <c r="O106" s="761">
        <f t="shared" si="82"/>
        <v>274.93564013915824</v>
      </c>
      <c r="P106" s="761">
        <f t="shared" si="82"/>
        <v>270.77817951304871</v>
      </c>
      <c r="Q106" s="761">
        <f t="shared" si="82"/>
        <v>268.98993238697528</v>
      </c>
      <c r="R106" s="761">
        <f t="shared" si="82"/>
        <v>266.83149425625288</v>
      </c>
      <c r="S106" s="761">
        <f t="shared" si="82"/>
        <v>304.04309360679923</v>
      </c>
      <c r="T106" s="761">
        <f t="shared" si="82"/>
        <v>349.31721099176769</v>
      </c>
      <c r="U106" s="761">
        <f t="shared" si="82"/>
        <v>402.99864702314926</v>
      </c>
      <c r="V106" s="761">
        <f t="shared" si="82"/>
        <v>467.58626545223206</v>
      </c>
      <c r="W106" s="761">
        <f t="shared" si="82"/>
        <v>28.788238790230334</v>
      </c>
      <c r="X106" s="761" t="e">
        <f t="shared" si="82"/>
        <v>#DIV/0!</v>
      </c>
      <c r="Y106" s="761" t="e">
        <f t="shared" si="82"/>
        <v>#DIV/0!</v>
      </c>
      <c r="Z106" s="761" t="e">
        <f t="shared" si="82"/>
        <v>#DIV/0!</v>
      </c>
      <c r="AA106" s="761" t="e">
        <f t="shared" si="82"/>
        <v>#DIV/0!</v>
      </c>
      <c r="AB106" s="762"/>
    </row>
    <row r="107" spans="1:44" x14ac:dyDescent="0.15">
      <c r="A107" s="422"/>
      <c r="B107" s="422" t="s">
        <v>113</v>
      </c>
      <c r="C107" s="422">
        <v>2.5</v>
      </c>
      <c r="D107" s="754"/>
      <c r="E107" s="711"/>
      <c r="F107" s="757"/>
      <c r="G107" s="757"/>
      <c r="H107" s="757"/>
      <c r="I107" s="757"/>
      <c r="J107" s="763"/>
      <c r="K107" s="763"/>
      <c r="L107" s="763"/>
      <c r="M107" s="763"/>
      <c r="N107" s="764"/>
      <c r="O107" s="711"/>
      <c r="P107" s="711"/>
      <c r="Q107" s="711"/>
      <c r="R107" s="711"/>
      <c r="S107" s="711"/>
      <c r="T107" s="711"/>
      <c r="U107" s="711"/>
      <c r="V107" s="711"/>
      <c r="W107" s="711"/>
      <c r="X107" s="711"/>
      <c r="Y107" s="711"/>
      <c r="Z107" s="711"/>
      <c r="AA107" s="711"/>
      <c r="AB107" s="762"/>
    </row>
    <row r="108" spans="1:44" x14ac:dyDescent="0.15">
      <c r="A108" s="422"/>
      <c r="B108" s="422" t="s">
        <v>114</v>
      </c>
      <c r="C108" s="422">
        <v>0.5</v>
      </c>
      <c r="D108" s="754" t="s">
        <v>50</v>
      </c>
      <c r="E108" s="711"/>
      <c r="F108" s="765">
        <v>0.7</v>
      </c>
      <c r="G108" s="766">
        <f t="shared" ref="G108:O108" si="83">F108*$F$108</f>
        <v>0.48999999999999994</v>
      </c>
      <c r="H108" s="766">
        <f t="shared" si="83"/>
        <v>0.34299999999999992</v>
      </c>
      <c r="I108" s="766">
        <f t="shared" si="83"/>
        <v>0.24009999999999992</v>
      </c>
      <c r="J108" s="766">
        <f t="shared" si="83"/>
        <v>0.16806999999999994</v>
      </c>
      <c r="K108" s="766">
        <f t="shared" si="83"/>
        <v>0.11764899999999995</v>
      </c>
      <c r="L108" s="766">
        <f t="shared" si="83"/>
        <v>8.2354299999999964E-2</v>
      </c>
      <c r="M108" s="766">
        <f t="shared" si="83"/>
        <v>5.7648009999999972E-2</v>
      </c>
      <c r="N108" s="767">
        <f t="shared" si="83"/>
        <v>4.0353606999999979E-2</v>
      </c>
      <c r="O108" s="767">
        <f t="shared" si="83"/>
        <v>2.8247524899999984E-2</v>
      </c>
      <c r="P108" s="767">
        <f>O108*$F$110</f>
        <v>2.6835148654999984E-2</v>
      </c>
      <c r="Q108" s="767">
        <f t="shared" ref="Q108:W108" si="84">P108*$F$110</f>
        <v>2.5493391222249983E-2</v>
      </c>
      <c r="R108" s="767">
        <f t="shared" si="84"/>
        <v>2.4218721661137484E-2</v>
      </c>
      <c r="S108" s="767">
        <f t="shared" si="84"/>
        <v>2.3007785578080607E-2</v>
      </c>
      <c r="T108" s="767">
        <f t="shared" si="84"/>
        <v>2.1857396299176577E-2</v>
      </c>
      <c r="U108" s="767">
        <f t="shared" si="84"/>
        <v>2.0764526484217748E-2</v>
      </c>
      <c r="V108" s="767">
        <f t="shared" si="84"/>
        <v>1.9726300160006861E-2</v>
      </c>
      <c r="W108" s="767">
        <f t="shared" si="84"/>
        <v>1.8739985152006516E-2</v>
      </c>
      <c r="X108" s="767">
        <f>W108*$F$110</f>
        <v>1.7802985894406188E-2</v>
      </c>
      <c r="Y108" s="768"/>
      <c r="Z108" s="768"/>
      <c r="AA108" s="768"/>
      <c r="AB108" s="762"/>
    </row>
    <row r="109" spans="1:44" s="772" customFormat="1" x14ac:dyDescent="0.15">
      <c r="A109" s="769"/>
      <c r="B109" s="422" t="s">
        <v>115</v>
      </c>
      <c r="C109" s="422">
        <v>0.05</v>
      </c>
      <c r="D109" s="770"/>
      <c r="E109" s="422" t="s">
        <v>106</v>
      </c>
      <c r="F109" s="702">
        <v>2012</v>
      </c>
      <c r="G109" s="702">
        <v>2013</v>
      </c>
      <c r="H109" s="702">
        <v>2014</v>
      </c>
      <c r="I109" s="702">
        <v>2015</v>
      </c>
      <c r="J109" s="702">
        <v>2016</v>
      </c>
      <c r="K109" s="702">
        <v>2017</v>
      </c>
      <c r="L109" s="702">
        <v>2018</v>
      </c>
      <c r="M109" s="702">
        <v>2019</v>
      </c>
      <c r="N109" s="702">
        <v>2020</v>
      </c>
      <c r="O109" s="702">
        <v>2021</v>
      </c>
      <c r="P109" s="702">
        <v>2022</v>
      </c>
      <c r="Q109" s="702">
        <v>2023</v>
      </c>
      <c r="R109" s="702">
        <v>2024</v>
      </c>
      <c r="S109" s="702">
        <v>2025</v>
      </c>
      <c r="T109" s="702">
        <v>2026</v>
      </c>
      <c r="U109" s="702">
        <v>2027</v>
      </c>
      <c r="V109" s="702">
        <v>2028</v>
      </c>
      <c r="W109" s="702">
        <v>2029</v>
      </c>
      <c r="X109" s="702">
        <v>2030</v>
      </c>
      <c r="Y109" s="771"/>
      <c r="Z109" s="771"/>
      <c r="AA109" s="771"/>
    </row>
    <row r="110" spans="1:44" s="772" customFormat="1" x14ac:dyDescent="0.15">
      <c r="A110" s="769"/>
      <c r="C110" s="770"/>
      <c r="D110" s="770"/>
      <c r="E110" s="770"/>
      <c r="F110" s="770">
        <v>0.95</v>
      </c>
      <c r="G110" s="770"/>
      <c r="H110" s="770"/>
      <c r="I110" s="770"/>
      <c r="J110" s="770"/>
      <c r="K110" s="770"/>
      <c r="L110" s="770"/>
      <c r="M110" s="770"/>
      <c r="N110" s="771"/>
      <c r="O110" s="771"/>
      <c r="P110" s="771"/>
      <c r="Q110" s="771"/>
      <c r="R110" s="771"/>
      <c r="S110" s="771"/>
      <c r="T110" s="771"/>
      <c r="U110" s="771"/>
      <c r="V110" s="771"/>
      <c r="W110" s="771"/>
      <c r="X110" s="771"/>
      <c r="Y110" s="771"/>
      <c r="Z110" s="771"/>
      <c r="AA110" s="771"/>
    </row>
    <row r="111" spans="1:44" s="772" customFormat="1" x14ac:dyDescent="0.15">
      <c r="A111" s="769"/>
      <c r="B111" s="769"/>
      <c r="C111" s="770"/>
      <c r="D111" s="770"/>
      <c r="E111" s="770"/>
      <c r="F111" s="770"/>
      <c r="G111" s="770"/>
      <c r="H111" s="770"/>
      <c r="I111" s="770"/>
      <c r="J111" s="770"/>
      <c r="K111" s="770"/>
      <c r="L111" s="770"/>
      <c r="M111" s="770"/>
      <c r="N111" s="771"/>
      <c r="O111" s="771"/>
      <c r="P111" s="771"/>
      <c r="Q111" s="771"/>
      <c r="R111" s="771"/>
      <c r="S111" s="771"/>
      <c r="T111" s="771"/>
      <c r="U111" s="771"/>
      <c r="V111" s="771" t="s">
        <v>314</v>
      </c>
      <c r="W111" s="771" t="s">
        <v>144</v>
      </c>
      <c r="X111" s="771" t="s">
        <v>145</v>
      </c>
      <c r="Y111" s="771" t="s">
        <v>146</v>
      </c>
      <c r="Z111" s="771" t="s">
        <v>147</v>
      </c>
      <c r="AA111" s="771"/>
    </row>
    <row r="112" spans="1:44" s="772" customFormat="1" x14ac:dyDescent="0.15">
      <c r="A112" s="769"/>
      <c r="B112" s="769"/>
      <c r="C112" s="770"/>
      <c r="D112" s="770"/>
      <c r="E112" s="770"/>
      <c r="F112" s="770"/>
      <c r="G112" s="770"/>
      <c r="H112" s="770"/>
      <c r="I112" s="770"/>
      <c r="J112" s="770"/>
      <c r="K112" s="770"/>
      <c r="L112" s="770"/>
      <c r="M112" s="770"/>
      <c r="N112" s="771"/>
      <c r="O112" s="771"/>
      <c r="P112" s="771"/>
      <c r="Q112" s="771"/>
      <c r="R112" s="771"/>
      <c r="S112" s="771"/>
      <c r="T112" s="771"/>
      <c r="U112" s="771"/>
      <c r="V112" s="771">
        <f>1.6*12*7*0.78^5</f>
        <v>38.803623505920015</v>
      </c>
      <c r="W112" s="771">
        <f>9.7/100*4.7*12*37*0.78^5</f>
        <v>58.442068070081284</v>
      </c>
      <c r="X112" s="771">
        <f>35/100*4.7*12*2.9*0.78^5</f>
        <v>16.527918387052804</v>
      </c>
      <c r="Y112" s="771">
        <f>55/100*4.7*12*0.6*0.78^5</f>
        <v>5.3736089337216013</v>
      </c>
      <c r="Z112" s="771">
        <f>0/100*4.7*12*0.06*0.78^5</f>
        <v>0</v>
      </c>
      <c r="AA112" s="771"/>
    </row>
    <row r="113" spans="1:28" s="772" customFormat="1" x14ac:dyDescent="0.15">
      <c r="A113" s="769"/>
      <c r="B113" s="769"/>
      <c r="C113" s="770"/>
      <c r="D113" s="770"/>
      <c r="E113" s="770"/>
      <c r="F113" s="770"/>
      <c r="G113" s="770"/>
      <c r="H113" s="770"/>
      <c r="I113" s="770"/>
      <c r="J113" s="770"/>
      <c r="K113" s="770"/>
      <c r="L113" s="770"/>
      <c r="M113" s="770"/>
      <c r="N113" s="771"/>
      <c r="O113" s="771"/>
      <c r="P113" s="771"/>
      <c r="Q113" s="771"/>
      <c r="R113" s="771"/>
      <c r="S113" s="771"/>
      <c r="T113" s="771"/>
      <c r="U113" s="771"/>
      <c r="V113" s="771">
        <f>1.6*12*7*0.78^11*0.95^4</f>
        <v>7.117612159055799</v>
      </c>
      <c r="W113" s="771">
        <f>0.24/100*435*12*37*0.78^11*0.95^4</f>
        <v>24.548135935714939</v>
      </c>
      <c r="X113" s="771">
        <f>0.8/100*435*12*2.9*0.78^11*0.95^4</f>
        <v>6.4134769561777762</v>
      </c>
      <c r="Y113" s="771">
        <f>55/100*435*12*0.6*0.78^11*0.95^4</f>
        <v>91.226180842183908</v>
      </c>
      <c r="Z113" s="771">
        <f>44/100*435*12*0.06*0.78^11*0.95^4</f>
        <v>7.2980944673747121</v>
      </c>
      <c r="AA113" s="771"/>
    </row>
    <row r="114" spans="1:28" s="772" customFormat="1" x14ac:dyDescent="0.15">
      <c r="A114" s="769"/>
      <c r="B114" s="769"/>
      <c r="C114" s="770"/>
      <c r="D114" s="770"/>
      <c r="E114" s="770"/>
      <c r="F114" s="770"/>
      <c r="G114" s="770"/>
      <c r="H114" s="770"/>
      <c r="I114" s="770"/>
      <c r="J114" s="770"/>
      <c r="K114" s="770"/>
      <c r="L114" s="770"/>
      <c r="M114" s="770"/>
      <c r="N114" s="771"/>
      <c r="O114" s="771"/>
      <c r="P114" s="771"/>
      <c r="Q114" s="771"/>
      <c r="R114" s="771"/>
      <c r="S114" s="771"/>
      <c r="T114" s="771"/>
      <c r="U114" s="771"/>
      <c r="V114" s="771"/>
      <c r="W114" s="771"/>
      <c r="X114" s="771"/>
      <c r="Y114" s="771"/>
      <c r="Z114" s="771"/>
      <c r="AA114" s="771"/>
    </row>
    <row r="115" spans="1:28" s="772" customFormat="1" x14ac:dyDescent="0.15">
      <c r="A115" s="769"/>
      <c r="B115" s="769"/>
      <c r="C115" s="770"/>
      <c r="D115" s="770"/>
      <c r="E115" s="770"/>
      <c r="F115" s="770"/>
      <c r="G115" s="770"/>
      <c r="H115" s="770"/>
      <c r="I115" s="770"/>
      <c r="J115" s="770"/>
      <c r="K115" s="770"/>
      <c r="L115" s="770"/>
      <c r="M115" s="770"/>
      <c r="N115" s="771"/>
      <c r="O115" s="771"/>
      <c r="P115" s="771"/>
      <c r="Q115" s="771"/>
      <c r="R115" s="771"/>
      <c r="S115" s="771"/>
      <c r="T115" s="771"/>
      <c r="U115" s="771"/>
      <c r="V115" s="771"/>
      <c r="W115" s="771"/>
      <c r="X115" s="771"/>
      <c r="Y115" s="771"/>
      <c r="Z115" s="771"/>
      <c r="AA115" s="771"/>
    </row>
    <row r="116" spans="1:28" s="772" customFormat="1" x14ac:dyDescent="0.15">
      <c r="A116" s="422" t="s">
        <v>130</v>
      </c>
      <c r="B116" s="422"/>
      <c r="C116" s="695" t="s">
        <v>229</v>
      </c>
      <c r="D116" s="422"/>
      <c r="E116" s="707" t="s">
        <v>90</v>
      </c>
      <c r="F116" s="422"/>
      <c r="G116" s="708">
        <f>F55*$C129</f>
        <v>131.23764705882348</v>
      </c>
      <c r="H116" s="708">
        <f>G55*$C129*0.89</f>
        <v>116.8015058823529</v>
      </c>
      <c r="I116" s="708">
        <f>H55*$C129*D135</f>
        <v>102.36536470588231</v>
      </c>
      <c r="J116" s="708">
        <f t="shared" ref="J116:AA116" si="85">I55*$C129*G132</f>
        <v>62.279087887058807</v>
      </c>
      <c r="K116" s="708">
        <f t="shared" si="85"/>
        <v>48.577688551905865</v>
      </c>
      <c r="L116" s="707">
        <f>K55*$C129*I132</f>
        <v>37.890597070486578</v>
      </c>
      <c r="M116" s="708">
        <f t="shared" si="85"/>
        <v>29.554665714979532</v>
      </c>
      <c r="N116" s="708">
        <f t="shared" si="85"/>
        <v>23.052639257684035</v>
      </c>
      <c r="O116" s="708">
        <f>N55*$C129*L132</f>
        <v>17.981058620993547</v>
      </c>
      <c r="P116" s="708">
        <f t="shared" si="85"/>
        <v>14.025225724374966</v>
      </c>
      <c r="Q116" s="708">
        <f t="shared" si="85"/>
        <v>10.939676065012474</v>
      </c>
      <c r="R116" s="773">
        <f t="shared" si="85"/>
        <v>8.5329473307097299</v>
      </c>
      <c r="S116" s="773">
        <f t="shared" si="85"/>
        <v>8.1062999641742426</v>
      </c>
      <c r="T116" s="773">
        <f t="shared" si="85"/>
        <v>7.7009849659655298</v>
      </c>
      <c r="U116" s="773">
        <f t="shared" si="85"/>
        <v>7.3159357176672524</v>
      </c>
      <c r="V116" s="774">
        <f>U55*$C129*S132</f>
        <v>6.95013893178389</v>
      </c>
      <c r="W116" s="775">
        <f t="shared" si="85"/>
        <v>6.6026319851946944</v>
      </c>
      <c r="X116" s="775">
        <f t="shared" si="85"/>
        <v>6.2725003859349595</v>
      </c>
      <c r="Y116" s="775">
        <f t="shared" si="85"/>
        <v>5.9588753666382113</v>
      </c>
      <c r="Z116" s="775">
        <f t="shared" si="85"/>
        <v>5.6609315983063011</v>
      </c>
      <c r="AA116" s="775">
        <f t="shared" si="85"/>
        <v>5.3778850183909856</v>
      </c>
    </row>
    <row r="117" spans="1:28" s="772" customFormat="1" x14ac:dyDescent="0.15">
      <c r="A117" s="422"/>
      <c r="B117" s="422"/>
      <c r="C117" s="695" t="s">
        <v>105</v>
      </c>
      <c r="D117" s="738"/>
      <c r="E117" s="707" t="s">
        <v>90</v>
      </c>
      <c r="F117" s="422"/>
      <c r="G117" s="708">
        <f>F57*$C130</f>
        <v>66.777600000000007</v>
      </c>
      <c r="H117" s="708">
        <f>G57*$C130*0.89</f>
        <v>73.21287384</v>
      </c>
      <c r="I117" s="708">
        <f>H57*D$135*$C130</f>
        <v>78.066311544000001</v>
      </c>
      <c r="J117" s="708">
        <f t="shared" ref="J117:Q117" si="86">I57*G132*$C$130</f>
        <v>61.638661473172995</v>
      </c>
      <c r="K117" s="708">
        <f t="shared" si="86"/>
        <v>61.419844224943226</v>
      </c>
      <c r="L117" s="707">
        <f>K57*I132*$C$130</f>
        <v>58.703770970681632</v>
      </c>
      <c r="M117" s="708">
        <f t="shared" si="86"/>
        <v>52.628055576856447</v>
      </c>
      <c r="N117" s="708">
        <f t="shared" si="86"/>
        <v>45.354573820158798</v>
      </c>
      <c r="O117" s="708">
        <f t="shared" si="86"/>
        <v>40.803333046453503</v>
      </c>
      <c r="P117" s="708">
        <f t="shared" si="86"/>
        <v>36.708800181907989</v>
      </c>
      <c r="Q117" s="708">
        <f t="shared" si="86"/>
        <v>32.700039420970683</v>
      </c>
      <c r="R117" s="708">
        <f t="shared" ref="R117:AA117" si="87">Q57*O$132*$C$130</f>
        <v>30.224646436803351</v>
      </c>
      <c r="S117" s="708">
        <f t="shared" si="87"/>
        <v>28.713414114963182</v>
      </c>
      <c r="T117" s="708">
        <f t="shared" si="87"/>
        <v>27.27774340921502</v>
      </c>
      <c r="U117" s="708">
        <f t="shared" si="87"/>
        <v>25.913856238754267</v>
      </c>
      <c r="V117" s="707">
        <f>U57*S$132*$C$130</f>
        <v>24.618163426816555</v>
      </c>
      <c r="W117" s="708">
        <f t="shared" si="87"/>
        <v>23.387255255475722</v>
      </c>
      <c r="X117" s="708">
        <f t="shared" si="87"/>
        <v>22.217892492701935</v>
      </c>
      <c r="Y117" s="708">
        <f t="shared" si="87"/>
        <v>21.106997868066838</v>
      </c>
      <c r="Z117" s="708">
        <f t="shared" si="87"/>
        <v>20.051647974663496</v>
      </c>
      <c r="AA117" s="708">
        <f t="shared" si="87"/>
        <v>19.049065575930324</v>
      </c>
    </row>
    <row r="118" spans="1:28" s="772" customFormat="1" x14ac:dyDescent="0.15">
      <c r="A118" s="422"/>
      <c r="B118" s="422"/>
      <c r="C118" s="422" t="s">
        <v>88</v>
      </c>
      <c r="D118" s="738"/>
      <c r="E118" s="707"/>
      <c r="F118" s="422"/>
      <c r="G118" s="708"/>
      <c r="H118" s="708"/>
      <c r="I118" s="708"/>
      <c r="J118" s="708"/>
      <c r="K118" s="708"/>
      <c r="L118" s="707"/>
      <c r="M118" s="708"/>
      <c r="N118" s="708"/>
      <c r="O118" s="708"/>
      <c r="P118" s="708"/>
      <c r="Q118" s="708"/>
      <c r="R118" s="775">
        <f>Q59*O$132*$C$130</f>
        <v>28.57977427014983</v>
      </c>
      <c r="S118" s="775">
        <f>R59*P$132*$C$130</f>
        <v>27.15078555664234</v>
      </c>
      <c r="T118" s="775">
        <f t="shared" ref="T118:AA118" si="88">S59*Q$132*$C$130</f>
        <v>25.793246278810219</v>
      </c>
      <c r="U118" s="775">
        <f t="shared" si="88"/>
        <v>24.503583964869708</v>
      </c>
      <c r="V118" s="774">
        <f>U59*S$132*$C$130</f>
        <v>23.27840476662622</v>
      </c>
      <c r="W118" s="775">
        <f t="shared" si="88"/>
        <v>22.114484528294909</v>
      </c>
      <c r="X118" s="775">
        <f t="shared" si="88"/>
        <v>21.008760301880159</v>
      </c>
      <c r="Y118" s="775">
        <f t="shared" si="88"/>
        <v>19.958322286786156</v>
      </c>
      <c r="Z118" s="775">
        <f t="shared" si="88"/>
        <v>18.960406172446845</v>
      </c>
      <c r="AA118" s="775">
        <f t="shared" si="88"/>
        <v>18.012385863824502</v>
      </c>
    </row>
    <row r="119" spans="1:28" s="772" customFormat="1" x14ac:dyDescent="0.15">
      <c r="A119" s="422"/>
      <c r="B119" s="422"/>
      <c r="C119" s="695" t="s">
        <v>101</v>
      </c>
      <c r="D119" s="738"/>
      <c r="E119" s="707"/>
      <c r="F119" s="422"/>
      <c r="G119" s="708">
        <f>F62*$C$131</f>
        <v>5.5679999999999996</v>
      </c>
      <c r="H119" s="708">
        <f>G62*$C$131*0.89</f>
        <v>10.034928000000001</v>
      </c>
      <c r="I119" s="708">
        <f>H62*$C$131*D$135</f>
        <v>15.634944000000003</v>
      </c>
      <c r="J119" s="708">
        <f t="shared" ref="J119:AA119" si="89">I62*$C$131*G$132</f>
        <v>16.118063769599999</v>
      </c>
      <c r="K119" s="708">
        <f t="shared" si="89"/>
        <v>16.951711166207996</v>
      </c>
      <c r="L119" s="707">
        <f>K62*$C$131*I$132</f>
        <v>16.5279183870528</v>
      </c>
      <c r="M119" s="708">
        <f t="shared" si="89"/>
        <v>16.238152328522343</v>
      </c>
      <c r="N119" s="708">
        <f>M62*$C$131*K$132</f>
        <v>13.692712233781002</v>
      </c>
      <c r="O119" s="708">
        <f t="shared" si="89"/>
        <v>13.499918845529368</v>
      </c>
      <c r="P119" s="708">
        <f t="shared" si="89"/>
        <v>10.918228115307445</v>
      </c>
      <c r="Q119" s="708">
        <f t="shared" si="89"/>
        <v>8.9704162195365988</v>
      </c>
      <c r="R119" s="708">
        <f t="shared" si="89"/>
        <v>7.8965292492549297</v>
      </c>
      <c r="S119" s="708">
        <f t="shared" si="89"/>
        <v>7.5017027867921833</v>
      </c>
      <c r="T119" s="708">
        <f t="shared" si="89"/>
        <v>7.1266176474525738</v>
      </c>
      <c r="U119" s="708">
        <f t="shared" si="89"/>
        <v>6.7702867650799439</v>
      </c>
      <c r="V119" s="707">
        <f t="shared" si="89"/>
        <v>6.4317724268259466</v>
      </c>
      <c r="W119" s="708">
        <f t="shared" si="89"/>
        <v>6.1101838054846489</v>
      </c>
      <c r="X119" s="708">
        <f t="shared" si="89"/>
        <v>5.8046746152104163</v>
      </c>
      <c r="Y119" s="708">
        <f t="shared" si="89"/>
        <v>5.5144408844498951</v>
      </c>
      <c r="Z119" s="708">
        <f t="shared" si="89"/>
        <v>5.2387188402274001</v>
      </c>
      <c r="AA119" s="708">
        <f t="shared" si="89"/>
        <v>4.9767828982160305</v>
      </c>
    </row>
    <row r="120" spans="1:28" s="772" customFormat="1" x14ac:dyDescent="0.15">
      <c r="A120" s="422"/>
      <c r="B120" s="422"/>
      <c r="C120" s="422" t="s">
        <v>88</v>
      </c>
      <c r="D120" s="738"/>
      <c r="E120" s="707"/>
      <c r="F120" s="422"/>
      <c r="G120" s="708"/>
      <c r="H120" s="708"/>
      <c r="I120" s="708"/>
      <c r="J120" s="708"/>
      <c r="K120" s="708"/>
      <c r="L120" s="707"/>
      <c r="M120" s="708"/>
      <c r="N120" s="708"/>
      <c r="O120" s="708"/>
      <c r="P120" s="708"/>
      <c r="Q120" s="708"/>
      <c r="R120" s="775">
        <f t="shared" ref="R120:AA120" si="90">Q64*$C$131*O$132</f>
        <v>7.4667878723814889</v>
      </c>
      <c r="S120" s="775">
        <f t="shared" si="90"/>
        <v>7.0934484787624141</v>
      </c>
      <c r="T120" s="775">
        <f t="shared" si="90"/>
        <v>6.7387760548242923</v>
      </c>
      <c r="U120" s="775">
        <f t="shared" si="90"/>
        <v>6.4018372520830775</v>
      </c>
      <c r="V120" s="774">
        <f>U64*$C$131*S$132</f>
        <v>6.0817453894789235</v>
      </c>
      <c r="W120" s="775">
        <f t="shared" si="90"/>
        <v>5.7776581200049764</v>
      </c>
      <c r="X120" s="775">
        <f t="shared" si="90"/>
        <v>5.4887752140047272</v>
      </c>
      <c r="Y120" s="775">
        <f t="shared" si="90"/>
        <v>5.2143364533044911</v>
      </c>
      <c r="Z120" s="775">
        <f t="shared" si="90"/>
        <v>4.9536196306392668</v>
      </c>
      <c r="AA120" s="775">
        <f t="shared" si="90"/>
        <v>4.7059386491073028</v>
      </c>
    </row>
    <row r="121" spans="1:28" s="772" customFormat="1" x14ac:dyDescent="0.15">
      <c r="A121" s="422"/>
      <c r="B121" s="422"/>
      <c r="C121" s="695" t="s">
        <v>102</v>
      </c>
      <c r="D121" s="738"/>
      <c r="E121" s="707" t="s">
        <v>90</v>
      </c>
      <c r="F121" s="422" t="s">
        <v>14</v>
      </c>
      <c r="G121" s="708">
        <f>F67*$C132</f>
        <v>6.9120000000000001E-2</v>
      </c>
      <c r="H121" s="708">
        <f>G67*$C132*0.89</f>
        <v>0.2076192</v>
      </c>
      <c r="I121" s="708">
        <f>H67*D135*$C132</f>
        <v>0.55598400000000003</v>
      </c>
      <c r="J121" s="708">
        <f t="shared" ref="J121:Q121" si="91">I67*G132*$C132</f>
        <v>1.1480361984</v>
      </c>
      <c r="K121" s="708">
        <f t="shared" si="91"/>
        <v>2.98489411584</v>
      </c>
      <c r="L121" s="707">
        <f>K67*I132*$C132</f>
        <v>5.3736089337216013</v>
      </c>
      <c r="M121" s="708">
        <f t="shared" si="91"/>
        <v>7.7991125715809293</v>
      </c>
      <c r="N121" s="708">
        <f t="shared" si="91"/>
        <v>10.623656043450778</v>
      </c>
      <c r="O121" s="708">
        <f t="shared" si="91"/>
        <v>13.965433288478655</v>
      </c>
      <c r="P121" s="708">
        <f t="shared" si="91"/>
        <v>18.609393733479685</v>
      </c>
      <c r="Q121" s="708">
        <f t="shared" si="91"/>
        <v>23.862190928816567</v>
      </c>
      <c r="R121" s="708">
        <f>Q67*O$132*$C$132</f>
        <v>28.754258231769676</v>
      </c>
      <c r="S121" s="708">
        <f t="shared" ref="S121:AA121" si="92">R67*P132*$C132</f>
        <v>39.236492368987527</v>
      </c>
      <c r="T121" s="708">
        <f t="shared" si="92"/>
        <v>55.213101605484638</v>
      </c>
      <c r="U121" s="708">
        <f t="shared" si="92"/>
        <v>71.824883441854766</v>
      </c>
      <c r="V121" s="707">
        <f>U67*S132*$C132</f>
        <v>91.223126962189568</v>
      </c>
      <c r="W121" s="708">
        <f t="shared" si="92"/>
        <v>86.66197061408009</v>
      </c>
      <c r="X121" s="708">
        <f t="shared" si="92"/>
        <v>82.328872083376083</v>
      </c>
      <c r="Y121" s="708">
        <f t="shared" si="92"/>
        <v>78.212428479207261</v>
      </c>
      <c r="Z121" s="708">
        <f t="shared" si="92"/>
        <v>74.301807055246897</v>
      </c>
      <c r="AA121" s="708">
        <f t="shared" si="92"/>
        <v>70.586716702484551</v>
      </c>
    </row>
    <row r="122" spans="1:28" s="772" customFormat="1" x14ac:dyDescent="0.15">
      <c r="A122" s="422"/>
      <c r="B122" s="422"/>
      <c r="C122" s="422" t="s">
        <v>88</v>
      </c>
      <c r="D122" s="738"/>
      <c r="E122" s="707"/>
      <c r="F122" s="422"/>
      <c r="G122" s="708"/>
      <c r="H122" s="708"/>
      <c r="I122" s="708"/>
      <c r="J122" s="708"/>
      <c r="K122" s="708"/>
      <c r="L122" s="707"/>
      <c r="M122" s="708"/>
      <c r="N122" s="708"/>
      <c r="O122" s="708"/>
      <c r="P122" s="708"/>
      <c r="Q122" s="708"/>
      <c r="R122" s="775">
        <f>Q69*O$132*$C$132</f>
        <v>27.189406873223628</v>
      </c>
      <c r="S122" s="775">
        <f>R69*P$132*$C$132</f>
        <v>35.222640722130606</v>
      </c>
      <c r="T122" s="775">
        <f t="shared" ref="T122:AA122" si="93">S69*Q$132*$C$132</f>
        <v>47.055246589721357</v>
      </c>
      <c r="U122" s="775">
        <f t="shared" si="93"/>
        <v>58.113229538305852</v>
      </c>
      <c r="V122" s="774">
        <f>U69*S$132*$C$132</f>
        <v>70.071144077918817</v>
      </c>
      <c r="W122" s="775">
        <f t="shared" si="93"/>
        <v>66.567586874022865</v>
      </c>
      <c r="X122" s="775">
        <f t="shared" si="93"/>
        <v>63.239207530321721</v>
      </c>
      <c r="Y122" s="775">
        <f t="shared" si="93"/>
        <v>60.077247153805629</v>
      </c>
      <c r="Z122" s="775">
        <f t="shared" si="93"/>
        <v>57.073384796115349</v>
      </c>
      <c r="AA122" s="775">
        <f t="shared" si="93"/>
        <v>54.219715556309581</v>
      </c>
    </row>
    <row r="123" spans="1:28" s="772" customFormat="1" x14ac:dyDescent="0.15">
      <c r="A123" s="422"/>
      <c r="B123" s="422"/>
      <c r="C123" s="695" t="s">
        <v>100</v>
      </c>
      <c r="D123" s="738"/>
      <c r="E123" s="707" t="s">
        <v>90</v>
      </c>
      <c r="F123" s="422"/>
      <c r="G123" s="708">
        <f>F72*$C$133</f>
        <v>6.3948846218409015E-18</v>
      </c>
      <c r="H123" s="708">
        <f>G72*$C$133*0.89</f>
        <v>-1.072699199999978E-3</v>
      </c>
      <c r="I123" s="708">
        <f>H72*$C$133*D135</f>
        <v>-2.3401872000000255E-4</v>
      </c>
      <c r="J123" s="708">
        <f t="shared" ref="J123:AA123" si="94">I72*$C$133*G132</f>
        <v>-1.551483452712952E-3</v>
      </c>
      <c r="K123" s="708">
        <f t="shared" si="94"/>
        <v>-2.5906886269998347E-3</v>
      </c>
      <c r="L123" s="707">
        <f t="shared" si="94"/>
        <v>2.5066763363389647E-3</v>
      </c>
      <c r="M123" s="707">
        <f t="shared" si="94"/>
        <v>0</v>
      </c>
      <c r="N123" s="707">
        <f t="shared" si="94"/>
        <v>0</v>
      </c>
      <c r="O123" s="776">
        <f t="shared" si="94"/>
        <v>3.6595993400360674E-3</v>
      </c>
      <c r="P123" s="707">
        <f t="shared" si="94"/>
        <v>5.013465863934528E-3</v>
      </c>
      <c r="Q123" s="707">
        <f t="shared" si="94"/>
        <v>2.6513545476463167E-2</v>
      </c>
      <c r="R123" s="707">
        <f t="shared" si="94"/>
        <v>0.17971411394856024</v>
      </c>
      <c r="S123" s="707">
        <f t="shared" si="94"/>
        <v>0.77914237220062244</v>
      </c>
      <c r="T123" s="707">
        <f t="shared" si="94"/>
        <v>1.6487552800099587</v>
      </c>
      <c r="U123" s="707">
        <f t="shared" si="94"/>
        <v>3.6853963556279608</v>
      </c>
      <c r="V123" s="707">
        <f>U72*$C$133*S132</f>
        <v>7.2907178880595005</v>
      </c>
      <c r="W123" s="708">
        <f t="shared" si="94"/>
        <v>16.065080712959514</v>
      </c>
      <c r="X123" s="708">
        <f t="shared" si="94"/>
        <v>28.979313654985326</v>
      </c>
      <c r="Y123" s="708">
        <f t="shared" si="94"/>
        <v>48.120295925724413</v>
      </c>
      <c r="Z123" s="708">
        <f t="shared" si="94"/>
        <v>76.619793007624239</v>
      </c>
      <c r="AA123" s="708">
        <f t="shared" si="94"/>
        <v>119.17797668640024</v>
      </c>
    </row>
    <row r="124" spans="1:28" s="772" customFormat="1" x14ac:dyDescent="0.15">
      <c r="A124" s="422"/>
      <c r="B124" s="422"/>
      <c r="C124" s="422" t="s">
        <v>88</v>
      </c>
      <c r="D124" s="738"/>
      <c r="E124" s="422"/>
      <c r="F124" s="422"/>
      <c r="G124" s="707"/>
      <c r="H124" s="707"/>
      <c r="I124" s="707"/>
      <c r="J124" s="707"/>
      <c r="K124" s="707"/>
      <c r="L124" s="707"/>
      <c r="M124" s="707"/>
      <c r="N124" s="707"/>
      <c r="O124" s="707"/>
      <c r="P124" s="707"/>
      <c r="Q124" s="707"/>
      <c r="R124" s="775">
        <f t="shared" ref="R124:AA124" si="95">Q74*$C$133*O$132</f>
        <v>0.16993379295764749</v>
      </c>
      <c r="S124" s="775">
        <f t="shared" si="95"/>
        <v>0.69943693206129587</v>
      </c>
      <c r="T124" s="775">
        <f t="shared" si="95"/>
        <v>1.4051481262785452</v>
      </c>
      <c r="U124" s="775">
        <f t="shared" si="95"/>
        <v>2.9818396367830284</v>
      </c>
      <c r="V124" s="774">
        <f>U74*$C$133*S$132</f>
        <v>5.6002130224874191</v>
      </c>
      <c r="W124" s="775">
        <f t="shared" si="95"/>
        <v>11.715243975160533</v>
      </c>
      <c r="X124" s="775">
        <f t="shared" si="95"/>
        <v>20.062760699929861</v>
      </c>
      <c r="Y124" s="775">
        <f t="shared" si="95"/>
        <v>31.627514187488465</v>
      </c>
      <c r="Z124" s="775">
        <f t="shared" si="95"/>
        <v>47.809248394940688</v>
      </c>
      <c r="AA124" s="775">
        <f t="shared" si="95"/>
        <v>70.599418181664959</v>
      </c>
      <c r="AB124" s="752">
        <f>V124/U74</f>
        <v>3.1775054281499076E-3</v>
      </c>
    </row>
    <row r="125" spans="1:28" s="772" customFormat="1" x14ac:dyDescent="0.15">
      <c r="A125" s="422"/>
      <c r="B125" s="422"/>
      <c r="C125" s="422"/>
      <c r="D125" s="738"/>
      <c r="E125" s="422"/>
      <c r="F125" s="422"/>
      <c r="G125" s="707"/>
      <c r="H125" s="707"/>
      <c r="I125" s="707"/>
      <c r="J125" s="707"/>
      <c r="K125" s="707"/>
      <c r="L125" s="707"/>
      <c r="M125" s="707"/>
      <c r="N125" s="707"/>
      <c r="O125" s="707"/>
      <c r="P125" s="707"/>
      <c r="Q125" s="707"/>
      <c r="R125" s="708"/>
      <c r="S125" s="708"/>
      <c r="T125" s="708"/>
      <c r="U125" s="708"/>
      <c r="V125" s="708"/>
      <c r="W125" s="708"/>
      <c r="X125" s="708"/>
      <c r="Y125" s="708"/>
      <c r="Z125" s="708"/>
      <c r="AA125" s="708"/>
    </row>
    <row r="126" spans="1:28" s="772" customFormat="1" ht="12" thickBot="1" x14ac:dyDescent="0.2">
      <c r="A126" s="422"/>
      <c r="B126" s="422"/>
      <c r="C126" s="422"/>
      <c r="D126" s="738"/>
      <c r="E126" s="422"/>
      <c r="F126" s="422"/>
      <c r="G126" s="707"/>
      <c r="H126" s="707"/>
      <c r="I126" s="707"/>
      <c r="J126" s="707"/>
      <c r="K126" s="707"/>
      <c r="L126" s="707"/>
      <c r="M126" s="707"/>
      <c r="N126" s="707"/>
      <c r="O126" s="707"/>
      <c r="P126" s="707"/>
      <c r="Q126" s="707"/>
      <c r="R126" s="708"/>
      <c r="S126" s="708"/>
      <c r="T126" s="708"/>
      <c r="U126" s="708"/>
      <c r="V126" s="708"/>
      <c r="W126" s="708"/>
      <c r="X126" s="708"/>
      <c r="Y126" s="708"/>
      <c r="Z126" s="708"/>
      <c r="AA126" s="708"/>
    </row>
    <row r="127" spans="1:28" s="772" customFormat="1" x14ac:dyDescent="0.15">
      <c r="A127" s="422"/>
      <c r="B127" s="422"/>
      <c r="C127" s="422"/>
      <c r="D127" s="738"/>
      <c r="E127" s="422"/>
      <c r="F127" s="422"/>
      <c r="G127" s="702">
        <v>2010</v>
      </c>
      <c r="H127" s="702">
        <v>2011</v>
      </c>
      <c r="I127" s="702">
        <v>2012</v>
      </c>
      <c r="J127" s="702">
        <v>2013</v>
      </c>
      <c r="K127" s="702">
        <v>2014</v>
      </c>
      <c r="L127" s="777">
        <v>2015</v>
      </c>
      <c r="M127" s="778">
        <v>2016</v>
      </c>
      <c r="N127" s="778">
        <v>2017</v>
      </c>
      <c r="O127" s="778">
        <v>2018</v>
      </c>
      <c r="P127" s="778">
        <v>2019</v>
      </c>
      <c r="Q127" s="778">
        <v>2020</v>
      </c>
      <c r="R127" s="778">
        <v>2021</v>
      </c>
      <c r="S127" s="778">
        <v>2022</v>
      </c>
      <c r="T127" s="778">
        <v>2023</v>
      </c>
      <c r="U127" s="778">
        <v>2024</v>
      </c>
      <c r="V127" s="779">
        <v>2025</v>
      </c>
      <c r="W127" s="702">
        <v>2026</v>
      </c>
      <c r="X127" s="702">
        <v>2027</v>
      </c>
      <c r="Y127" s="702">
        <v>2028</v>
      </c>
      <c r="Z127" s="702">
        <v>2029</v>
      </c>
      <c r="AA127" s="702">
        <v>2030</v>
      </c>
    </row>
    <row r="128" spans="1:28" s="772" customFormat="1" ht="22" x14ac:dyDescent="0.15">
      <c r="A128" s="422" t="s">
        <v>109</v>
      </c>
      <c r="B128" s="422"/>
      <c r="C128" s="422"/>
      <c r="D128" s="713"/>
      <c r="E128" s="713"/>
      <c r="F128" s="780" t="s">
        <v>46</v>
      </c>
      <c r="G128" s="781">
        <f>SUM(G116:G123)</f>
        <v>203.6523670588235</v>
      </c>
      <c r="H128" s="781">
        <f t="shared" ref="H128:P128" si="96">SUM(H116:H123)</f>
        <v>200.25585422315291</v>
      </c>
      <c r="I128" s="781">
        <f>SUM(I116:I123)</f>
        <v>196.62237023116231</v>
      </c>
      <c r="J128" s="781">
        <f t="shared" si="96"/>
        <v>141.1822978447791</v>
      </c>
      <c r="K128" s="781">
        <f>SUM(K116:K123)</f>
        <v>129.93154737027007</v>
      </c>
      <c r="L128" s="782">
        <f>SUM(L116:L123)</f>
        <v>118.49840203827894</v>
      </c>
      <c r="M128" s="783">
        <f t="shared" si="96"/>
        <v>106.21998619193926</v>
      </c>
      <c r="N128" s="783">
        <f>SUM(N116:N123)</f>
        <v>92.723581355074629</v>
      </c>
      <c r="O128" s="783">
        <f>SUM(O116:O123)</f>
        <v>86.253403400795108</v>
      </c>
      <c r="P128" s="783">
        <f t="shared" si="96"/>
        <v>80.266661220934012</v>
      </c>
      <c r="Q128" s="783">
        <f>SUM(Q116:Q123)</f>
        <v>76.498836179812798</v>
      </c>
      <c r="R128" s="784">
        <f>R116+R117+R119+R121+R123</f>
        <v>75.588095362486257</v>
      </c>
      <c r="S128" s="784">
        <f t="shared" ref="S128:U128" si="97">S116+S117+S119+S121+S123</f>
        <v>84.337051607117758</v>
      </c>
      <c r="T128" s="784">
        <f t="shared" si="97"/>
        <v>98.967202908127732</v>
      </c>
      <c r="U128" s="784">
        <f t="shared" si="97"/>
        <v>115.51035851898419</v>
      </c>
      <c r="V128" s="784">
        <f>V116+V117+V119+V121+V123</f>
        <v>136.51391963567548</v>
      </c>
      <c r="W128" s="784">
        <f t="shared" ref="W128:AA128" si="98">W116+W117+W119+W121+W123</f>
        <v>138.82712237319467</v>
      </c>
      <c r="X128" s="784">
        <f t="shared" si="98"/>
        <v>145.60325323220871</v>
      </c>
      <c r="Y128" s="784">
        <f t="shared" si="98"/>
        <v>158.9130385240866</v>
      </c>
      <c r="Z128" s="784">
        <f t="shared" si="98"/>
        <v>181.87289847606831</v>
      </c>
      <c r="AA128" s="784">
        <f t="shared" si="98"/>
        <v>219.16842688142214</v>
      </c>
    </row>
    <row r="129" spans="1:27" s="772" customFormat="1" x14ac:dyDescent="0.15">
      <c r="A129" s="422"/>
      <c r="B129" s="422" t="s">
        <v>111</v>
      </c>
      <c r="C129" s="422">
        <v>7</v>
      </c>
      <c r="D129" s="713"/>
      <c r="E129" s="713"/>
      <c r="F129" s="785" t="s">
        <v>47</v>
      </c>
      <c r="G129" s="786">
        <f>G174+G192</f>
        <v>204.1</v>
      </c>
      <c r="H129" s="786">
        <f t="shared" ref="H129:U129" si="99">H174+H192</f>
        <v>224.4</v>
      </c>
      <c r="I129" s="786">
        <f t="shared" si="99"/>
        <v>247.64000000000001</v>
      </c>
      <c r="J129" s="786">
        <f t="shared" si="99"/>
        <v>243.11569702127665</v>
      </c>
      <c r="K129" s="786">
        <f t="shared" si="99"/>
        <v>239.68025338553196</v>
      </c>
      <c r="L129" s="787">
        <f>L174+L192</f>
        <v>237.26547829781794</v>
      </c>
      <c r="M129" s="788">
        <f t="shared" si="99"/>
        <v>239.95629045106392</v>
      </c>
      <c r="N129" s="788">
        <f t="shared" si="99"/>
        <v>239.52860272422137</v>
      </c>
      <c r="O129" s="788">
        <f t="shared" si="99"/>
        <v>239.96609015065505</v>
      </c>
      <c r="P129" s="788">
        <f t="shared" si="99"/>
        <v>241.22571886220916</v>
      </c>
      <c r="Q129" s="788">
        <f t="shared" si="99"/>
        <v>243.269566032939</v>
      </c>
      <c r="R129" s="788">
        <f t="shared" si="99"/>
        <v>246.06442306986875</v>
      </c>
      <c r="S129" s="788">
        <f t="shared" si="99"/>
        <v>296.37795506173586</v>
      </c>
      <c r="T129" s="788">
        <f t="shared" si="99"/>
        <v>357.89170365503901</v>
      </c>
      <c r="U129" s="788">
        <f t="shared" si="99"/>
        <v>433.18597228753333</v>
      </c>
      <c r="V129" s="789">
        <f>V174+V192</f>
        <v>525.44314066536936</v>
      </c>
      <c r="W129" s="789">
        <f t="shared" ref="W129:AA129" si="100">W174+W192</f>
        <v>0</v>
      </c>
      <c r="X129" s="789" t="e">
        <f t="shared" si="100"/>
        <v>#DIV/0!</v>
      </c>
      <c r="Y129" s="789" t="e">
        <f t="shared" si="100"/>
        <v>#DIV/0!</v>
      </c>
      <c r="Z129" s="789" t="e">
        <f t="shared" si="100"/>
        <v>#DIV/0!</v>
      </c>
      <c r="AA129" s="789" t="e">
        <f t="shared" si="100"/>
        <v>#DIV/0!</v>
      </c>
    </row>
    <row r="130" spans="1:27" s="772" customFormat="1" ht="12" thickBot="1" x14ac:dyDescent="0.2">
      <c r="A130" s="422"/>
      <c r="B130" s="422" t="s">
        <v>112</v>
      </c>
      <c r="C130" s="422">
        <v>37</v>
      </c>
      <c r="D130" s="713"/>
      <c r="E130" s="713"/>
      <c r="F130" s="790" t="s">
        <v>59</v>
      </c>
      <c r="G130" s="791">
        <f>SUM(G128:G129)</f>
        <v>407.75236705882349</v>
      </c>
      <c r="H130" s="791">
        <f t="shared" ref="H130:P130" si="101">SUM(H128:H129)</f>
        <v>424.65585422315291</v>
      </c>
      <c r="I130" s="791">
        <f t="shared" si="101"/>
        <v>444.26237023116232</v>
      </c>
      <c r="J130" s="791">
        <f t="shared" si="101"/>
        <v>384.29799486605577</v>
      </c>
      <c r="K130" s="791">
        <f t="shared" si="101"/>
        <v>369.61180075580205</v>
      </c>
      <c r="L130" s="792">
        <f t="shared" si="101"/>
        <v>355.76388033609686</v>
      </c>
      <c r="M130" s="793">
        <f t="shared" si="101"/>
        <v>346.17627664300318</v>
      </c>
      <c r="N130" s="793">
        <f t="shared" si="101"/>
        <v>332.252184079296</v>
      </c>
      <c r="O130" s="793">
        <f t="shared" si="101"/>
        <v>326.21949355145017</v>
      </c>
      <c r="P130" s="793">
        <f t="shared" si="101"/>
        <v>321.49238008314319</v>
      </c>
      <c r="Q130" s="793">
        <f>SUM(Q128:Q129)</f>
        <v>319.76840221275177</v>
      </c>
      <c r="R130" s="793">
        <f t="shared" ref="R130:Z130" si="102">SUM(R128:R129)</f>
        <v>321.65251843235501</v>
      </c>
      <c r="S130" s="793">
        <f t="shared" si="102"/>
        <v>380.71500666885362</v>
      </c>
      <c r="T130" s="793">
        <f t="shared" si="102"/>
        <v>456.85890656316673</v>
      </c>
      <c r="U130" s="793">
        <f t="shared" si="102"/>
        <v>548.69633080651749</v>
      </c>
      <c r="V130" s="794">
        <f t="shared" si="102"/>
        <v>661.95706030104486</v>
      </c>
      <c r="W130" s="791">
        <f t="shared" si="102"/>
        <v>138.82712237319467</v>
      </c>
      <c r="X130" s="791" t="e">
        <f t="shared" si="102"/>
        <v>#DIV/0!</v>
      </c>
      <c r="Y130" s="791" t="e">
        <f t="shared" si="102"/>
        <v>#DIV/0!</v>
      </c>
      <c r="Z130" s="791" t="e">
        <f t="shared" si="102"/>
        <v>#DIV/0!</v>
      </c>
      <c r="AA130" s="791" t="e">
        <f>SUM(AA128:AA129)</f>
        <v>#DIV/0!</v>
      </c>
    </row>
    <row r="131" spans="1:27" s="772" customFormat="1" x14ac:dyDescent="0.15">
      <c r="A131" s="694"/>
      <c r="B131" s="422" t="s">
        <v>113</v>
      </c>
      <c r="C131" s="422">
        <v>2.9</v>
      </c>
      <c r="D131" s="713"/>
      <c r="E131" s="713"/>
      <c r="F131" s="785"/>
      <c r="G131" s="785"/>
      <c r="H131" s="785"/>
      <c r="I131" s="785"/>
      <c r="J131" s="795"/>
      <c r="K131" s="795"/>
      <c r="L131" s="795"/>
      <c r="M131" s="795"/>
      <c r="N131" s="795"/>
      <c r="O131" s="795"/>
      <c r="P131" s="713"/>
      <c r="Q131" s="713"/>
      <c r="R131" s="713"/>
      <c r="S131" s="713"/>
      <c r="T131" s="713"/>
      <c r="U131" s="713"/>
      <c r="V131" s="713"/>
      <c r="W131" s="713"/>
      <c r="X131" s="713"/>
      <c r="Y131" s="713"/>
      <c r="Z131" s="713"/>
      <c r="AA131" s="713"/>
    </row>
    <row r="132" spans="1:27" s="772" customFormat="1" x14ac:dyDescent="0.15">
      <c r="A132" s="422"/>
      <c r="B132" s="422" t="s">
        <v>114</v>
      </c>
      <c r="C132" s="422">
        <v>0.6</v>
      </c>
      <c r="D132" s="772">
        <v>1</v>
      </c>
      <c r="E132" s="713">
        <f t="shared" ref="E132:O132" si="103">D132*$D$135</f>
        <v>0.78</v>
      </c>
      <c r="F132" s="713">
        <f t="shared" si="103"/>
        <v>0.60840000000000005</v>
      </c>
      <c r="G132" s="713">
        <f>F132*$D$135</f>
        <v>0.47455200000000003</v>
      </c>
      <c r="H132" s="713">
        <f t="shared" si="103"/>
        <v>0.37015056000000002</v>
      </c>
      <c r="I132" s="713">
        <f>H132*$D$135</f>
        <v>0.2887174368</v>
      </c>
      <c r="J132" s="713">
        <f t="shared" si="103"/>
        <v>0.22519960070400002</v>
      </c>
      <c r="K132" s="713">
        <f t="shared" si="103"/>
        <v>0.17565568854912003</v>
      </c>
      <c r="L132" s="713">
        <f t="shared" si="103"/>
        <v>0.13701143706831362</v>
      </c>
      <c r="M132" s="713">
        <f t="shared" si="103"/>
        <v>0.10686892091328462</v>
      </c>
      <c r="N132" s="713">
        <f t="shared" si="103"/>
        <v>8.3357758312362001E-2</v>
      </c>
      <c r="O132" s="713">
        <f t="shared" si="103"/>
        <v>6.5019051483642357E-2</v>
      </c>
      <c r="P132" s="713">
        <f t="shared" ref="P132:X132" si="104">O132*$D$136</f>
        <v>6.1768098909460237E-2</v>
      </c>
      <c r="Q132" s="713">
        <f t="shared" si="104"/>
        <v>5.8679693963987221E-2</v>
      </c>
      <c r="R132" s="713">
        <f t="shared" si="104"/>
        <v>5.5745709265787854E-2</v>
      </c>
      <c r="S132" s="713">
        <f t="shared" si="104"/>
        <v>5.2958423802498461E-2</v>
      </c>
      <c r="T132" s="713">
        <f t="shared" si="104"/>
        <v>5.0310502612373534E-2</v>
      </c>
      <c r="U132" s="713">
        <f t="shared" si="104"/>
        <v>4.7794977481754854E-2</v>
      </c>
      <c r="V132" s="713">
        <f t="shared" si="104"/>
        <v>4.540522860766711E-2</v>
      </c>
      <c r="W132" s="713">
        <f t="shared" si="104"/>
        <v>4.3134967177283753E-2</v>
      </c>
      <c r="X132" s="713">
        <f t="shared" si="104"/>
        <v>4.0978218818419565E-2</v>
      </c>
      <c r="Y132" s="796"/>
      <c r="Z132" s="796"/>
      <c r="AA132" s="796"/>
    </row>
    <row r="133" spans="1:27" s="772" customFormat="1" x14ac:dyDescent="0.15">
      <c r="A133" s="422"/>
      <c r="B133" s="422" t="s">
        <v>115</v>
      </c>
      <c r="C133" s="422">
        <v>0.06</v>
      </c>
      <c r="D133" s="422">
        <v>2010</v>
      </c>
      <c r="E133" s="772">
        <v>2011</v>
      </c>
      <c r="F133" s="702">
        <v>2012</v>
      </c>
      <c r="G133" s="702">
        <v>2013</v>
      </c>
      <c r="H133" s="702">
        <v>2014</v>
      </c>
      <c r="I133" s="702">
        <v>2015</v>
      </c>
      <c r="J133" s="702">
        <v>2016</v>
      </c>
      <c r="K133" s="702">
        <v>2017</v>
      </c>
      <c r="L133" s="702">
        <v>2018</v>
      </c>
      <c r="M133" s="702">
        <v>2019</v>
      </c>
      <c r="N133" s="702">
        <v>2020</v>
      </c>
      <c r="O133" s="702">
        <v>2021</v>
      </c>
      <c r="P133" s="702">
        <v>2022</v>
      </c>
      <c r="Q133" s="702">
        <v>2023</v>
      </c>
      <c r="R133" s="702">
        <v>2024</v>
      </c>
      <c r="S133" s="702">
        <v>2025</v>
      </c>
      <c r="T133" s="702">
        <v>2026</v>
      </c>
      <c r="U133" s="702">
        <v>2027</v>
      </c>
      <c r="V133" s="702">
        <v>2028</v>
      </c>
      <c r="W133" s="702">
        <v>2029</v>
      </c>
      <c r="X133" s="702">
        <v>2030</v>
      </c>
      <c r="Y133" s="694"/>
      <c r="Z133" s="694"/>
      <c r="AA133" s="694"/>
    </row>
    <row r="134" spans="1:27" s="772" customFormat="1" ht="22" x14ac:dyDescent="0.15">
      <c r="A134" s="769"/>
      <c r="B134" s="769"/>
      <c r="C134" s="422" t="s">
        <v>106</v>
      </c>
      <c r="D134" s="713" t="s">
        <v>50</v>
      </c>
      <c r="E134" s="770"/>
      <c r="G134" s="770"/>
      <c r="H134" s="770"/>
      <c r="I134" s="770" t="s">
        <v>320</v>
      </c>
      <c r="J134" s="770"/>
      <c r="K134" s="770"/>
      <c r="L134" s="770"/>
      <c r="M134" s="770"/>
      <c r="N134" s="771"/>
      <c r="O134" s="771">
        <f>0.78^11</f>
        <v>6.5019051483642384E-2</v>
      </c>
      <c r="P134" s="771"/>
      <c r="Q134" s="771"/>
      <c r="R134" s="771"/>
      <c r="S134" s="771">
        <f>0.95^4</f>
        <v>0.81450624999999999</v>
      </c>
      <c r="T134" s="771"/>
      <c r="U134" s="771"/>
      <c r="V134" s="771"/>
      <c r="W134" s="771"/>
      <c r="X134" s="771"/>
      <c r="Y134" s="771"/>
      <c r="Z134" s="771"/>
      <c r="AA134" s="771"/>
    </row>
    <row r="135" spans="1:27" s="772" customFormat="1" x14ac:dyDescent="0.15">
      <c r="A135" s="769"/>
      <c r="B135" s="769"/>
      <c r="C135" s="770"/>
      <c r="D135" s="796">
        <v>0.78</v>
      </c>
      <c r="E135" s="770"/>
      <c r="F135" s="770"/>
      <c r="G135" s="770"/>
      <c r="H135" s="770"/>
      <c r="I135" s="770"/>
      <c r="J135" s="770"/>
      <c r="K135" s="770"/>
      <c r="L135" s="770"/>
      <c r="M135" s="770"/>
      <c r="N135" s="771"/>
      <c r="O135" s="771"/>
      <c r="P135" s="771"/>
      <c r="Q135" s="771"/>
      <c r="R135" s="771"/>
      <c r="S135" s="771"/>
      <c r="T135" s="771"/>
      <c r="U135" s="771"/>
      <c r="V135" s="771"/>
      <c r="W135" s="771"/>
      <c r="X135" s="771"/>
      <c r="Y135" s="771"/>
      <c r="Z135" s="771"/>
      <c r="AA135" s="771"/>
    </row>
    <row r="136" spans="1:27" s="772" customFormat="1" x14ac:dyDescent="0.15">
      <c r="A136" s="769"/>
      <c r="B136" s="769"/>
      <c r="C136" s="770"/>
      <c r="D136" s="770">
        <v>0.95</v>
      </c>
      <c r="E136" s="770"/>
      <c r="F136" s="770">
        <f>1.6*12*7*0.78^14</f>
        <v>4.1469013716030396</v>
      </c>
      <c r="G136" s="770"/>
      <c r="H136" s="770"/>
      <c r="I136" s="770"/>
      <c r="J136" s="770"/>
      <c r="K136" s="770"/>
      <c r="L136" s="770"/>
      <c r="M136" s="770"/>
      <c r="N136" s="771"/>
      <c r="O136" s="771">
        <f>0.78^11*0.95^4</f>
        <v>5.2958423802498496E-2</v>
      </c>
      <c r="P136" s="771"/>
      <c r="Q136" s="771"/>
      <c r="R136" s="771"/>
      <c r="S136" s="771"/>
      <c r="T136" s="771"/>
      <c r="U136" s="771"/>
      <c r="V136" s="771"/>
      <c r="W136" s="771"/>
      <c r="X136" s="771"/>
      <c r="Y136" s="771"/>
      <c r="Z136" s="771"/>
      <c r="AA136" s="771"/>
    </row>
    <row r="137" spans="1:27" s="772" customFormat="1" x14ac:dyDescent="0.15">
      <c r="A137" s="769"/>
      <c r="B137" s="769"/>
      <c r="C137" s="770"/>
      <c r="D137" s="770"/>
      <c r="E137" s="770"/>
      <c r="F137" s="770"/>
      <c r="G137" s="770"/>
      <c r="H137" s="770"/>
      <c r="I137" s="770"/>
      <c r="J137" s="770"/>
      <c r="K137" s="770"/>
      <c r="L137" s="770"/>
      <c r="M137" s="770"/>
      <c r="N137" s="771"/>
      <c r="O137" s="771"/>
      <c r="P137" s="771"/>
      <c r="Q137" s="771"/>
      <c r="R137" s="771"/>
      <c r="S137" s="771"/>
      <c r="T137" s="771"/>
      <c r="U137" s="771"/>
      <c r="V137" s="771"/>
      <c r="W137" s="771"/>
      <c r="X137" s="771"/>
      <c r="Y137" s="771"/>
      <c r="Z137" s="771"/>
      <c r="AA137" s="771"/>
    </row>
    <row r="138" spans="1:27" s="772" customFormat="1" x14ac:dyDescent="0.15">
      <c r="A138" s="769"/>
      <c r="B138" s="769"/>
      <c r="C138" s="770"/>
      <c r="D138" s="770"/>
      <c r="E138" s="770"/>
      <c r="F138" s="770"/>
      <c r="G138" s="770"/>
      <c r="H138" s="770"/>
      <c r="I138" s="770"/>
      <c r="J138" s="770"/>
      <c r="K138" s="770"/>
      <c r="L138" s="770"/>
      <c r="M138" s="770"/>
      <c r="N138" s="771"/>
      <c r="O138" s="771"/>
      <c r="P138" s="771"/>
      <c r="Q138" s="771"/>
      <c r="R138" s="771"/>
      <c r="S138" s="771"/>
      <c r="T138" s="771"/>
      <c r="U138" s="771"/>
      <c r="V138" s="771"/>
      <c r="W138" s="771"/>
      <c r="X138" s="771"/>
      <c r="Y138" s="771"/>
      <c r="Z138" s="771"/>
      <c r="AA138" s="771"/>
    </row>
    <row r="139" spans="1:27" s="772" customFormat="1" x14ac:dyDescent="0.15">
      <c r="A139" s="769"/>
      <c r="B139" s="769"/>
      <c r="C139" s="770"/>
      <c r="D139" s="770"/>
      <c r="E139" s="770"/>
      <c r="F139" s="770"/>
      <c r="G139" s="770"/>
      <c r="H139" s="770"/>
      <c r="I139" s="770"/>
      <c r="J139" s="770"/>
      <c r="K139" s="770"/>
      <c r="L139" s="770"/>
      <c r="M139" s="770"/>
      <c r="N139" s="771"/>
      <c r="O139" s="771"/>
      <c r="P139" s="771"/>
      <c r="Q139" s="771"/>
      <c r="R139" s="771"/>
      <c r="S139" s="771"/>
      <c r="T139" s="771"/>
      <c r="U139" s="771"/>
      <c r="V139" s="771"/>
      <c r="W139" s="771"/>
      <c r="X139" s="771"/>
      <c r="Y139" s="771"/>
      <c r="Z139" s="771"/>
      <c r="AA139" s="771"/>
    </row>
    <row r="140" spans="1:27" x14ac:dyDescent="0.15">
      <c r="A140" s="422" t="s">
        <v>131</v>
      </c>
      <c r="B140" s="422"/>
      <c r="C140" s="695" t="s">
        <v>229</v>
      </c>
      <c r="D140" s="797"/>
      <c r="E140" s="707" t="s">
        <v>90</v>
      </c>
      <c r="F140" s="797"/>
      <c r="G140" s="798">
        <f>F55*$C$152</f>
        <v>262.47529411764697</v>
      </c>
      <c r="H140" s="798">
        <f>G55*$C$152*0.95</f>
        <v>249.3515294117646</v>
      </c>
      <c r="I140" s="798">
        <f t="shared" ref="I140:AA140" si="105">H55*$C$152*F$155</f>
        <v>236.22776470588227</v>
      </c>
      <c r="J140" s="798">
        <f t="shared" si="105"/>
        <v>212.60498823529406</v>
      </c>
      <c r="K140" s="798">
        <f t="shared" si="105"/>
        <v>191.34448941176467</v>
      </c>
      <c r="L140" s="798">
        <f t="shared" si="105"/>
        <v>172.21004047058821</v>
      </c>
      <c r="M140" s="798">
        <f t="shared" si="105"/>
        <v>154.9890364235294</v>
      </c>
      <c r="N140" s="798">
        <f t="shared" si="105"/>
        <v>139.49013278117647</v>
      </c>
      <c r="O140" s="798">
        <f t="shared" si="105"/>
        <v>125.54111950305881</v>
      </c>
      <c r="P140" s="798">
        <f t="shared" si="105"/>
        <v>112.98700755275294</v>
      </c>
      <c r="Q140" s="798">
        <f t="shared" si="105"/>
        <v>101.68830679747765</v>
      </c>
      <c r="R140" s="799">
        <f t="shared" si="105"/>
        <v>91.519476117729894</v>
      </c>
      <c r="S140" s="799">
        <f t="shared" si="105"/>
        <v>86.943502311843389</v>
      </c>
      <c r="T140" s="799">
        <f t="shared" si="105"/>
        <v>82.59632719625121</v>
      </c>
      <c r="U140" s="799">
        <f t="shared" si="105"/>
        <v>78.466510836438644</v>
      </c>
      <c r="V140" s="799">
        <f t="shared" si="105"/>
        <v>74.543185294616706</v>
      </c>
      <c r="W140" s="799">
        <f t="shared" si="105"/>
        <v>70.816026029885862</v>
      </c>
      <c r="X140" s="799">
        <f t="shared" si="105"/>
        <v>67.275224728391564</v>
      </c>
      <c r="Y140" s="799">
        <f t="shared" si="105"/>
        <v>63.911463491971986</v>
      </c>
      <c r="Z140" s="799">
        <f t="shared" si="105"/>
        <v>60.715890317373386</v>
      </c>
      <c r="AA140" s="799">
        <f t="shared" si="105"/>
        <v>57.680095801504706</v>
      </c>
    </row>
    <row r="141" spans="1:27" x14ac:dyDescent="0.15">
      <c r="A141" s="422"/>
      <c r="B141" s="422" t="s">
        <v>43</v>
      </c>
      <c r="C141" s="695" t="s">
        <v>105</v>
      </c>
      <c r="D141" s="738"/>
      <c r="E141" s="707" t="s">
        <v>90</v>
      </c>
      <c r="F141" s="422"/>
      <c r="G141" s="708">
        <f>F57*$C$153</f>
        <v>72.192000000000007</v>
      </c>
      <c r="H141" s="708">
        <f>G57*$C$153*0.95</f>
        <v>84.484943999999999</v>
      </c>
      <c r="I141" s="708">
        <f t="shared" ref="I141:AA141" si="106">H57*$C$153*F$155</f>
        <v>97.380014399999993</v>
      </c>
      <c r="J141" s="708">
        <f t="shared" si="106"/>
        <v>113.73985681919999</v>
      </c>
      <c r="K141" s="708">
        <f t="shared" si="106"/>
        <v>130.77240037787521</v>
      </c>
      <c r="L141" s="708">
        <f t="shared" si="106"/>
        <v>144.21860540244319</v>
      </c>
      <c r="M141" s="708">
        <f t="shared" si="106"/>
        <v>149.18340760544643</v>
      </c>
      <c r="N141" s="708">
        <f t="shared" si="106"/>
        <v>148.3447549356645</v>
      </c>
      <c r="O141" s="708">
        <f t="shared" si="106"/>
        <v>153.99075630851584</v>
      </c>
      <c r="P141" s="708">
        <f t="shared" si="106"/>
        <v>159.85164449361798</v>
      </c>
      <c r="Q141" s="708">
        <f t="shared" si="106"/>
        <v>164.30209515509645</v>
      </c>
      <c r="R141" s="708">
        <f t="shared" si="106"/>
        <v>175.22818448291127</v>
      </c>
      <c r="S141" s="708">
        <f t="shared" si="106"/>
        <v>166.46677525876569</v>
      </c>
      <c r="T141" s="708">
        <f t="shared" si="106"/>
        <v>158.14343649582739</v>
      </c>
      <c r="U141" s="708">
        <f t="shared" si="106"/>
        <v>150.23626467103603</v>
      </c>
      <c r="V141" s="708">
        <f t="shared" si="106"/>
        <v>142.72445143748419</v>
      </c>
      <c r="W141" s="708">
        <f t="shared" si="106"/>
        <v>135.58822886560998</v>
      </c>
      <c r="X141" s="708">
        <f t="shared" si="106"/>
        <v>128.80881742232947</v>
      </c>
      <c r="Y141" s="708">
        <f t="shared" si="106"/>
        <v>122.36837655121299</v>
      </c>
      <c r="Z141" s="708">
        <f t="shared" si="106"/>
        <v>116.24995772365233</v>
      </c>
      <c r="AA141" s="708">
        <f t="shared" si="106"/>
        <v>110.43745983746972</v>
      </c>
    </row>
    <row r="142" spans="1:27" x14ac:dyDescent="0.15">
      <c r="A142" s="422"/>
      <c r="B142" s="422"/>
      <c r="C142" s="422" t="s">
        <v>98</v>
      </c>
      <c r="D142" s="738"/>
      <c r="E142" s="707"/>
      <c r="F142" s="422"/>
      <c r="G142" s="708"/>
      <c r="H142" s="708"/>
      <c r="I142" s="708"/>
      <c r="J142" s="708"/>
      <c r="K142" s="708"/>
      <c r="L142" s="708"/>
      <c r="M142" s="708"/>
      <c r="N142" s="708"/>
      <c r="O142" s="708"/>
      <c r="P142" s="708"/>
      <c r="Q142" s="708"/>
      <c r="R142" s="775">
        <f t="shared" ref="R142:AA142" si="107">Q60*$C$153*O$155</f>
        <v>176.73812771788806</v>
      </c>
      <c r="S142" s="775">
        <f t="shared" si="107"/>
        <v>167.90122133199364</v>
      </c>
      <c r="T142" s="775">
        <f t="shared" si="107"/>
        <v>159.50616026539396</v>
      </c>
      <c r="U142" s="775">
        <f t="shared" si="107"/>
        <v>151.53085225212425</v>
      </c>
      <c r="V142" s="775">
        <f t="shared" si="107"/>
        <v>143.95430963951802</v>
      </c>
      <c r="W142" s="775">
        <f t="shared" si="107"/>
        <v>136.75659415754211</v>
      </c>
      <c r="X142" s="775">
        <f t="shared" si="107"/>
        <v>129.91876444966499</v>
      </c>
      <c r="Y142" s="775">
        <f t="shared" si="107"/>
        <v>123.42282622718174</v>
      </c>
      <c r="Z142" s="775">
        <f t="shared" si="107"/>
        <v>117.25168491582265</v>
      </c>
      <c r="AA142" s="775">
        <f t="shared" si="107"/>
        <v>111.38910067003151</v>
      </c>
    </row>
    <row r="143" spans="1:27" x14ac:dyDescent="0.15">
      <c r="A143" s="422"/>
      <c r="B143" s="422"/>
      <c r="C143" s="695" t="s">
        <v>101</v>
      </c>
      <c r="D143" s="738"/>
      <c r="E143" s="707" t="s">
        <v>90</v>
      </c>
      <c r="F143" s="422"/>
      <c r="G143" s="708">
        <f>F62*$C$154</f>
        <v>6.72</v>
      </c>
      <c r="H143" s="708">
        <f>G62*$C$154*0.95</f>
        <v>12.9276</v>
      </c>
      <c r="I143" s="708">
        <f t="shared" ref="I143:AA143" si="108">H62*$C$154*F$155</f>
        <v>21.772800000000004</v>
      </c>
      <c r="J143" s="708">
        <f t="shared" si="108"/>
        <v>33.203519999999997</v>
      </c>
      <c r="K143" s="708">
        <f t="shared" si="108"/>
        <v>40.293287999999997</v>
      </c>
      <c r="L143" s="708">
        <f t="shared" si="108"/>
        <v>45.329949000000013</v>
      </c>
      <c r="M143" s="708">
        <f t="shared" si="108"/>
        <v>51.386801760000019</v>
      </c>
      <c r="N143" s="708">
        <f t="shared" si="108"/>
        <v>49.997969280000007</v>
      </c>
      <c r="O143" s="708">
        <f t="shared" si="108"/>
        <v>56.877689852928022</v>
      </c>
      <c r="P143" s="708">
        <f t="shared" si="108"/>
        <v>53.07754919962926</v>
      </c>
      <c r="Q143" s="708">
        <f t="shared" si="108"/>
        <v>50.317516641248559</v>
      </c>
      <c r="R143" s="708">
        <f t="shared" si="108"/>
        <v>51.10822047418246</v>
      </c>
      <c r="S143" s="708">
        <f t="shared" si="108"/>
        <v>48.552809450473326</v>
      </c>
      <c r="T143" s="708">
        <f t="shared" si="108"/>
        <v>46.125168977949656</v>
      </c>
      <c r="U143" s="708">
        <f t="shared" si="108"/>
        <v>43.818910529052175</v>
      </c>
      <c r="V143" s="708">
        <f t="shared" si="108"/>
        <v>41.627965002599559</v>
      </c>
      <c r="W143" s="708">
        <f t="shared" si="108"/>
        <v>39.54656675246958</v>
      </c>
      <c r="X143" s="708">
        <f t="shared" si="108"/>
        <v>37.569238414846097</v>
      </c>
      <c r="Y143" s="708">
        <f t="shared" si="108"/>
        <v>35.690776494103794</v>
      </c>
      <c r="Z143" s="708">
        <f t="shared" si="108"/>
        <v>33.9062376693986</v>
      </c>
      <c r="AA143" s="708">
        <f t="shared" si="108"/>
        <v>32.210925785928666</v>
      </c>
    </row>
    <row r="144" spans="1:27" x14ac:dyDescent="0.15">
      <c r="A144" s="422"/>
      <c r="B144" s="422"/>
      <c r="C144" s="422" t="s">
        <v>98</v>
      </c>
      <c r="D144" s="738"/>
      <c r="E144" s="707"/>
      <c r="F144" s="422"/>
      <c r="G144" s="708"/>
      <c r="H144" s="708"/>
      <c r="I144" s="708"/>
      <c r="J144" s="708"/>
      <c r="K144" s="708"/>
      <c r="L144" s="708"/>
      <c r="M144" s="708"/>
      <c r="N144" s="708"/>
      <c r="O144" s="708"/>
      <c r="P144" s="708"/>
      <c r="Q144" s="708"/>
      <c r="R144" s="775">
        <f t="shared" ref="R144:AA144" si="109">Q65*$C$154*O$155</f>
        <v>51.548620584384032</v>
      </c>
      <c r="S144" s="775">
        <f t="shared" si="109"/>
        <v>48.971189555164827</v>
      </c>
      <c r="T144" s="775">
        <f t="shared" si="109"/>
        <v>46.522630077406582</v>
      </c>
      <c r="U144" s="775">
        <f t="shared" si="109"/>
        <v>44.196498573536246</v>
      </c>
      <c r="V144" s="775">
        <f t="shared" si="109"/>
        <v>41.986673644859437</v>
      </c>
      <c r="W144" s="775">
        <f t="shared" si="109"/>
        <v>39.887339962616458</v>
      </c>
      <c r="X144" s="775">
        <f t="shared" si="109"/>
        <v>37.892972964485637</v>
      </c>
      <c r="Y144" s="775">
        <f t="shared" si="109"/>
        <v>35.998324316261353</v>
      </c>
      <c r="Z144" s="775">
        <f t="shared" si="109"/>
        <v>34.198408100448283</v>
      </c>
      <c r="AA144" s="775">
        <f t="shared" si="109"/>
        <v>32.48848769542586</v>
      </c>
    </row>
    <row r="145" spans="1:27" x14ac:dyDescent="0.15">
      <c r="A145" s="422"/>
      <c r="B145" s="422"/>
      <c r="C145" s="695" t="s">
        <v>99</v>
      </c>
      <c r="D145" s="738"/>
      <c r="E145" s="707" t="s">
        <v>90</v>
      </c>
      <c r="F145" s="422" t="s">
        <v>14</v>
      </c>
      <c r="G145" s="708">
        <f>F67*$C$155</f>
        <v>0.15782400000000002</v>
      </c>
      <c r="H145" s="708">
        <f>G67*$C$155*0.95</f>
        <v>0.50602320000000001</v>
      </c>
      <c r="I145" s="708">
        <f t="shared" ref="I145:AA145" si="110">H67*$C$155*F$155</f>
        <v>1.4648040000000004</v>
      </c>
      <c r="J145" s="708">
        <f t="shared" si="110"/>
        <v>4.4743104000000011</v>
      </c>
      <c r="K145" s="708">
        <f>J67*$C$155*H$155</f>
        <v>13.422931199999999</v>
      </c>
      <c r="L145" s="708">
        <f t="shared" si="110"/>
        <v>27.882544140000011</v>
      </c>
      <c r="M145" s="708">
        <f t="shared" si="110"/>
        <v>46.693823436000024</v>
      </c>
      <c r="N145" s="708">
        <f t="shared" si="110"/>
        <v>73.389876336000015</v>
      </c>
      <c r="O145" s="708">
        <f t="shared" si="110"/>
        <v>111.31776442644484</v>
      </c>
      <c r="P145" s="708">
        <f t="shared" si="110"/>
        <v>171.15523722182496</v>
      </c>
      <c r="Q145" s="708">
        <f t="shared" si="110"/>
        <v>253.23060415779378</v>
      </c>
      <c r="R145" s="708">
        <f t="shared" si="110"/>
        <v>352.09183202099643</v>
      </c>
      <c r="S145" s="708">
        <f t="shared" si="110"/>
        <v>480.44530896683233</v>
      </c>
      <c r="T145" s="708">
        <f t="shared" si="110"/>
        <v>676.07663321176426</v>
      </c>
      <c r="U145" s="708">
        <f t="shared" si="110"/>
        <v>879.48555625741039</v>
      </c>
      <c r="V145" s="708">
        <f t="shared" si="110"/>
        <v>1117.0143091820082</v>
      </c>
      <c r="W145" s="708">
        <f t="shared" si="110"/>
        <v>1061.1635937229078</v>
      </c>
      <c r="X145" s="708">
        <f t="shared" si="110"/>
        <v>1008.1054140367623</v>
      </c>
      <c r="Y145" s="708">
        <f t="shared" si="110"/>
        <v>957.70014333492418</v>
      </c>
      <c r="Z145" s="708">
        <f t="shared" si="110"/>
        <v>909.8151361681779</v>
      </c>
      <c r="AA145" s="708">
        <f t="shared" si="110"/>
        <v>864.32437935976895</v>
      </c>
    </row>
    <row r="146" spans="1:27" x14ac:dyDescent="0.15">
      <c r="A146" s="422"/>
      <c r="B146" s="422"/>
      <c r="C146" s="422" t="s">
        <v>98</v>
      </c>
      <c r="D146" s="738"/>
      <c r="E146" s="707"/>
      <c r="F146" s="422"/>
      <c r="G146" s="708"/>
      <c r="H146" s="708"/>
      <c r="I146" s="708"/>
      <c r="J146" s="708"/>
      <c r="K146" s="708"/>
      <c r="L146" s="708"/>
      <c r="M146" s="708"/>
      <c r="N146" s="708"/>
      <c r="O146" s="708"/>
      <c r="P146" s="708"/>
      <c r="Q146" s="708"/>
      <c r="R146" s="775">
        <f t="shared" ref="R146:AA146" si="111">Q70*$C$155*O$155</f>
        <v>355.12581129447648</v>
      </c>
      <c r="S146" s="775">
        <f t="shared" si="111"/>
        <v>490.71930287964028</v>
      </c>
      <c r="T146" s="775">
        <f t="shared" si="111"/>
        <v>699.27500660348744</v>
      </c>
      <c r="U146" s="775">
        <f t="shared" si="111"/>
        <v>921.17827536566062</v>
      </c>
      <c r="V146" s="775">
        <f t="shared" si="111"/>
        <v>1184.7769818549114</v>
      </c>
      <c r="W146" s="775">
        <f t="shared" si="111"/>
        <v>1125.5381327621658</v>
      </c>
      <c r="X146" s="775">
        <f t="shared" si="111"/>
        <v>1069.2612261240572</v>
      </c>
      <c r="Y146" s="775">
        <f t="shared" si="111"/>
        <v>1015.7981648178544</v>
      </c>
      <c r="Z146" s="775">
        <f t="shared" si="111"/>
        <v>965.00825657696157</v>
      </c>
      <c r="AA146" s="775">
        <f t="shared" si="111"/>
        <v>916.75784374811349</v>
      </c>
    </row>
    <row r="147" spans="1:27" x14ac:dyDescent="0.15">
      <c r="A147" s="422"/>
      <c r="B147" s="422"/>
      <c r="C147" s="695" t="s">
        <v>100</v>
      </c>
      <c r="D147" s="738"/>
      <c r="E147" s="707" t="s">
        <v>90</v>
      </c>
      <c r="F147" s="422"/>
      <c r="G147" s="708">
        <f>F72*$C$156</f>
        <v>1.4601653219870059E-17</v>
      </c>
      <c r="H147" s="708">
        <f>G72*$C$156*0.95</f>
        <v>-2.6144531999999464E-3</v>
      </c>
      <c r="I147" s="708">
        <f t="shared" ref="I147:AA147" si="112">H72*$C$156*F$155</f>
        <v>-6.1654932000000683E-4</v>
      </c>
      <c r="J147" s="708">
        <f t="shared" si="112"/>
        <v>-6.0466896057599692E-3</v>
      </c>
      <c r="K147" s="708">
        <f t="shared" si="112"/>
        <v>-1.1650207294222588E-2</v>
      </c>
      <c r="L147" s="708">
        <f t="shared" si="112"/>
        <v>1.3006624496632143E-2</v>
      </c>
      <c r="M147" s="708">
        <f t="shared" si="112"/>
        <v>0</v>
      </c>
      <c r="N147" s="708">
        <f t="shared" si="112"/>
        <v>0</v>
      </c>
      <c r="O147" s="708">
        <f t="shared" si="112"/>
        <v>2.9170481775555875E-2</v>
      </c>
      <c r="P147" s="707">
        <f t="shared" si="112"/>
        <v>4.6110096413376662E-2</v>
      </c>
      <c r="Q147" s="707">
        <f t="shared" si="112"/>
        <v>0.28136733795310753</v>
      </c>
      <c r="R147" s="708">
        <f t="shared" si="112"/>
        <v>2.2005739501312251</v>
      </c>
      <c r="S147" s="708">
        <f t="shared" si="112"/>
        <v>9.5404883347052927</v>
      </c>
      <c r="T147" s="708">
        <f t="shared" si="112"/>
        <v>20.188775603733241</v>
      </c>
      <c r="U147" s="708">
        <f t="shared" si="112"/>
        <v>45.127158006214088</v>
      </c>
      <c r="V147" s="708">
        <f t="shared" si="112"/>
        <v>89.273811108746301</v>
      </c>
      <c r="W147" s="708">
        <f t="shared" si="112"/>
        <v>196.71464498227016</v>
      </c>
      <c r="X147" s="708">
        <f t="shared" si="112"/>
        <v>354.8476039010273</v>
      </c>
      <c r="Y147" s="708">
        <f t="shared" si="112"/>
        <v>589.22622914894998</v>
      </c>
      <c r="Z147" s="708">
        <f t="shared" si="112"/>
        <v>938.1985468614065</v>
      </c>
      <c r="AA147" s="708">
        <f t="shared" si="112"/>
        <v>1459.3174969023617</v>
      </c>
    </row>
    <row r="148" spans="1:27" x14ac:dyDescent="0.15">
      <c r="A148" s="422"/>
      <c r="B148" s="422"/>
      <c r="C148" s="422" t="s">
        <v>98</v>
      </c>
      <c r="D148" s="738"/>
      <c r="E148" s="707"/>
      <c r="F148" s="422"/>
      <c r="G148" s="708"/>
      <c r="H148" s="708"/>
      <c r="I148" s="708"/>
      <c r="J148" s="708"/>
      <c r="K148" s="708"/>
      <c r="L148" s="708"/>
      <c r="M148" s="708"/>
      <c r="N148" s="708"/>
      <c r="O148" s="708"/>
      <c r="P148" s="708"/>
      <c r="Q148" s="708"/>
      <c r="R148" s="775">
        <f t="shared" ref="R148:AA148" si="113">Q75*$C$156*O$155</f>
        <v>2.2195363205904757</v>
      </c>
      <c r="S148" s="775">
        <f t="shared" si="113"/>
        <v>9.744505144208043</v>
      </c>
      <c r="T148" s="775">
        <f t="shared" si="113"/>
        <v>20.881517715751201</v>
      </c>
      <c r="U148" s="775">
        <f t="shared" si="113"/>
        <v>47.26644717306884</v>
      </c>
      <c r="V148" s="775">
        <f t="shared" si="113"/>
        <v>94.689526906384188</v>
      </c>
      <c r="W148" s="775">
        <f t="shared" si="113"/>
        <v>211.28927872734883</v>
      </c>
      <c r="X148" s="775">
        <f t="shared" si="113"/>
        <v>385.96288132446898</v>
      </c>
      <c r="Y148" s="775">
        <f t="shared" si="113"/>
        <v>649.00587710782986</v>
      </c>
      <c r="Z148" s="775">
        <f t="shared" si="113"/>
        <v>1046.4638016797544</v>
      </c>
      <c r="AA148" s="775">
        <f t="shared" si="113"/>
        <v>1648.3223203780983</v>
      </c>
    </row>
    <row r="149" spans="1:27" x14ac:dyDescent="0.15">
      <c r="A149" s="422"/>
      <c r="B149" s="422"/>
      <c r="C149" s="422"/>
      <c r="D149" s="738"/>
      <c r="E149" s="422"/>
      <c r="F149" s="422"/>
      <c r="G149" s="708"/>
      <c r="H149" s="708"/>
      <c r="I149" s="800"/>
      <c r="J149" s="800"/>
      <c r="K149" s="800"/>
      <c r="L149" s="800"/>
      <c r="M149" s="800"/>
      <c r="N149" s="800"/>
      <c r="O149" s="699"/>
      <c r="P149" s="699"/>
      <c r="Q149" s="699"/>
      <c r="R149" s="699"/>
      <c r="S149" s="699"/>
      <c r="T149" s="699"/>
      <c r="U149" s="699"/>
      <c r="V149" s="699"/>
      <c r="W149" s="699"/>
      <c r="X149" s="699"/>
      <c r="Y149" s="699"/>
      <c r="Z149" s="699"/>
      <c r="AA149" s="699"/>
    </row>
    <row r="150" spans="1:27" x14ac:dyDescent="0.15">
      <c r="A150" s="422"/>
      <c r="B150" s="422"/>
      <c r="C150" s="422"/>
      <c r="D150" s="738"/>
      <c r="E150" s="422"/>
      <c r="F150" s="422"/>
      <c r="G150" s="702">
        <v>2010</v>
      </c>
      <c r="H150" s="702">
        <v>2011</v>
      </c>
      <c r="I150" s="702">
        <v>2012</v>
      </c>
      <c r="J150" s="702">
        <v>2013</v>
      </c>
      <c r="K150" s="702">
        <v>2014</v>
      </c>
      <c r="L150" s="702">
        <v>2015</v>
      </c>
      <c r="M150" s="702">
        <v>2016</v>
      </c>
      <c r="N150" s="702">
        <v>2017</v>
      </c>
      <c r="O150" s="702">
        <v>2018</v>
      </c>
      <c r="P150" s="702">
        <v>2019</v>
      </c>
      <c r="Q150" s="702">
        <v>2020</v>
      </c>
      <c r="R150" s="702">
        <v>2021</v>
      </c>
      <c r="S150" s="702">
        <v>2022</v>
      </c>
      <c r="T150" s="702">
        <v>2023</v>
      </c>
      <c r="U150" s="702">
        <v>2024</v>
      </c>
      <c r="V150" s="702">
        <v>2025</v>
      </c>
      <c r="W150" s="702">
        <v>2026</v>
      </c>
      <c r="X150" s="702">
        <v>2027</v>
      </c>
      <c r="Y150" s="702">
        <v>2028</v>
      </c>
      <c r="Z150" s="702">
        <v>2029</v>
      </c>
      <c r="AA150" s="702">
        <v>2030</v>
      </c>
    </row>
    <row r="151" spans="1:27" x14ac:dyDescent="0.15">
      <c r="A151" s="422" t="s">
        <v>108</v>
      </c>
      <c r="B151" s="422"/>
      <c r="C151" s="422"/>
      <c r="D151" s="801"/>
      <c r="E151" s="802"/>
      <c r="F151" s="803" t="s">
        <v>46</v>
      </c>
      <c r="G151" s="804">
        <f>SUM(G140:G147)</f>
        <v>341.54511811764701</v>
      </c>
      <c r="H151" s="804">
        <f t="shared" ref="H151:P151" si="114">SUM(H140:H147)</f>
        <v>347.26748215856458</v>
      </c>
      <c r="I151" s="804">
        <f t="shared" si="114"/>
        <v>356.84476655656232</v>
      </c>
      <c r="J151" s="804">
        <f t="shared" si="114"/>
        <v>364.01662876488831</v>
      </c>
      <c r="K151" s="804">
        <f t="shared" si="114"/>
        <v>375.8214587823457</v>
      </c>
      <c r="L151" s="804">
        <f t="shared" si="114"/>
        <v>389.65414563752807</v>
      </c>
      <c r="M151" s="804">
        <f t="shared" si="114"/>
        <v>402.25306922497589</v>
      </c>
      <c r="N151" s="804">
        <f t="shared" si="114"/>
        <v>411.22273333284102</v>
      </c>
      <c r="O151" s="804">
        <f>SUM(O140:O147)</f>
        <v>447.7565005727231</v>
      </c>
      <c r="P151" s="804">
        <f t="shared" si="114"/>
        <v>497.11754856423858</v>
      </c>
      <c r="Q151" s="804">
        <f>SUM(Q140:Q147)</f>
        <v>569.81989008956964</v>
      </c>
      <c r="R151" s="804">
        <f>R140+R142+R144+R146+R148</f>
        <v>677.15157203506885</v>
      </c>
      <c r="S151" s="804">
        <f t="shared" ref="S151:Z151" si="115">S140+S142+S144+S146+S148</f>
        <v>804.27972122285018</v>
      </c>
      <c r="T151" s="804">
        <f t="shared" si="115"/>
        <v>1008.7816418582904</v>
      </c>
      <c r="U151" s="804">
        <f t="shared" si="115"/>
        <v>1242.6385842008287</v>
      </c>
      <c r="V151" s="804">
        <f t="shared" si="115"/>
        <v>1539.9506773402898</v>
      </c>
      <c r="W151" s="804">
        <f t="shared" si="115"/>
        <v>1584.2873716395591</v>
      </c>
      <c r="X151" s="804">
        <f>X140+X142+X144+X146+X148</f>
        <v>1690.3110695910684</v>
      </c>
      <c r="Y151" s="804">
        <f t="shared" si="115"/>
        <v>1888.1366559610992</v>
      </c>
      <c r="Z151" s="804">
        <f t="shared" si="115"/>
        <v>2223.6380415903604</v>
      </c>
      <c r="AA151" s="804">
        <f>AA140+AA142+AA144+AA146+AA148</f>
        <v>2766.6378482931741</v>
      </c>
    </row>
    <row r="152" spans="1:27" x14ac:dyDescent="0.15">
      <c r="B152" s="422" t="s">
        <v>111</v>
      </c>
      <c r="C152" s="422">
        <v>14</v>
      </c>
      <c r="D152" s="805"/>
      <c r="E152" s="806"/>
      <c r="F152" s="803" t="s">
        <v>47</v>
      </c>
      <c r="G152" s="807">
        <f>G179+G197</f>
        <v>204.1</v>
      </c>
      <c r="H152" s="807">
        <f t="shared" ref="H152:Z152" si="116">H179+H197</f>
        <v>224.4</v>
      </c>
      <c r="I152" s="807">
        <f t="shared" si="116"/>
        <v>247.64000000000001</v>
      </c>
      <c r="J152" s="807">
        <f t="shared" si="116"/>
        <v>296.17891276595742</v>
      </c>
      <c r="K152" s="807">
        <f t="shared" si="116"/>
        <v>356.44877506914895</v>
      </c>
      <c r="L152" s="807">
        <f t="shared" si="116"/>
        <v>431.58031052182179</v>
      </c>
      <c r="M152" s="807">
        <f t="shared" si="116"/>
        <v>525.5717197157212</v>
      </c>
      <c r="N152" s="807">
        <f t="shared" si="116"/>
        <v>643.53217436800969</v>
      </c>
      <c r="O152" s="807">
        <f t="shared" si="116"/>
        <v>791.99395351408486</v>
      </c>
      <c r="P152" s="807">
        <f t="shared" si="116"/>
        <v>979.31259970848419</v>
      </c>
      <c r="Q152" s="807">
        <f t="shared" si="116"/>
        <v>1216.1799462280183</v>
      </c>
      <c r="R152" s="807">
        <f t="shared" si="116"/>
        <v>1516.2818853212452</v>
      </c>
      <c r="S152" s="807">
        <f t="shared" si="116"/>
        <v>1897.1417493545619</v>
      </c>
      <c r="T152" s="807">
        <f t="shared" si="116"/>
        <v>2381.2017213845711</v>
      </c>
      <c r="U152" s="807">
        <f t="shared" si="116"/>
        <v>2997.2094975880123</v>
      </c>
      <c r="V152" s="807">
        <f t="shared" si="116"/>
        <v>3781.9964123858131</v>
      </c>
      <c r="W152" s="807">
        <f t="shared" si="116"/>
        <v>0</v>
      </c>
      <c r="X152" s="807" t="e">
        <f t="shared" si="116"/>
        <v>#DIV/0!</v>
      </c>
      <c r="Y152" s="807" t="e">
        <f t="shared" si="116"/>
        <v>#DIV/0!</v>
      </c>
      <c r="Z152" s="807" t="e">
        <f t="shared" si="116"/>
        <v>#DIV/0!</v>
      </c>
      <c r="AA152" s="807" t="e">
        <f>AA179+AA197</f>
        <v>#DIV/0!</v>
      </c>
    </row>
    <row r="153" spans="1:27" x14ac:dyDescent="0.15">
      <c r="A153" s="422"/>
      <c r="B153" s="422" t="s">
        <v>112</v>
      </c>
      <c r="C153" s="422">
        <v>40</v>
      </c>
      <c r="D153" s="805"/>
      <c r="E153" s="806"/>
      <c r="F153" s="802" t="s">
        <v>59</v>
      </c>
      <c r="G153" s="808">
        <f>SUM(G151:G152)</f>
        <v>545.64511811764703</v>
      </c>
      <c r="H153" s="808">
        <f t="shared" ref="H153:Z153" si="117">SUM(H151:H152)</f>
        <v>571.66748215856455</v>
      </c>
      <c r="I153" s="808">
        <f t="shared" si="117"/>
        <v>604.48476655656236</v>
      </c>
      <c r="J153" s="808">
        <f t="shared" si="117"/>
        <v>660.19554153084573</v>
      </c>
      <c r="K153" s="808">
        <f t="shared" si="117"/>
        <v>732.2702338514946</v>
      </c>
      <c r="L153" s="808">
        <f t="shared" si="117"/>
        <v>821.23445615934986</v>
      </c>
      <c r="M153" s="808">
        <f t="shared" si="117"/>
        <v>927.82478894069709</v>
      </c>
      <c r="N153" s="808">
        <f t="shared" si="117"/>
        <v>1054.7549077008507</v>
      </c>
      <c r="O153" s="808">
        <f t="shared" si="117"/>
        <v>1239.7504540868081</v>
      </c>
      <c r="P153" s="808">
        <f t="shared" si="117"/>
        <v>1476.4301482727228</v>
      </c>
      <c r="Q153" s="808">
        <f t="shared" si="117"/>
        <v>1785.9998363175878</v>
      </c>
      <c r="R153" s="808">
        <f t="shared" si="117"/>
        <v>2193.4334573563142</v>
      </c>
      <c r="S153" s="808">
        <f t="shared" si="117"/>
        <v>2701.421470577412</v>
      </c>
      <c r="T153" s="808">
        <f t="shared" si="117"/>
        <v>3389.9833632428617</v>
      </c>
      <c r="U153" s="808">
        <f t="shared" si="117"/>
        <v>4239.8480817888412</v>
      </c>
      <c r="V153" s="808">
        <f t="shared" si="117"/>
        <v>5321.9470897261026</v>
      </c>
      <c r="W153" s="808">
        <f t="shared" si="117"/>
        <v>1584.2873716395591</v>
      </c>
      <c r="X153" s="808" t="e">
        <f t="shared" si="117"/>
        <v>#DIV/0!</v>
      </c>
      <c r="Y153" s="808" t="e">
        <f t="shared" si="117"/>
        <v>#DIV/0!</v>
      </c>
      <c r="Z153" s="808" t="e">
        <f t="shared" si="117"/>
        <v>#DIV/0!</v>
      </c>
      <c r="AA153" s="808" t="e">
        <f>SUM(AA151:AA152)</f>
        <v>#DIV/0!</v>
      </c>
    </row>
    <row r="154" spans="1:27" x14ac:dyDescent="0.15">
      <c r="A154" s="422" t="s">
        <v>43</v>
      </c>
      <c r="B154" s="422" t="s">
        <v>113</v>
      </c>
      <c r="C154" s="422">
        <v>3.5</v>
      </c>
      <c r="D154" s="809" t="s">
        <v>49</v>
      </c>
      <c r="E154" s="715"/>
      <c r="F154" s="806"/>
      <c r="G154" s="806"/>
      <c r="H154" s="806"/>
      <c r="I154" s="806"/>
      <c r="J154" s="810"/>
      <c r="K154" s="810"/>
      <c r="L154" s="810"/>
      <c r="M154" s="810"/>
      <c r="N154" s="811"/>
      <c r="O154" s="715"/>
      <c r="P154" s="715"/>
      <c r="Q154" s="715"/>
      <c r="R154" s="715"/>
      <c r="S154" s="715"/>
      <c r="T154" s="715"/>
      <c r="U154" s="715"/>
      <c r="V154" s="715"/>
      <c r="W154" s="715"/>
      <c r="X154" s="715"/>
      <c r="Y154" s="715"/>
      <c r="Z154" s="715"/>
      <c r="AA154" s="715"/>
    </row>
    <row r="155" spans="1:27" x14ac:dyDescent="0.15">
      <c r="A155" s="422"/>
      <c r="B155" s="422" t="s">
        <v>114</v>
      </c>
      <c r="C155" s="422">
        <v>1.37</v>
      </c>
      <c r="D155" s="812" t="s">
        <v>50</v>
      </c>
      <c r="E155" s="715"/>
      <c r="F155" s="813">
        <v>0.9</v>
      </c>
      <c r="G155" s="813">
        <f t="shared" ref="G155:O155" si="118">F155*$F$155</f>
        <v>0.81</v>
      </c>
      <c r="H155" s="814">
        <f t="shared" si="118"/>
        <v>0.72900000000000009</v>
      </c>
      <c r="I155" s="814">
        <f t="shared" si="118"/>
        <v>0.65610000000000013</v>
      </c>
      <c r="J155" s="814">
        <f t="shared" si="118"/>
        <v>0.59049000000000018</v>
      </c>
      <c r="K155" s="814">
        <f t="shared" si="118"/>
        <v>0.53144100000000016</v>
      </c>
      <c r="L155" s="814">
        <f t="shared" si="118"/>
        <v>0.47829690000000014</v>
      </c>
      <c r="M155" s="814">
        <f t="shared" si="118"/>
        <v>0.43046721000000016</v>
      </c>
      <c r="N155" s="814">
        <f t="shared" si="118"/>
        <v>0.38742048900000015</v>
      </c>
      <c r="O155" s="814">
        <f t="shared" si="118"/>
        <v>0.34867844010000015</v>
      </c>
      <c r="P155" s="814">
        <f>O155*$F$157</f>
        <v>0.33124451809500011</v>
      </c>
      <c r="Q155" s="814">
        <f t="shared" ref="Q155:X155" si="119">P155*$F$157</f>
        <v>0.31468229219025007</v>
      </c>
      <c r="R155" s="814">
        <f>Q155*$F$157</f>
        <v>0.29894817758073755</v>
      </c>
      <c r="S155" s="814">
        <f t="shared" si="119"/>
        <v>0.28400076870170066</v>
      </c>
      <c r="T155" s="814">
        <f t="shared" si="119"/>
        <v>0.26980073026661561</v>
      </c>
      <c r="U155" s="814">
        <f t="shared" si="119"/>
        <v>0.2563106937532848</v>
      </c>
      <c r="V155" s="814">
        <f t="shared" si="119"/>
        <v>0.24349515906562055</v>
      </c>
      <c r="W155" s="814">
        <f t="shared" si="119"/>
        <v>0.23132040111233951</v>
      </c>
      <c r="X155" s="814">
        <f t="shared" si="119"/>
        <v>0.21975438105672251</v>
      </c>
      <c r="Y155" s="813"/>
      <c r="Z155" s="813"/>
      <c r="AA155" s="813"/>
    </row>
    <row r="156" spans="1:27" x14ac:dyDescent="0.15">
      <c r="A156" s="422"/>
      <c r="B156" s="422" t="s">
        <v>115</v>
      </c>
      <c r="C156" s="422">
        <v>0.13700000000000001</v>
      </c>
      <c r="D156" s="815"/>
      <c r="E156" s="422" t="s">
        <v>106</v>
      </c>
      <c r="F156" s="702">
        <v>2012</v>
      </c>
      <c r="G156" s="702">
        <v>2013</v>
      </c>
      <c r="H156" s="702">
        <v>2014</v>
      </c>
      <c r="I156" s="702">
        <v>2015</v>
      </c>
      <c r="J156" s="702">
        <v>2016</v>
      </c>
      <c r="K156" s="702">
        <v>2017</v>
      </c>
      <c r="L156" s="702">
        <v>2018</v>
      </c>
      <c r="M156" s="702">
        <v>2019</v>
      </c>
      <c r="N156" s="702">
        <v>2020</v>
      </c>
      <c r="O156" s="702">
        <v>2021</v>
      </c>
      <c r="P156" s="702">
        <v>2022</v>
      </c>
      <c r="Q156" s="702">
        <v>2023</v>
      </c>
      <c r="R156" s="702">
        <v>2024</v>
      </c>
      <c r="S156" s="702">
        <v>2025</v>
      </c>
      <c r="T156" s="702">
        <v>2026</v>
      </c>
      <c r="U156" s="702">
        <v>2027</v>
      </c>
      <c r="V156" s="702">
        <v>2028</v>
      </c>
      <c r="W156" s="702">
        <v>2029</v>
      </c>
      <c r="X156" s="702">
        <v>2030</v>
      </c>
    </row>
    <row r="157" spans="1:27" x14ac:dyDescent="0.15">
      <c r="A157" s="422"/>
      <c r="C157" s="816"/>
      <c r="D157" s="815"/>
      <c r="E157" s="422"/>
      <c r="F157" s="702">
        <v>0.95</v>
      </c>
    </row>
    <row r="158" spans="1:27" x14ac:dyDescent="0.15">
      <c r="A158" s="422"/>
      <c r="B158" s="422"/>
      <c r="C158" s="816"/>
      <c r="D158" s="815"/>
      <c r="E158" s="422"/>
      <c r="F158" s="422"/>
      <c r="G158" s="702">
        <v>2010</v>
      </c>
      <c r="H158" s="702">
        <v>2011</v>
      </c>
      <c r="I158" s="702">
        <v>2012</v>
      </c>
      <c r="J158" s="702">
        <v>2013</v>
      </c>
      <c r="K158" s="702">
        <v>2014</v>
      </c>
      <c r="L158" s="702">
        <v>2015</v>
      </c>
      <c r="M158" s="702">
        <v>2016</v>
      </c>
      <c r="N158" s="702">
        <v>2017</v>
      </c>
      <c r="O158" s="702">
        <v>2018</v>
      </c>
      <c r="P158" s="702">
        <v>2019</v>
      </c>
      <c r="Q158" s="702">
        <v>2020</v>
      </c>
      <c r="R158" s="702">
        <v>2021</v>
      </c>
      <c r="S158" s="702">
        <v>2022</v>
      </c>
      <c r="T158" s="702">
        <v>2023</v>
      </c>
      <c r="U158" s="702">
        <v>2024</v>
      </c>
      <c r="V158" s="702">
        <v>2025</v>
      </c>
      <c r="W158" s="702">
        <v>2026</v>
      </c>
      <c r="X158" s="702">
        <v>2027</v>
      </c>
      <c r="Y158" s="702">
        <v>2028</v>
      </c>
      <c r="Z158" s="702">
        <v>2029</v>
      </c>
      <c r="AA158" s="702">
        <v>2030</v>
      </c>
    </row>
    <row r="159" spans="1:27" x14ac:dyDescent="0.15">
      <c r="A159" s="422"/>
      <c r="B159" s="422"/>
      <c r="C159" s="816"/>
      <c r="D159" s="815"/>
      <c r="E159" s="422"/>
      <c r="F159" s="422"/>
      <c r="G159" s="422"/>
      <c r="H159" s="422"/>
      <c r="I159" s="422"/>
      <c r="J159" s="422"/>
      <c r="K159" s="422"/>
      <c r="L159" s="422"/>
      <c r="M159" s="422"/>
      <c r="N159" s="422"/>
    </row>
    <row r="163" spans="1:44" x14ac:dyDescent="0.15">
      <c r="I163" s="694">
        <f>2^(1/1.5)</f>
        <v>1.5874010519681994</v>
      </c>
      <c r="L163" s="694" t="s">
        <v>254</v>
      </c>
    </row>
    <row r="165" spans="1:44" x14ac:dyDescent="0.15">
      <c r="G165" s="694" t="s">
        <v>316</v>
      </c>
      <c r="H165" s="694" t="s">
        <v>318</v>
      </c>
      <c r="I165" s="694">
        <v>1</v>
      </c>
      <c r="J165" s="694">
        <f>I165*1.58</f>
        <v>1.58</v>
      </c>
      <c r="K165" s="817"/>
      <c r="L165" s="817"/>
      <c r="M165" s="817"/>
      <c r="N165" s="817"/>
      <c r="O165" s="817"/>
      <c r="P165" s="817"/>
      <c r="Q165" s="817"/>
      <c r="R165" s="817"/>
      <c r="S165" s="817"/>
      <c r="T165" s="817"/>
      <c r="U165" s="817"/>
      <c r="V165" s="817"/>
      <c r="W165" s="817"/>
      <c r="X165" s="817"/>
      <c r="Y165" s="817"/>
    </row>
    <row r="166" spans="1:44" x14ac:dyDescent="0.15">
      <c r="D166" s="818"/>
      <c r="F166" s="819"/>
      <c r="G166" s="694" t="s">
        <v>315</v>
      </c>
      <c r="H166" s="694" t="s">
        <v>317</v>
      </c>
      <c r="I166" s="694">
        <f>2^(1/1.57)</f>
        <v>1.5550302821063127</v>
      </c>
      <c r="K166" s="817"/>
      <c r="L166" s="817"/>
      <c r="M166" s="817"/>
      <c r="N166" s="817"/>
      <c r="O166" s="817"/>
      <c r="P166" s="817"/>
      <c r="Q166" s="817"/>
      <c r="R166" s="817"/>
      <c r="S166" s="817"/>
      <c r="T166" s="817"/>
      <c r="U166" s="817"/>
      <c r="V166" s="817"/>
      <c r="W166" s="817"/>
      <c r="X166" s="817"/>
      <c r="Y166" s="817"/>
    </row>
    <row r="167" spans="1:44" x14ac:dyDescent="0.15">
      <c r="D167" s="818"/>
      <c r="F167" s="819"/>
      <c r="K167" s="817"/>
      <c r="L167" s="817"/>
      <c r="M167" s="817"/>
      <c r="N167" s="817"/>
      <c r="O167" s="817"/>
      <c r="P167" s="817"/>
      <c r="Q167" s="817"/>
      <c r="R167" s="817"/>
      <c r="S167" s="817"/>
      <c r="T167" s="817"/>
      <c r="U167" s="817"/>
      <c r="V167" s="817"/>
      <c r="W167" s="817"/>
      <c r="X167" s="817"/>
      <c r="Y167" s="817"/>
    </row>
    <row r="168" spans="1:44" x14ac:dyDescent="0.15">
      <c r="G168" s="702">
        <v>2010</v>
      </c>
      <c r="H168" s="702">
        <v>2011</v>
      </c>
      <c r="I168" s="702">
        <v>2012</v>
      </c>
      <c r="J168" s="702">
        <v>2013</v>
      </c>
      <c r="K168" s="820">
        <v>2014</v>
      </c>
      <c r="L168" s="820">
        <v>2015</v>
      </c>
      <c r="M168" s="820">
        <v>2016</v>
      </c>
      <c r="N168" s="820">
        <v>2017</v>
      </c>
      <c r="O168" s="820">
        <v>2018</v>
      </c>
      <c r="P168" s="820">
        <v>2019</v>
      </c>
      <c r="Q168" s="820">
        <v>2020</v>
      </c>
      <c r="R168" s="820">
        <v>2021</v>
      </c>
      <c r="S168" s="820">
        <v>2022</v>
      </c>
      <c r="T168" s="820">
        <v>2023</v>
      </c>
      <c r="U168" s="820">
        <v>2024</v>
      </c>
      <c r="V168" s="820">
        <v>2025</v>
      </c>
      <c r="W168" s="820">
        <v>2026</v>
      </c>
      <c r="X168" s="820">
        <v>2027</v>
      </c>
      <c r="Y168" s="820">
        <v>2028</v>
      </c>
      <c r="Z168" s="702">
        <v>2029</v>
      </c>
      <c r="AA168" s="702">
        <v>2030</v>
      </c>
    </row>
    <row r="169" spans="1:44" x14ac:dyDescent="0.15">
      <c r="K169" s="817"/>
      <c r="L169" s="817"/>
      <c r="M169" s="817"/>
      <c r="N169" s="817"/>
      <c r="O169" s="817"/>
      <c r="P169" s="817"/>
      <c r="Q169" s="817"/>
      <c r="R169" s="817"/>
      <c r="S169" s="817"/>
      <c r="T169" s="817"/>
      <c r="U169" s="817"/>
      <c r="V169" s="817"/>
      <c r="W169" s="817"/>
      <c r="X169" s="817"/>
      <c r="Y169" s="817"/>
      <c r="AE169" s="694" t="s">
        <v>299</v>
      </c>
    </row>
    <row r="170" spans="1:44" ht="33" x14ac:dyDescent="0.15">
      <c r="A170" s="694" t="s">
        <v>84</v>
      </c>
      <c r="B170" s="422" t="s">
        <v>138</v>
      </c>
      <c r="C170" s="694" t="s">
        <v>230</v>
      </c>
      <c r="G170" s="699">
        <f>Traffic!B18</f>
        <v>325</v>
      </c>
      <c r="H170" s="699">
        <f>Traffic!C18</f>
        <v>390</v>
      </c>
      <c r="I170" s="699">
        <f>Traffic!D18</f>
        <v>470</v>
      </c>
      <c r="J170" s="699">
        <f>Traffic!E18</f>
        <v>567.79999999999995</v>
      </c>
      <c r="K170" s="821">
        <f>Traffic!F18</f>
        <v>688.89199999999994</v>
      </c>
      <c r="L170" s="821">
        <f>Traffic!G18</f>
        <v>839.41687999999999</v>
      </c>
      <c r="M170" s="821">
        <f>Traffic!H18</f>
        <v>1043</v>
      </c>
      <c r="N170" s="821">
        <f>Traffic!I18</f>
        <v>1282.6199999999999</v>
      </c>
      <c r="O170" s="821">
        <f>Traffic!J18</f>
        <v>1583.8667999999998</v>
      </c>
      <c r="P170" s="821">
        <f>Traffic!K18</f>
        <v>1963.792152</v>
      </c>
      <c r="Q170" s="821">
        <f>Traffic!L18</f>
        <v>2444.36225328</v>
      </c>
      <c r="R170" s="821">
        <f>Traffic!M18</f>
        <v>3053.9039287392002</v>
      </c>
      <c r="S170" s="821">
        <f>Traffic!N18</f>
        <v>3828.9807267626879</v>
      </c>
      <c r="T170" s="821">
        <f>Traffic!O18</f>
        <v>4816.8273509094643</v>
      </c>
      <c r="U170" s="821">
        <f>Traffic!P18</f>
        <v>6078.5092991567899</v>
      </c>
      <c r="V170" s="821">
        <f>Traffic!Q18</f>
        <v>7693.0245558947408</v>
      </c>
      <c r="W170" s="821">
        <f>Traffic!R18</f>
        <v>0</v>
      </c>
      <c r="X170" s="821">
        <f>Traffic!S18</f>
        <v>0</v>
      </c>
      <c r="Y170" s="821">
        <f>Traffic!T18</f>
        <v>0</v>
      </c>
      <c r="Z170" s="699">
        <f>Traffic!U18</f>
        <v>0</v>
      </c>
      <c r="AA170" s="699">
        <f>Traffic!V18</f>
        <v>0</v>
      </c>
      <c r="AB170" s="694" t="s">
        <v>288</v>
      </c>
      <c r="AC170" s="694" t="s">
        <v>289</v>
      </c>
      <c r="AD170" s="694" t="s">
        <v>287</v>
      </c>
    </row>
    <row r="171" spans="1:44" x14ac:dyDescent="0.15">
      <c r="C171" s="694" t="s">
        <v>231</v>
      </c>
      <c r="G171" s="822">
        <v>162</v>
      </c>
      <c r="H171" s="822">
        <v>178</v>
      </c>
      <c r="I171" s="822">
        <v>196.24</v>
      </c>
      <c r="J171" s="822">
        <f>(J$170/I$170)*I171*(1-$E174)</f>
        <v>189.65969702127663</v>
      </c>
      <c r="K171" s="822">
        <f>(K$170/J$170)*J171*(1-$E174)</f>
        <v>184.08601338553194</v>
      </c>
      <c r="L171" s="822">
        <f>(L$170/K$170)*K171*(1-$E174)</f>
        <v>179.44746869781792</v>
      </c>
      <c r="M171" s="822">
        <f t="shared" ref="M171:R171" si="120">(M$170/L$170)*L171*(1-$E174)</f>
        <v>178.3749784510639</v>
      </c>
      <c r="N171" s="822">
        <f t="shared" si="120"/>
        <v>175.48403824422135</v>
      </c>
      <c r="O171" s="822">
        <f t="shared" si="120"/>
        <v>173.35974309145502</v>
      </c>
      <c r="P171" s="822">
        <f t="shared" si="120"/>
        <v>171.95511792064113</v>
      </c>
      <c r="Q171" s="822">
        <f>(Q$170/P$170)*P171*(1-$E174)</f>
        <v>171.22814105370821</v>
      </c>
      <c r="R171" s="822">
        <f t="shared" si="120"/>
        <v>171.14134109146875</v>
      </c>
      <c r="S171" s="822">
        <f>(S$170/R$170)*R171*(1-$E176)</f>
        <v>203.84794881841188</v>
      </c>
      <c r="T171" s="822">
        <f>(T$170/S$170)*S171*(1-$E176)</f>
        <v>243.61714594453386</v>
      </c>
      <c r="U171" s="822">
        <f t="shared" ref="U171:Z171" si="121">(U$170/T$170)*T171*(1-$E176)</f>
        <v>292.05689351505947</v>
      </c>
      <c r="V171" s="822">
        <f>(V$170/U$170)*U171*(1-$E176)</f>
        <v>351.14872838136409</v>
      </c>
      <c r="W171" s="822">
        <f>(W$170/V$170)*V171*(1-$E176)</f>
        <v>0</v>
      </c>
      <c r="X171" s="822" t="e">
        <f t="shared" si="121"/>
        <v>#DIV/0!</v>
      </c>
      <c r="Y171" s="822" t="e">
        <f t="shared" si="121"/>
        <v>#DIV/0!</v>
      </c>
      <c r="Z171" s="822" t="e">
        <f t="shared" si="121"/>
        <v>#DIV/0!</v>
      </c>
      <c r="AA171" s="822" t="e">
        <f>(AA$170/Z$170)*Z171*(1-$E176)</f>
        <v>#DIV/0!</v>
      </c>
      <c r="AB171" s="823">
        <f>L171/V170</f>
        <v>2.3325997128179867E-2</v>
      </c>
      <c r="AC171" s="694">
        <f>AB171/2652</f>
        <v>8.7956248597963293E-6</v>
      </c>
      <c r="AD171" s="694">
        <f>1/AC171/2^20</f>
        <v>0.10842598810294567</v>
      </c>
      <c r="AE171" s="824">
        <f>$L$171/L170</f>
        <v>0.21377634042553198</v>
      </c>
      <c r="AF171" s="824">
        <f>$L$171/M170</f>
        <v>0.1720493467860191</v>
      </c>
      <c r="AG171" s="824">
        <f t="shared" ref="AG171:AO171" si="122">$L$171/N170</f>
        <v>0.13990696285557527</v>
      </c>
      <c r="AH171" s="824">
        <f t="shared" si="122"/>
        <v>0.11329707062350063</v>
      </c>
      <c r="AI171" s="824">
        <f t="shared" si="122"/>
        <v>9.137803535626815E-2</v>
      </c>
      <c r="AJ171" s="824">
        <f t="shared" si="122"/>
        <v>7.3412796510428827E-2</v>
      </c>
      <c r="AK171" s="824">
        <f t="shared" si="122"/>
        <v>5.8760024180558472E-2</v>
      </c>
      <c r="AL171" s="824">
        <f t="shared" si="122"/>
        <v>4.6865597270722356E-2</v>
      </c>
      <c r="AM171" s="824">
        <f t="shared" si="122"/>
        <v>3.7254287028563829E-2</v>
      </c>
      <c r="AN171" s="824">
        <f t="shared" si="122"/>
        <v>2.952162444214914E-2</v>
      </c>
      <c r="AO171" s="824">
        <f t="shared" si="122"/>
        <v>2.3325997128179867E-2</v>
      </c>
    </row>
    <row r="172" spans="1:44" ht="12" thickBot="1" x14ac:dyDescent="0.2">
      <c r="F172" s="694" t="s">
        <v>276</v>
      </c>
      <c r="G172" s="824">
        <f>G171/G170</f>
        <v>0.49846153846153846</v>
      </c>
      <c r="H172" s="824">
        <f t="shared" ref="H172:AA172" si="123">H171/H170</f>
        <v>0.4564102564102564</v>
      </c>
      <c r="I172" s="824">
        <f t="shared" si="123"/>
        <v>0.41753191489361702</v>
      </c>
      <c r="J172" s="824">
        <f t="shared" si="123"/>
        <v>0.3340255319148937</v>
      </c>
      <c r="K172" s="825">
        <f t="shared" si="123"/>
        <v>0.26722042553191494</v>
      </c>
      <c r="L172" s="825">
        <f>L171/L170</f>
        <v>0.21377634042553198</v>
      </c>
      <c r="M172" s="825">
        <f>M171/M170</f>
        <v>0.1710210723404256</v>
      </c>
      <c r="N172" s="825">
        <f t="shared" si="123"/>
        <v>0.13681685787234049</v>
      </c>
      <c r="O172" s="825">
        <f t="shared" si="123"/>
        <v>0.10945348629787242</v>
      </c>
      <c r="P172" s="825">
        <f t="shared" si="123"/>
        <v>8.756278903829795E-2</v>
      </c>
      <c r="Q172" s="825">
        <f t="shared" si="123"/>
        <v>7.005023123063836E-2</v>
      </c>
      <c r="R172" s="825">
        <f t="shared" si="123"/>
        <v>5.6040184984510695E-2</v>
      </c>
      <c r="S172" s="825">
        <f t="shared" si="123"/>
        <v>5.3238175735285165E-2</v>
      </c>
      <c r="T172" s="825">
        <f t="shared" si="123"/>
        <v>5.0576266948520909E-2</v>
      </c>
      <c r="U172" s="825">
        <f t="shared" si="123"/>
        <v>4.8047453601094858E-2</v>
      </c>
      <c r="V172" s="825">
        <f>V171/V170</f>
        <v>4.564508092104011E-2</v>
      </c>
      <c r="W172" s="825" t="e">
        <f t="shared" si="123"/>
        <v>#DIV/0!</v>
      </c>
      <c r="X172" s="825" t="e">
        <f t="shared" si="123"/>
        <v>#DIV/0!</v>
      </c>
      <c r="Y172" s="825" t="e">
        <f t="shared" si="123"/>
        <v>#DIV/0!</v>
      </c>
      <c r="Z172" s="824" t="e">
        <f t="shared" si="123"/>
        <v>#DIV/0!</v>
      </c>
      <c r="AA172" s="824" t="e">
        <f t="shared" si="123"/>
        <v>#DIV/0!</v>
      </c>
      <c r="AB172" s="826">
        <f>L172/V172</f>
        <v>4.6834475065415369</v>
      </c>
      <c r="AE172" s="827">
        <f>AE171/2652</f>
        <v>8.0609479798466054E-5</v>
      </c>
      <c r="AF172" s="827">
        <f>AF171/2652</f>
        <v>6.4875319300912186E-5</v>
      </c>
      <c r="AG172" s="827">
        <f t="shared" ref="AG172:AO172" si="124">AG171/2652</f>
        <v>5.2755265028497465E-5</v>
      </c>
      <c r="AH172" s="827">
        <f t="shared" si="124"/>
        <v>4.2721369013386362E-5</v>
      </c>
      <c r="AI172" s="827">
        <f t="shared" si="124"/>
        <v>3.4456272758773809E-5</v>
      </c>
      <c r="AJ172" s="827">
        <f t="shared" si="124"/>
        <v>2.7682049966225046E-5</v>
      </c>
      <c r="AK172" s="827">
        <f t="shared" si="124"/>
        <v>2.2156871862955685E-5</v>
      </c>
      <c r="AL172" s="827">
        <f t="shared" si="124"/>
        <v>1.7671793842655488E-5</v>
      </c>
      <c r="AM172" s="827">
        <f t="shared" si="124"/>
        <v>1.404761954319903E-5</v>
      </c>
      <c r="AN172" s="827">
        <f t="shared" si="124"/>
        <v>1.1131834254204049E-5</v>
      </c>
      <c r="AO172" s="827">
        <f t="shared" si="124"/>
        <v>8.7956248597963293E-6</v>
      </c>
    </row>
    <row r="173" spans="1:44" ht="44" x14ac:dyDescent="0.15">
      <c r="B173" s="422" t="s">
        <v>140</v>
      </c>
      <c r="C173" s="694" t="s">
        <v>230</v>
      </c>
      <c r="D173" s="818"/>
      <c r="E173" s="819" t="s">
        <v>92</v>
      </c>
      <c r="G173" s="699">
        <f>Traffic!B18</f>
        <v>325</v>
      </c>
      <c r="H173" s="699">
        <f>Traffic!C18</f>
        <v>390</v>
      </c>
      <c r="I173" s="699">
        <f>Traffic!D18</f>
        <v>470</v>
      </c>
      <c r="J173" s="699">
        <f>Traffic!E18</f>
        <v>567.79999999999995</v>
      </c>
      <c r="K173" s="821">
        <f>Traffic!F18</f>
        <v>688.89199999999994</v>
      </c>
      <c r="L173" s="828">
        <f>Traffic!G18</f>
        <v>839.41687999999999</v>
      </c>
      <c r="M173" s="829">
        <f>Traffic!H18</f>
        <v>1043</v>
      </c>
      <c r="N173" s="829">
        <f>Traffic!I18</f>
        <v>1282.6199999999999</v>
      </c>
      <c r="O173" s="829">
        <f>Traffic!J18</f>
        <v>1583.8667999999998</v>
      </c>
      <c r="P173" s="829">
        <f>Traffic!K18</f>
        <v>1963.792152</v>
      </c>
      <c r="Q173" s="829">
        <f>Traffic!L18</f>
        <v>2444.36225328</v>
      </c>
      <c r="R173" s="829">
        <f>Traffic!M18</f>
        <v>3053.9039287392002</v>
      </c>
      <c r="S173" s="829">
        <f>Traffic!N18</f>
        <v>3828.9807267626879</v>
      </c>
      <c r="T173" s="829">
        <f>Traffic!O18</f>
        <v>4816.8273509094643</v>
      </c>
      <c r="U173" s="829">
        <f>Traffic!P18</f>
        <v>6078.5092991567899</v>
      </c>
      <c r="V173" s="830">
        <f>Traffic!Q18</f>
        <v>7693.0245558947408</v>
      </c>
      <c r="W173" s="821">
        <f>Traffic!R18</f>
        <v>0</v>
      </c>
      <c r="X173" s="821">
        <f>Traffic!S18</f>
        <v>0</v>
      </c>
      <c r="Y173" s="821">
        <f>Traffic!T18</f>
        <v>0</v>
      </c>
      <c r="Z173" s="699">
        <f>Traffic!U18</f>
        <v>0</v>
      </c>
      <c r="AA173" s="699">
        <f>Traffic!V18</f>
        <v>0</v>
      </c>
      <c r="AB173" s="826">
        <f>L172/AB171</f>
        <v>9.1647246310971742</v>
      </c>
      <c r="AE173" s="726">
        <v>2015</v>
      </c>
      <c r="AF173" s="726">
        <v>2016</v>
      </c>
      <c r="AG173" s="726">
        <v>2017</v>
      </c>
      <c r="AH173" s="726">
        <v>2018</v>
      </c>
      <c r="AI173" s="726">
        <v>2019</v>
      </c>
      <c r="AJ173" s="726">
        <v>2020</v>
      </c>
      <c r="AK173" s="726">
        <v>2021</v>
      </c>
      <c r="AL173" s="726">
        <v>2022</v>
      </c>
      <c r="AM173" s="726">
        <v>2023</v>
      </c>
      <c r="AN173" s="726">
        <v>2024</v>
      </c>
      <c r="AO173" s="726">
        <v>2025</v>
      </c>
      <c r="AR173" s="694" t="s">
        <v>302</v>
      </c>
    </row>
    <row r="174" spans="1:44" ht="12" thickBot="1" x14ac:dyDescent="0.2">
      <c r="C174" s="694" t="s">
        <v>231</v>
      </c>
      <c r="D174" s="818"/>
      <c r="E174" s="831">
        <v>0.2</v>
      </c>
      <c r="G174" s="832">
        <v>162</v>
      </c>
      <c r="H174" s="832">
        <v>178</v>
      </c>
      <c r="I174" s="832">
        <v>196.24</v>
      </c>
      <c r="J174" s="832">
        <f>(J$173/I$173)*I174*(1-$E175)</f>
        <v>189.65969702127663</v>
      </c>
      <c r="K174" s="832">
        <f t="shared" ref="K174:Q174" si="125">(K$173/J$173)*J174*(1-$E175)</f>
        <v>184.08601338553194</v>
      </c>
      <c r="L174" s="833">
        <f>(L$173/K$173)*K174*(1-$E175)</f>
        <v>179.44746869781792</v>
      </c>
      <c r="M174" s="834">
        <f t="shared" si="125"/>
        <v>178.3749784510639</v>
      </c>
      <c r="N174" s="834">
        <f t="shared" si="125"/>
        <v>175.48403824422135</v>
      </c>
      <c r="O174" s="834">
        <f t="shared" si="125"/>
        <v>173.35974309145502</v>
      </c>
      <c r="P174" s="834">
        <f t="shared" si="125"/>
        <v>171.95511792064113</v>
      </c>
      <c r="Q174" s="834">
        <f t="shared" si="125"/>
        <v>171.22814105370821</v>
      </c>
      <c r="R174" s="834">
        <f>(R$173/Q$173)*Q174*(1-$E175)</f>
        <v>171.14134109146875</v>
      </c>
      <c r="S174" s="834">
        <f>(S$173/R$173)*R174*(1-$E176)</f>
        <v>203.84794881841188</v>
      </c>
      <c r="T174" s="834">
        <f t="shared" ref="T174:Z174" si="126">(T$173/S$173)*S174*(1-$E176)</f>
        <v>243.61714594453386</v>
      </c>
      <c r="U174" s="834">
        <f t="shared" si="126"/>
        <v>292.05689351505947</v>
      </c>
      <c r="V174" s="835">
        <f>(V$173/U$173)*U174*(1-$E176)</f>
        <v>351.14872838136409</v>
      </c>
      <c r="W174" s="832">
        <f t="shared" si="126"/>
        <v>0</v>
      </c>
      <c r="X174" s="832" t="e">
        <f t="shared" si="126"/>
        <v>#DIV/0!</v>
      </c>
      <c r="Y174" s="832" t="e">
        <f t="shared" si="126"/>
        <v>#DIV/0!</v>
      </c>
      <c r="Z174" s="832" t="e">
        <f t="shared" si="126"/>
        <v>#DIV/0!</v>
      </c>
      <c r="AA174" s="832" t="e">
        <f>(AA$173/Z$173)*Z174*(1-$E176)</f>
        <v>#DIV/0!</v>
      </c>
      <c r="AE174" s="699">
        <f>AE172*1000000</f>
        <v>80.609479798466054</v>
      </c>
      <c r="AF174" s="699">
        <f t="shared" ref="AF174:AO174" si="127">AF172*1000000</f>
        <v>64.875319300912182</v>
      </c>
      <c r="AG174" s="699">
        <f t="shared" si="127"/>
        <v>52.755265028497462</v>
      </c>
      <c r="AH174" s="699">
        <f t="shared" si="127"/>
        <v>42.721369013386365</v>
      </c>
      <c r="AI174" s="699">
        <f t="shared" si="127"/>
        <v>34.456272758773807</v>
      </c>
      <c r="AJ174" s="699">
        <f t="shared" si="127"/>
        <v>27.682049966225048</v>
      </c>
      <c r="AK174" s="699">
        <f t="shared" si="127"/>
        <v>22.156871862955686</v>
      </c>
      <c r="AL174" s="699">
        <f t="shared" si="127"/>
        <v>17.671793842655489</v>
      </c>
      <c r="AM174" s="699">
        <f t="shared" si="127"/>
        <v>14.04761954319903</v>
      </c>
      <c r="AN174" s="699">
        <f t="shared" si="127"/>
        <v>11.131834254204049</v>
      </c>
      <c r="AO174" s="699">
        <f t="shared" si="127"/>
        <v>8.7956248597963285</v>
      </c>
      <c r="AP174" s="694" t="s">
        <v>300</v>
      </c>
      <c r="AQ174" s="728">
        <f>1-(AO174/AE174)^0.1</f>
        <v>0.19871307175287689</v>
      </c>
      <c r="AR174" s="694" t="s">
        <v>302</v>
      </c>
    </row>
    <row r="175" spans="1:44" x14ac:dyDescent="0.15">
      <c r="E175" s="836">
        <v>0.2</v>
      </c>
      <c r="F175" s="694" t="s">
        <v>276</v>
      </c>
      <c r="G175" s="824">
        <f>G174/G173</f>
        <v>0.49846153846153846</v>
      </c>
      <c r="H175" s="824">
        <f t="shared" ref="H175:AA175" si="128">H174/H173</f>
        <v>0.4564102564102564</v>
      </c>
      <c r="I175" s="824">
        <f t="shared" si="128"/>
        <v>0.41753191489361702</v>
      </c>
      <c r="J175" s="824">
        <f t="shared" si="128"/>
        <v>0.3340255319148937</v>
      </c>
      <c r="K175" s="824">
        <f t="shared" si="128"/>
        <v>0.26722042553191494</v>
      </c>
      <c r="L175" s="824">
        <f t="shared" si="128"/>
        <v>0.21377634042553198</v>
      </c>
      <c r="M175" s="824">
        <f t="shared" si="128"/>
        <v>0.1710210723404256</v>
      </c>
      <c r="N175" s="824">
        <f t="shared" si="128"/>
        <v>0.13681685787234049</v>
      </c>
      <c r="O175" s="824">
        <f t="shared" si="128"/>
        <v>0.10945348629787242</v>
      </c>
      <c r="P175" s="824">
        <f t="shared" si="128"/>
        <v>8.756278903829795E-2</v>
      </c>
      <c r="Q175" s="824">
        <f t="shared" si="128"/>
        <v>7.005023123063836E-2</v>
      </c>
      <c r="R175" s="824">
        <f t="shared" si="128"/>
        <v>5.6040184984510695E-2</v>
      </c>
      <c r="S175" s="824">
        <f t="shared" si="128"/>
        <v>5.3238175735285165E-2</v>
      </c>
      <c r="T175" s="824">
        <f t="shared" si="128"/>
        <v>5.0576266948520909E-2</v>
      </c>
      <c r="U175" s="824">
        <f t="shared" si="128"/>
        <v>4.8047453601094858E-2</v>
      </c>
      <c r="V175" s="824">
        <f t="shared" si="128"/>
        <v>4.564508092104011E-2</v>
      </c>
      <c r="W175" s="824" t="e">
        <f t="shared" si="128"/>
        <v>#DIV/0!</v>
      </c>
      <c r="X175" s="824" t="e">
        <f t="shared" si="128"/>
        <v>#DIV/0!</v>
      </c>
      <c r="Y175" s="824" t="e">
        <f t="shared" si="128"/>
        <v>#DIV/0!</v>
      </c>
      <c r="Z175" s="824" t="e">
        <f t="shared" si="128"/>
        <v>#DIV/0!</v>
      </c>
      <c r="AA175" s="824" t="e">
        <f t="shared" si="128"/>
        <v>#DIV/0!</v>
      </c>
      <c r="AE175" s="699">
        <f t="shared" ref="AE175:AO175" si="129">L172/2652*1000000</f>
        <v>80.609479798466054</v>
      </c>
      <c r="AF175" s="699">
        <f t="shared" si="129"/>
        <v>64.487583838772849</v>
      </c>
      <c r="AG175" s="699">
        <f t="shared" si="129"/>
        <v>51.590067071018289</v>
      </c>
      <c r="AH175" s="699">
        <f t="shared" si="129"/>
        <v>41.272053656814641</v>
      </c>
      <c r="AI175" s="699">
        <f t="shared" si="129"/>
        <v>33.01764292545171</v>
      </c>
      <c r="AJ175" s="699">
        <f t="shared" si="129"/>
        <v>26.414114340361373</v>
      </c>
      <c r="AK175" s="699">
        <f t="shared" si="129"/>
        <v>21.131291472289099</v>
      </c>
      <c r="AL175" s="699">
        <f t="shared" si="129"/>
        <v>20.074726898674644</v>
      </c>
      <c r="AM175" s="699">
        <f t="shared" si="129"/>
        <v>19.070990553740916</v>
      </c>
      <c r="AN175" s="699">
        <f t="shared" si="129"/>
        <v>18.117441026053868</v>
      </c>
      <c r="AO175" s="699">
        <f t="shared" si="129"/>
        <v>17.211568974751174</v>
      </c>
      <c r="AP175" s="694" t="s">
        <v>301</v>
      </c>
      <c r="AQ175" s="728">
        <f>1-(AO175/AE175)^0.1</f>
        <v>0.143073774376829</v>
      </c>
    </row>
    <row r="176" spans="1:44" x14ac:dyDescent="0.15">
      <c r="E176" s="837">
        <v>0.05</v>
      </c>
      <c r="F176" s="751"/>
      <c r="G176" s="699">
        <f>1/G175</f>
        <v>2.0061728395061729</v>
      </c>
      <c r="H176" s="699">
        <f t="shared" ref="H176:AA176" si="130">1/H175</f>
        <v>2.1910112359550564</v>
      </c>
      <c r="I176" s="699">
        <f>1/I175</f>
        <v>2.3950264981655116</v>
      </c>
      <c r="J176" s="699">
        <f t="shared" si="130"/>
        <v>2.9937831227068887</v>
      </c>
      <c r="K176" s="699">
        <f t="shared" si="130"/>
        <v>3.7422289033836114</v>
      </c>
      <c r="L176" s="699">
        <f t="shared" si="130"/>
        <v>4.6777861292295135</v>
      </c>
      <c r="M176" s="699">
        <f t="shared" si="130"/>
        <v>5.847232661536891</v>
      </c>
      <c r="N176" s="699">
        <f t="shared" si="130"/>
        <v>7.3090408269211133</v>
      </c>
      <c r="O176" s="699">
        <f t="shared" si="130"/>
        <v>9.1363010336513888</v>
      </c>
      <c r="P176" s="699">
        <f t="shared" si="130"/>
        <v>11.420376292064235</v>
      </c>
      <c r="Q176" s="699">
        <f t="shared" si="130"/>
        <v>14.275470365080293</v>
      </c>
      <c r="R176" s="699">
        <f t="shared" si="130"/>
        <v>17.844337956350365</v>
      </c>
      <c r="S176" s="699">
        <f t="shared" si="130"/>
        <v>18.783513638263539</v>
      </c>
      <c r="T176" s="699">
        <f t="shared" si="130"/>
        <v>19.772119619224778</v>
      </c>
      <c r="U176" s="699">
        <f t="shared" si="130"/>
        <v>20.812757493920824</v>
      </c>
      <c r="V176" s="699">
        <f t="shared" si="130"/>
        <v>21.908165783074551</v>
      </c>
      <c r="W176" s="699" t="e">
        <f t="shared" si="130"/>
        <v>#DIV/0!</v>
      </c>
      <c r="X176" s="699" t="e">
        <f t="shared" si="130"/>
        <v>#DIV/0!</v>
      </c>
      <c r="Y176" s="699" t="e">
        <f t="shared" si="130"/>
        <v>#DIV/0!</v>
      </c>
      <c r="Z176" s="699" t="e">
        <f t="shared" si="130"/>
        <v>#DIV/0!</v>
      </c>
      <c r="AA176" s="699" t="e">
        <f t="shared" si="130"/>
        <v>#DIV/0!</v>
      </c>
    </row>
    <row r="177" spans="2:43" x14ac:dyDescent="0.15">
      <c r="E177" s="751"/>
      <c r="F177" s="751"/>
      <c r="G177" s="699"/>
      <c r="H177" s="699"/>
      <c r="I177" s="699"/>
      <c r="J177" s="699"/>
      <c r="K177" s="699"/>
      <c r="L177" s="699"/>
      <c r="M177" s="699"/>
      <c r="N177" s="699"/>
      <c r="O177" s="699"/>
      <c r="P177" s="699"/>
      <c r="Q177" s="699"/>
      <c r="R177" s="699"/>
      <c r="S177" s="699"/>
      <c r="T177" s="699"/>
      <c r="U177" s="699"/>
      <c r="V177" s="699"/>
      <c r="W177" s="699"/>
      <c r="X177" s="699"/>
      <c r="Y177" s="699"/>
      <c r="Z177" s="699"/>
      <c r="AA177" s="699"/>
    </row>
    <row r="178" spans="2:43" ht="33" x14ac:dyDescent="0.15">
      <c r="B178" s="422" t="s">
        <v>139</v>
      </c>
      <c r="C178" s="694" t="s">
        <v>230</v>
      </c>
      <c r="G178" s="699">
        <f>Traffic!B23</f>
        <v>325</v>
      </c>
      <c r="H178" s="699">
        <f>Traffic!C23</f>
        <v>390</v>
      </c>
      <c r="I178" s="699">
        <f>Traffic!D23</f>
        <v>470</v>
      </c>
      <c r="J178" s="699">
        <f>Traffic!E23</f>
        <v>580.5</v>
      </c>
      <c r="K178" s="699">
        <f>Traffic!F23</f>
        <v>721.57500000000005</v>
      </c>
      <c r="L178" s="699">
        <f>Traffic!G23</f>
        <v>902.71125000000006</v>
      </c>
      <c r="M178" s="699">
        <f>Traffic!H23</f>
        <v>1136.5329375000001</v>
      </c>
      <c r="N178" s="699">
        <f>Traffic!I23</f>
        <v>1439.873128125</v>
      </c>
      <c r="O178" s="699">
        <f>Traffic!J23</f>
        <v>1835.21543484375</v>
      </c>
      <c r="P178" s="699">
        <f>Traffic!K23</f>
        <v>2352.6355556953126</v>
      </c>
      <c r="Q178" s="699">
        <f>Traffic!L23</f>
        <v>3032.4169266433596</v>
      </c>
      <c r="R178" s="699">
        <f>Traffic!M23</f>
        <v>3928.5756163914261</v>
      </c>
      <c r="S178" s="699">
        <f>Traffic!N23</f>
        <v>5113.6117623647497</v>
      </c>
      <c r="T178" s="699">
        <f>Traffic!O23</f>
        <v>6684.9157614641854</v>
      </c>
      <c r="U178" s="699">
        <f>Traffic!P23</f>
        <v>8773.4071425891889</v>
      </c>
      <c r="V178" s="699">
        <f>Traffic!Q23</f>
        <v>11555.186136799826</v>
      </c>
      <c r="W178" s="699">
        <f>Traffic!R23</f>
        <v>0</v>
      </c>
      <c r="X178" s="699">
        <f>Traffic!S23</f>
        <v>0</v>
      </c>
      <c r="Y178" s="699">
        <f>Traffic!T23</f>
        <v>0</v>
      </c>
      <c r="Z178" s="699">
        <f>Traffic!U23</f>
        <v>0</v>
      </c>
      <c r="AA178" s="699">
        <f>Traffic!V23</f>
        <v>0</v>
      </c>
    </row>
    <row r="179" spans="2:43" x14ac:dyDescent="0.15">
      <c r="C179" s="694" t="s">
        <v>231</v>
      </c>
      <c r="G179" s="838">
        <v>162</v>
      </c>
      <c r="H179" s="838">
        <v>178</v>
      </c>
      <c r="I179" s="838">
        <v>196.24</v>
      </c>
      <c r="J179" s="838">
        <f t="shared" ref="J179:Z179" si="131">(J$178/I$178)*I179*(1-$E176)</f>
        <v>230.25841276595744</v>
      </c>
      <c r="K179" s="838">
        <f t="shared" si="131"/>
        <v>271.90573381914896</v>
      </c>
      <c r="L179" s="838">
        <f t="shared" si="131"/>
        <v>323.1538601186968</v>
      </c>
      <c r="M179" s="838">
        <f t="shared" si="131"/>
        <v>386.51479707371345</v>
      </c>
      <c r="N179" s="838">
        <f t="shared" si="131"/>
        <v>465.19167107963466</v>
      </c>
      <c r="O179" s="838">
        <f t="shared" si="131"/>
        <v>563.2722580467439</v>
      </c>
      <c r="P179" s="838">
        <f t="shared" si="131"/>
        <v>685.97702527161937</v>
      </c>
      <c r="Q179" s="838">
        <f t="shared" si="131"/>
        <v>839.9770720127392</v>
      </c>
      <c r="R179" s="838">
        <f t="shared" si="131"/>
        <v>1033.80169914015</v>
      </c>
      <c r="S179" s="838">
        <f t="shared" si="131"/>
        <v>1278.3609105773071</v>
      </c>
      <c r="T179" s="838">
        <f t="shared" si="131"/>
        <v>1587.6152956527419</v>
      </c>
      <c r="U179" s="838">
        <f t="shared" si="131"/>
        <v>1979.434906586941</v>
      </c>
      <c r="V179" s="838">
        <f t="shared" si="131"/>
        <v>2476.7004994269396</v>
      </c>
      <c r="W179" s="838">
        <f t="shared" si="131"/>
        <v>0</v>
      </c>
      <c r="X179" s="838" t="e">
        <f t="shared" si="131"/>
        <v>#DIV/0!</v>
      </c>
      <c r="Y179" s="838" t="e">
        <f t="shared" si="131"/>
        <v>#DIV/0!</v>
      </c>
      <c r="Z179" s="838" t="e">
        <f t="shared" si="131"/>
        <v>#DIV/0!</v>
      </c>
      <c r="AA179" s="838" t="e">
        <f>(AA$178/Z$178)*Z179*(1-$E176)</f>
        <v>#DIV/0!</v>
      </c>
    </row>
    <row r="180" spans="2:43" x14ac:dyDescent="0.15">
      <c r="F180" s="694" t="s">
        <v>276</v>
      </c>
      <c r="G180" s="824">
        <f>G179/G178</f>
        <v>0.49846153846153846</v>
      </c>
      <c r="H180" s="824">
        <f t="shared" ref="H180:AA180" si="132">H179/H178</f>
        <v>0.4564102564102564</v>
      </c>
      <c r="I180" s="824">
        <f t="shared" si="132"/>
        <v>0.41753191489361702</v>
      </c>
      <c r="J180" s="824">
        <f t="shared" si="132"/>
        <v>0.39665531914893615</v>
      </c>
      <c r="K180" s="824">
        <f t="shared" si="132"/>
        <v>0.37682255319148938</v>
      </c>
      <c r="L180" s="824">
        <f t="shared" si="132"/>
        <v>0.35798142553191487</v>
      </c>
      <c r="M180" s="824">
        <f t="shared" si="132"/>
        <v>0.34008235425531907</v>
      </c>
      <c r="N180" s="824">
        <f t="shared" si="132"/>
        <v>0.32307823654255313</v>
      </c>
      <c r="O180" s="824">
        <f t="shared" si="132"/>
        <v>0.30692432471542547</v>
      </c>
      <c r="P180" s="824">
        <f t="shared" si="132"/>
        <v>0.29157810847965421</v>
      </c>
      <c r="Q180" s="824">
        <f t="shared" si="132"/>
        <v>0.27699920305567149</v>
      </c>
      <c r="R180" s="824">
        <f t="shared" si="132"/>
        <v>0.26314924290288794</v>
      </c>
      <c r="S180" s="824">
        <f t="shared" si="132"/>
        <v>0.24999178075774356</v>
      </c>
      <c r="T180" s="824">
        <f t="shared" si="132"/>
        <v>0.23749219171985636</v>
      </c>
      <c r="U180" s="824">
        <f t="shared" si="132"/>
        <v>0.22561758213386349</v>
      </c>
      <c r="V180" s="824">
        <f t="shared" si="132"/>
        <v>0.21433670302717031</v>
      </c>
      <c r="W180" s="824" t="e">
        <f t="shared" si="132"/>
        <v>#DIV/0!</v>
      </c>
      <c r="X180" s="824" t="e">
        <f t="shared" si="132"/>
        <v>#DIV/0!</v>
      </c>
      <c r="Y180" s="824" t="e">
        <f t="shared" si="132"/>
        <v>#DIV/0!</v>
      </c>
      <c r="Z180" s="824" t="e">
        <f t="shared" si="132"/>
        <v>#DIV/0!</v>
      </c>
      <c r="AA180" s="824" t="e">
        <f t="shared" si="132"/>
        <v>#DIV/0!</v>
      </c>
    </row>
    <row r="181" spans="2:43" x14ac:dyDescent="0.15">
      <c r="G181" s="699"/>
      <c r="H181" s="699"/>
      <c r="I181" s="839"/>
      <c r="J181" s="699"/>
      <c r="K181" s="699"/>
      <c r="L181" s="699"/>
      <c r="M181" s="699"/>
      <c r="N181" s="699"/>
      <c r="O181" s="699"/>
      <c r="P181" s="699"/>
      <c r="Q181" s="699"/>
      <c r="R181" s="699"/>
      <c r="S181" s="699"/>
      <c r="T181" s="699"/>
      <c r="U181" s="699"/>
      <c r="V181" s="699"/>
      <c r="W181" s="699"/>
      <c r="X181" s="699"/>
      <c r="Y181" s="699"/>
      <c r="Z181" s="699"/>
      <c r="AA181" s="699"/>
    </row>
    <row r="182" spans="2:43" x14ac:dyDescent="0.15">
      <c r="G182" s="699"/>
      <c r="H182" s="699"/>
      <c r="I182" s="839"/>
      <c r="J182" s="699"/>
      <c r="K182" s="699"/>
      <c r="L182" s="699"/>
      <c r="M182" s="699"/>
      <c r="N182" s="699"/>
      <c r="O182" s="699"/>
      <c r="P182" s="699"/>
      <c r="Q182" s="699"/>
      <c r="R182" s="699"/>
      <c r="S182" s="699"/>
      <c r="T182" s="699"/>
      <c r="U182" s="699"/>
      <c r="V182" s="699"/>
      <c r="W182" s="699"/>
      <c r="X182" s="699"/>
      <c r="Y182" s="699"/>
      <c r="Z182" s="699"/>
      <c r="AA182" s="699"/>
    </row>
    <row r="183" spans="2:43" x14ac:dyDescent="0.15">
      <c r="G183" s="699"/>
      <c r="H183" s="699"/>
      <c r="I183" s="839"/>
      <c r="J183" s="699"/>
      <c r="K183" s="699"/>
      <c r="L183" s="699"/>
      <c r="M183" s="699"/>
      <c r="N183" s="699"/>
      <c r="O183" s="699"/>
      <c r="P183" s="699"/>
      <c r="Q183" s="699"/>
      <c r="R183" s="699"/>
      <c r="S183" s="699"/>
      <c r="T183" s="699"/>
      <c r="U183" s="699"/>
      <c r="V183" s="699"/>
      <c r="W183" s="699"/>
      <c r="X183" s="699"/>
      <c r="Y183" s="699"/>
      <c r="Z183" s="699"/>
      <c r="AA183" s="699"/>
    </row>
    <row r="184" spans="2:43" x14ac:dyDescent="0.15">
      <c r="G184" s="699"/>
      <c r="H184" s="699"/>
      <c r="I184" s="839"/>
      <c r="J184" s="699"/>
      <c r="L184" s="694" t="s">
        <v>259</v>
      </c>
      <c r="M184" s="699"/>
      <c r="N184" s="699"/>
      <c r="O184" s="699"/>
      <c r="P184" s="699"/>
      <c r="Q184" s="699"/>
      <c r="R184" s="699"/>
      <c r="S184" s="699"/>
      <c r="T184" s="699"/>
      <c r="U184" s="699"/>
      <c r="V184" s="699"/>
      <c r="W184" s="699"/>
      <c r="X184" s="699"/>
      <c r="Y184" s="699"/>
      <c r="Z184" s="699"/>
      <c r="AA184" s="699"/>
    </row>
    <row r="185" spans="2:43" x14ac:dyDescent="0.15">
      <c r="G185" s="699"/>
      <c r="H185" s="699"/>
      <c r="I185" s="839"/>
      <c r="J185" s="699"/>
      <c r="K185" s="699"/>
      <c r="L185" s="699"/>
      <c r="M185" s="699"/>
      <c r="N185" s="699"/>
      <c r="O185" s="699"/>
      <c r="P185" s="699"/>
      <c r="Q185" s="699"/>
      <c r="R185" s="699"/>
      <c r="S185" s="699"/>
      <c r="T185" s="699"/>
      <c r="U185" s="699"/>
      <c r="V185" s="699"/>
      <c r="W185" s="699"/>
      <c r="X185" s="699"/>
      <c r="Y185" s="699"/>
      <c r="Z185" s="699"/>
      <c r="AA185" s="699"/>
    </row>
    <row r="186" spans="2:43" x14ac:dyDescent="0.15">
      <c r="G186" s="699"/>
      <c r="H186" s="699"/>
      <c r="I186" s="839"/>
      <c r="J186" s="699"/>
      <c r="K186" s="699"/>
      <c r="L186" s="699"/>
      <c r="M186" s="699"/>
      <c r="N186" s="699"/>
      <c r="O186" s="699"/>
      <c r="P186" s="699"/>
      <c r="Q186" s="699"/>
      <c r="R186" s="699"/>
      <c r="S186" s="699"/>
      <c r="T186" s="699"/>
      <c r="U186" s="699"/>
      <c r="V186" s="699"/>
      <c r="W186" s="699"/>
      <c r="X186" s="699"/>
      <c r="Y186" s="699"/>
      <c r="Z186" s="699"/>
      <c r="AA186" s="699"/>
    </row>
    <row r="187" spans="2:43" x14ac:dyDescent="0.15">
      <c r="G187" s="699"/>
      <c r="H187" s="699"/>
      <c r="I187" s="839"/>
      <c r="J187" s="699"/>
      <c r="K187" s="699"/>
      <c r="L187" s="699"/>
      <c r="M187" s="699"/>
      <c r="N187" s="699"/>
      <c r="O187" s="699"/>
      <c r="P187" s="699"/>
      <c r="Q187" s="699"/>
      <c r="R187" s="699"/>
      <c r="S187" s="699"/>
      <c r="T187" s="699"/>
      <c r="U187" s="699"/>
      <c r="V187" s="699"/>
      <c r="W187" s="699"/>
      <c r="X187" s="699"/>
      <c r="Y187" s="699"/>
      <c r="Z187" s="699"/>
      <c r="AA187" s="699"/>
    </row>
    <row r="188" spans="2:43" x14ac:dyDescent="0.15">
      <c r="C188" s="694" t="s">
        <v>257</v>
      </c>
      <c r="G188" s="699">
        <f>Traffic!B17</f>
        <v>118</v>
      </c>
      <c r="H188" s="699">
        <f>Traffic!C17</f>
        <v>154</v>
      </c>
      <c r="I188" s="699">
        <f>Traffic!D17</f>
        <v>200</v>
      </c>
      <c r="J188" s="699">
        <f>Traffic!E17</f>
        <v>260</v>
      </c>
      <c r="K188" s="699">
        <f>Traffic!F17</f>
        <v>338</v>
      </c>
      <c r="L188" s="821">
        <f>Traffic!G17</f>
        <v>439.40000000000003</v>
      </c>
      <c r="M188" s="821">
        <f>Traffic!H17</f>
        <v>585</v>
      </c>
      <c r="N188" s="821">
        <f>Traffic!I17</f>
        <v>760.5</v>
      </c>
      <c r="O188" s="821">
        <f>Traffic!J17</f>
        <v>988.65</v>
      </c>
      <c r="P188" s="821">
        <f>Traffic!K17</f>
        <v>1285.2450000000001</v>
      </c>
      <c r="Q188" s="821">
        <f>Traffic!L17</f>
        <v>1670.8185000000003</v>
      </c>
      <c r="R188" s="821">
        <f>Traffic!M17</f>
        <v>2172.0640500000004</v>
      </c>
      <c r="S188" s="821">
        <f>Traffic!N17</f>
        <v>2823.6832650000006</v>
      </c>
      <c r="T188" s="821">
        <f>Traffic!O17</f>
        <v>3670.7882445000009</v>
      </c>
      <c r="U188" s="821">
        <f>Traffic!P17</f>
        <v>4772.0247178500013</v>
      </c>
      <c r="V188" s="821">
        <f>Traffic!Q17</f>
        <v>6203.632133205002</v>
      </c>
      <c r="W188" s="699">
        <f>Traffic!R17</f>
        <v>0</v>
      </c>
      <c r="X188" s="699">
        <f>Traffic!S17</f>
        <v>0</v>
      </c>
      <c r="Y188" s="699">
        <f>Traffic!T17</f>
        <v>0</v>
      </c>
      <c r="Z188" s="699">
        <f>Traffic!U17</f>
        <v>0</v>
      </c>
      <c r="AA188" s="699">
        <f>Traffic!V17</f>
        <v>0</v>
      </c>
      <c r="AB188" s="694" t="s">
        <v>286</v>
      </c>
    </row>
    <row r="189" spans="2:43" x14ac:dyDescent="0.15">
      <c r="C189" s="694" t="s">
        <v>258</v>
      </c>
      <c r="G189" s="822">
        <v>42.1</v>
      </c>
      <c r="H189" s="822">
        <v>46.4</v>
      </c>
      <c r="I189" s="822">
        <f>51.4</f>
        <v>51.4</v>
      </c>
      <c r="J189" s="822">
        <f>(J$188/I$188)*I189*(1-$E192)</f>
        <v>53.45600000000001</v>
      </c>
      <c r="K189" s="822">
        <f t="shared" ref="K189:AA189" si="133">(K$188/J$188)*J189*(1-$E192)</f>
        <v>55.594240000000013</v>
      </c>
      <c r="L189" s="822">
        <f t="shared" si="133"/>
        <v>57.818009600000018</v>
      </c>
      <c r="M189" s="822">
        <f t="shared" si="133"/>
        <v>61.581312000000018</v>
      </c>
      <c r="N189" s="822">
        <f t="shared" si="133"/>
        <v>64.04456448000002</v>
      </c>
      <c r="O189" s="822">
        <f t="shared" si="133"/>
        <v>66.606347059200033</v>
      </c>
      <c r="P189" s="822">
        <f t="shared" si="133"/>
        <v>69.270600941568034</v>
      </c>
      <c r="Q189" s="822">
        <f t="shared" si="133"/>
        <v>72.041424979230769</v>
      </c>
      <c r="R189" s="822">
        <f t="shared" si="133"/>
        <v>74.923081978400006</v>
      </c>
      <c r="S189" s="822">
        <f t="shared" si="133"/>
        <v>77.920005257536019</v>
      </c>
      <c r="T189" s="822">
        <f t="shared" si="133"/>
        <v>81.036805467837468</v>
      </c>
      <c r="U189" s="822">
        <f t="shared" si="133"/>
        <v>84.278277686550979</v>
      </c>
      <c r="V189" s="822">
        <f t="shared" si="133"/>
        <v>87.649408794013027</v>
      </c>
      <c r="W189" s="822">
        <f t="shared" si="133"/>
        <v>0</v>
      </c>
      <c r="X189" s="822" t="e">
        <f t="shared" si="133"/>
        <v>#DIV/0!</v>
      </c>
      <c r="Y189" s="822" t="e">
        <f t="shared" si="133"/>
        <v>#DIV/0!</v>
      </c>
      <c r="Z189" s="822" t="e">
        <f t="shared" si="133"/>
        <v>#DIV/0!</v>
      </c>
      <c r="AA189" s="822" t="e">
        <f t="shared" si="133"/>
        <v>#DIV/0!</v>
      </c>
      <c r="AB189" s="823">
        <f>L189/V188</f>
        <v>9.3200254880569967E-3</v>
      </c>
      <c r="AE189" s="824">
        <f>$L$189/L188</f>
        <v>0.13158400000000003</v>
      </c>
      <c r="AF189" s="824">
        <f t="shared" ref="AF189:AN189" si="134">$L$189/M188</f>
        <v>9.8834204444444476E-2</v>
      </c>
      <c r="AG189" s="824">
        <f t="shared" si="134"/>
        <v>7.6026311111111133E-2</v>
      </c>
      <c r="AH189" s="824">
        <f t="shared" si="134"/>
        <v>5.8481777777777799E-2</v>
      </c>
      <c r="AI189" s="824">
        <f t="shared" si="134"/>
        <v>4.4985982905982914E-2</v>
      </c>
      <c r="AJ189" s="824">
        <f t="shared" si="134"/>
        <v>3.4604602235371471E-2</v>
      </c>
      <c r="AK189" s="824">
        <f t="shared" si="134"/>
        <v>2.6618924796439593E-2</v>
      </c>
      <c r="AL189" s="824">
        <f t="shared" si="134"/>
        <v>2.0476095997261225E-2</v>
      </c>
      <c r="AM189" s="824">
        <f t="shared" si="134"/>
        <v>1.5750843074816327E-2</v>
      </c>
      <c r="AN189" s="824">
        <f t="shared" si="134"/>
        <v>1.2116033134474097E-2</v>
      </c>
      <c r="AO189" s="824">
        <f>$L$189/V188</f>
        <v>9.3200254880569967E-3</v>
      </c>
    </row>
    <row r="190" spans="2:43" ht="12" thickBot="1" x14ac:dyDescent="0.2">
      <c r="F190" s="694" t="s">
        <v>276</v>
      </c>
      <c r="G190" s="824">
        <f>G189/G188</f>
        <v>0.35677966101694919</v>
      </c>
      <c r="H190" s="824">
        <f t="shared" ref="H190:AA190" si="135">H189/H188</f>
        <v>0.30129870129870129</v>
      </c>
      <c r="I190" s="824">
        <f t="shared" si="135"/>
        <v>0.25700000000000001</v>
      </c>
      <c r="J190" s="824">
        <f t="shared" si="135"/>
        <v>0.20560000000000003</v>
      </c>
      <c r="K190" s="824">
        <f t="shared" si="135"/>
        <v>0.16448000000000004</v>
      </c>
      <c r="L190" s="824">
        <f t="shared" si="135"/>
        <v>0.13158400000000003</v>
      </c>
      <c r="M190" s="824">
        <f t="shared" si="135"/>
        <v>0.10526720000000003</v>
      </c>
      <c r="N190" s="824">
        <f t="shared" si="135"/>
        <v>8.4213760000000026E-2</v>
      </c>
      <c r="O190" s="824">
        <f t="shared" si="135"/>
        <v>6.7371008000000038E-2</v>
      </c>
      <c r="P190" s="824">
        <f t="shared" si="135"/>
        <v>5.3896806400000025E-2</v>
      </c>
      <c r="Q190" s="824">
        <f t="shared" si="135"/>
        <v>4.3117445120000021E-2</v>
      </c>
      <c r="R190" s="824">
        <f t="shared" si="135"/>
        <v>3.449395609600002E-2</v>
      </c>
      <c r="S190" s="824">
        <f t="shared" si="135"/>
        <v>2.759516487680002E-2</v>
      </c>
      <c r="T190" s="824">
        <f t="shared" si="135"/>
        <v>2.2076131901440019E-2</v>
      </c>
      <c r="U190" s="824">
        <f t="shared" si="135"/>
        <v>1.7660905521152015E-2</v>
      </c>
      <c r="V190" s="824">
        <f t="shared" si="135"/>
        <v>1.4128724416921614E-2</v>
      </c>
      <c r="W190" s="824" t="e">
        <f t="shared" si="135"/>
        <v>#DIV/0!</v>
      </c>
      <c r="X190" s="824" t="e">
        <f t="shared" si="135"/>
        <v>#DIV/0!</v>
      </c>
      <c r="Y190" s="824" t="e">
        <f t="shared" si="135"/>
        <v>#DIV/0!</v>
      </c>
      <c r="Z190" s="824" t="e">
        <f t="shared" si="135"/>
        <v>#DIV/0!</v>
      </c>
      <c r="AA190" s="824" t="e">
        <f t="shared" si="135"/>
        <v>#DIV/0!</v>
      </c>
      <c r="AB190" s="826">
        <f>L190/V190</f>
        <v>9.3132257461547781</v>
      </c>
      <c r="AE190" s="827">
        <f>AE189/2652</f>
        <v>4.9616892911010573E-5</v>
      </c>
      <c r="AF190" s="827">
        <f>AF189/2652</f>
        <v>3.7267799564270168E-5</v>
      </c>
      <c r="AG190" s="827">
        <f t="shared" ref="AG190:AO190" si="136">AG189/2652</f>
        <v>2.8667538126361663E-5</v>
      </c>
      <c r="AH190" s="827">
        <f t="shared" si="136"/>
        <v>2.2051952404893591E-5</v>
      </c>
      <c r="AI190" s="827">
        <f t="shared" si="136"/>
        <v>1.6963040311456603E-5</v>
      </c>
      <c r="AJ190" s="827">
        <f t="shared" si="136"/>
        <v>1.304849254727431E-5</v>
      </c>
      <c r="AK190" s="827">
        <f t="shared" si="136"/>
        <v>1.0037301959441777E-5</v>
      </c>
      <c r="AL190" s="827">
        <f t="shared" si="136"/>
        <v>7.7210015072629045E-6</v>
      </c>
      <c r="AM190" s="827">
        <f t="shared" si="136"/>
        <v>5.9392319286637736E-6</v>
      </c>
      <c r="AN190" s="827">
        <f t="shared" si="136"/>
        <v>4.5686399451259793E-6</v>
      </c>
      <c r="AO190" s="827">
        <f t="shared" si="136"/>
        <v>3.5143384193276761E-6</v>
      </c>
    </row>
    <row r="191" spans="2:43" ht="44" x14ac:dyDescent="0.15">
      <c r="C191" s="694" t="s">
        <v>257</v>
      </c>
      <c r="D191" s="818"/>
      <c r="E191" s="819" t="s">
        <v>92</v>
      </c>
      <c r="G191" s="699">
        <f>Traffic!B17</f>
        <v>118</v>
      </c>
      <c r="H191" s="699">
        <f>Traffic!C17</f>
        <v>154</v>
      </c>
      <c r="I191" s="699">
        <f>Traffic!D17</f>
        <v>200</v>
      </c>
      <c r="J191" s="699">
        <f>Traffic!E17</f>
        <v>260</v>
      </c>
      <c r="K191" s="699">
        <f>Traffic!F17</f>
        <v>338</v>
      </c>
      <c r="L191" s="828">
        <f>Traffic!G17</f>
        <v>439.40000000000003</v>
      </c>
      <c r="M191" s="829">
        <f>Traffic!H17</f>
        <v>585</v>
      </c>
      <c r="N191" s="829">
        <f>Traffic!I17</f>
        <v>760.5</v>
      </c>
      <c r="O191" s="829">
        <f>Traffic!J17</f>
        <v>988.65</v>
      </c>
      <c r="P191" s="829">
        <f>Traffic!K17</f>
        <v>1285.2450000000001</v>
      </c>
      <c r="Q191" s="829">
        <f>Traffic!L17</f>
        <v>1670.8185000000003</v>
      </c>
      <c r="R191" s="829">
        <f>Traffic!M17</f>
        <v>2172.0640500000004</v>
      </c>
      <c r="S191" s="829">
        <f>Traffic!N17</f>
        <v>2823.6832650000006</v>
      </c>
      <c r="T191" s="829">
        <f>Traffic!O17</f>
        <v>3670.7882445000009</v>
      </c>
      <c r="U191" s="829">
        <f>Traffic!P17</f>
        <v>4772.0247178500013</v>
      </c>
      <c r="V191" s="829">
        <f>Traffic!Q17</f>
        <v>6203.632133205002</v>
      </c>
      <c r="W191" s="830">
        <f>Traffic!R17</f>
        <v>0</v>
      </c>
      <c r="X191" s="699">
        <f>Traffic!S17</f>
        <v>0</v>
      </c>
      <c r="Y191" s="699">
        <f>Traffic!T17</f>
        <v>0</v>
      </c>
      <c r="Z191" s="699">
        <f>Traffic!U17</f>
        <v>0</v>
      </c>
      <c r="AA191" s="699">
        <f>Traffic!V17</f>
        <v>0</v>
      </c>
      <c r="AB191" s="826">
        <f>L190/AB189</f>
        <v>14.118416325000004</v>
      </c>
      <c r="AE191" s="726">
        <v>2015</v>
      </c>
      <c r="AF191" s="726">
        <v>2016</v>
      </c>
      <c r="AG191" s="726">
        <v>2017</v>
      </c>
      <c r="AH191" s="726">
        <v>2018</v>
      </c>
      <c r="AI191" s="726">
        <v>2019</v>
      </c>
      <c r="AJ191" s="726">
        <v>2020</v>
      </c>
      <c r="AK191" s="726">
        <v>2021</v>
      </c>
      <c r="AL191" s="726">
        <v>2022</v>
      </c>
      <c r="AM191" s="726">
        <v>2023</v>
      </c>
      <c r="AN191" s="726">
        <v>2024</v>
      </c>
      <c r="AO191" s="726">
        <v>2025</v>
      </c>
    </row>
    <row r="192" spans="2:43" ht="12" thickBot="1" x14ac:dyDescent="0.2">
      <c r="C192" s="694" t="s">
        <v>258</v>
      </c>
      <c r="D192" s="818"/>
      <c r="E192" s="831">
        <v>0.2</v>
      </c>
      <c r="G192" s="832">
        <v>42.1</v>
      </c>
      <c r="H192" s="832">
        <v>46.4</v>
      </c>
      <c r="I192" s="832">
        <f>51.4</f>
        <v>51.4</v>
      </c>
      <c r="J192" s="832">
        <f>(J$191/I$191)*I192*(1-$E193)</f>
        <v>53.45600000000001</v>
      </c>
      <c r="K192" s="832">
        <f>(K$191/J$191)*J192*(1-$E193)</f>
        <v>55.594240000000013</v>
      </c>
      <c r="L192" s="833">
        <f>(L$191/K$191)*K192*(1-$E193)</f>
        <v>57.818009600000018</v>
      </c>
      <c r="M192" s="834">
        <f t="shared" ref="M192:AA192" si="137">(M$191/L$191)*L192*(1-$E193)</f>
        <v>61.581312000000018</v>
      </c>
      <c r="N192" s="834">
        <f t="shared" si="137"/>
        <v>64.04456448000002</v>
      </c>
      <c r="O192" s="834">
        <f t="shared" si="137"/>
        <v>66.606347059200033</v>
      </c>
      <c r="P192" s="834">
        <f t="shared" si="137"/>
        <v>69.270600941568034</v>
      </c>
      <c r="Q192" s="834">
        <f t="shared" si="137"/>
        <v>72.041424979230769</v>
      </c>
      <c r="R192" s="834">
        <f t="shared" si="137"/>
        <v>74.923081978400006</v>
      </c>
      <c r="S192" s="834">
        <f>(S$191/R$191)*R192*(1-$E194)</f>
        <v>92.53000624332401</v>
      </c>
      <c r="T192" s="834">
        <f t="shared" ref="T192:W192" si="138">(T$191/S$191)*S192*(1-$E194)</f>
        <v>114.27455771050515</v>
      </c>
      <c r="U192" s="834">
        <f t="shared" si="138"/>
        <v>141.12907877247386</v>
      </c>
      <c r="V192" s="834">
        <f>(V$191/U$191)*U192*(1-$E194)</f>
        <v>174.29441228400523</v>
      </c>
      <c r="W192" s="834">
        <f t="shared" si="138"/>
        <v>0</v>
      </c>
      <c r="X192" s="832" t="e">
        <f t="shared" si="137"/>
        <v>#DIV/0!</v>
      </c>
      <c r="Y192" s="832" t="e">
        <f t="shared" si="137"/>
        <v>#DIV/0!</v>
      </c>
      <c r="Z192" s="832" t="e">
        <f t="shared" si="137"/>
        <v>#DIV/0!</v>
      </c>
      <c r="AA192" s="832" t="e">
        <f t="shared" si="137"/>
        <v>#DIV/0!</v>
      </c>
      <c r="AE192" s="699">
        <f>AE190*1000000</f>
        <v>49.616892911010574</v>
      </c>
      <c r="AF192" s="699">
        <f t="shared" ref="AF192:AO192" si="139">AF190*1000000</f>
        <v>37.26779956427017</v>
      </c>
      <c r="AG192" s="699">
        <f t="shared" si="139"/>
        <v>28.667538126361663</v>
      </c>
      <c r="AH192" s="699">
        <f t="shared" si="139"/>
        <v>22.051952404893591</v>
      </c>
      <c r="AI192" s="699">
        <f t="shared" si="139"/>
        <v>16.963040311456602</v>
      </c>
      <c r="AJ192" s="699">
        <f t="shared" si="139"/>
        <v>13.048492547274309</v>
      </c>
      <c r="AK192" s="699">
        <f t="shared" si="139"/>
        <v>10.037301959441777</v>
      </c>
      <c r="AL192" s="699">
        <f t="shared" si="139"/>
        <v>7.7210015072629048</v>
      </c>
      <c r="AM192" s="699">
        <f t="shared" si="139"/>
        <v>5.9392319286637738</v>
      </c>
      <c r="AN192" s="699">
        <f t="shared" si="139"/>
        <v>4.5686399451259794</v>
      </c>
      <c r="AO192" s="699">
        <f t="shared" si="139"/>
        <v>3.5143384193276761</v>
      </c>
      <c r="AP192" s="694" t="s">
        <v>300</v>
      </c>
      <c r="AQ192" s="728">
        <f>1-(AO192/AE192)^0.1</f>
        <v>0.23260069494146396</v>
      </c>
    </row>
    <row r="193" spans="3:43" x14ac:dyDescent="0.15">
      <c r="E193" s="836">
        <v>0.2</v>
      </c>
      <c r="F193" s="694" t="s">
        <v>276</v>
      </c>
      <c r="G193" s="824">
        <f>G192/G191</f>
        <v>0.35677966101694919</v>
      </c>
      <c r="H193" s="824">
        <f t="shared" ref="H193:AA193" si="140">H192/H191</f>
        <v>0.30129870129870129</v>
      </c>
      <c r="I193" s="824">
        <f t="shared" si="140"/>
        <v>0.25700000000000001</v>
      </c>
      <c r="J193" s="824">
        <f t="shared" si="140"/>
        <v>0.20560000000000003</v>
      </c>
      <c r="K193" s="824">
        <f t="shared" si="140"/>
        <v>0.16448000000000004</v>
      </c>
      <c r="L193" s="824">
        <f t="shared" si="140"/>
        <v>0.13158400000000003</v>
      </c>
      <c r="M193" s="824">
        <f t="shared" si="140"/>
        <v>0.10526720000000003</v>
      </c>
      <c r="N193" s="824">
        <f t="shared" si="140"/>
        <v>8.4213760000000026E-2</v>
      </c>
      <c r="O193" s="824">
        <f t="shared" si="140"/>
        <v>6.7371008000000038E-2</v>
      </c>
      <c r="P193" s="824">
        <f t="shared" si="140"/>
        <v>5.3896806400000025E-2</v>
      </c>
      <c r="Q193" s="824">
        <f t="shared" si="140"/>
        <v>4.3117445120000021E-2</v>
      </c>
      <c r="R193" s="824">
        <f t="shared" si="140"/>
        <v>3.449395609600002E-2</v>
      </c>
      <c r="S193" s="824">
        <f t="shared" si="140"/>
        <v>3.2769258291200018E-2</v>
      </c>
      <c r="T193" s="824">
        <f t="shared" si="140"/>
        <v>3.1130795376640017E-2</v>
      </c>
      <c r="U193" s="824">
        <f t="shared" si="140"/>
        <v>2.9574255607808016E-2</v>
      </c>
      <c r="V193" s="824">
        <f t="shared" si="140"/>
        <v>2.8095542827417615E-2</v>
      </c>
      <c r="W193" s="824" t="e">
        <f t="shared" si="140"/>
        <v>#DIV/0!</v>
      </c>
      <c r="X193" s="824" t="e">
        <f t="shared" si="140"/>
        <v>#DIV/0!</v>
      </c>
      <c r="Y193" s="824" t="e">
        <f t="shared" si="140"/>
        <v>#DIV/0!</v>
      </c>
      <c r="Z193" s="824" t="e">
        <f t="shared" si="140"/>
        <v>#DIV/0!</v>
      </c>
      <c r="AA193" s="824" t="e">
        <f t="shared" si="140"/>
        <v>#DIV/0!</v>
      </c>
      <c r="AE193" s="699">
        <f t="shared" ref="AE193:AO193" si="141">L190/2652*1000000</f>
        <v>49.616892911010574</v>
      </c>
      <c r="AF193" s="699">
        <f t="shared" si="141"/>
        <v>39.693514328808462</v>
      </c>
      <c r="AG193" s="699">
        <f t="shared" si="141"/>
        <v>31.754811463046771</v>
      </c>
      <c r="AH193" s="699">
        <f t="shared" si="141"/>
        <v>25.403849170437422</v>
      </c>
      <c r="AI193" s="699">
        <f t="shared" si="141"/>
        <v>20.323079336349934</v>
      </c>
      <c r="AJ193" s="699">
        <f t="shared" si="141"/>
        <v>16.258463469079945</v>
      </c>
      <c r="AK193" s="699">
        <f t="shared" si="141"/>
        <v>13.006770775263959</v>
      </c>
      <c r="AL193" s="699">
        <f t="shared" si="141"/>
        <v>10.405416620211168</v>
      </c>
      <c r="AM193" s="699">
        <f t="shared" si="141"/>
        <v>8.3243332961689358</v>
      </c>
      <c r="AN193" s="699">
        <f t="shared" si="141"/>
        <v>6.6594666369351492</v>
      </c>
      <c r="AO193" s="699">
        <f t="shared" si="141"/>
        <v>5.3275733095481206</v>
      </c>
      <c r="AP193" s="694" t="s">
        <v>301</v>
      </c>
      <c r="AQ193" s="728">
        <f>1-(AO193/AE193)^0.1</f>
        <v>0.19999999999999996</v>
      </c>
    </row>
    <row r="194" spans="3:43" x14ac:dyDescent="0.15">
      <c r="E194" s="837">
        <v>0.05</v>
      </c>
      <c r="F194" s="751"/>
      <c r="G194" s="699"/>
      <c r="H194" s="699"/>
      <c r="I194" s="699"/>
      <c r="J194" s="699"/>
      <c r="K194" s="699"/>
      <c r="L194" s="699"/>
      <c r="M194" s="699"/>
      <c r="N194" s="699"/>
      <c r="O194" s="699"/>
      <c r="P194" s="699"/>
      <c r="Q194" s="699"/>
      <c r="R194" s="699"/>
      <c r="S194" s="699"/>
      <c r="T194" s="699"/>
      <c r="U194" s="699"/>
      <c r="V194" s="699"/>
      <c r="W194" s="699"/>
      <c r="X194" s="699"/>
      <c r="Y194" s="699"/>
      <c r="Z194" s="699"/>
      <c r="AA194" s="699"/>
    </row>
    <row r="195" spans="3:43" x14ac:dyDescent="0.15">
      <c r="E195" s="751"/>
      <c r="F195" s="751"/>
      <c r="G195" s="699"/>
      <c r="H195" s="699"/>
      <c r="I195" s="699"/>
      <c r="J195" s="699"/>
      <c r="K195" s="699"/>
      <c r="L195" s="699"/>
      <c r="M195" s="699"/>
      <c r="N195" s="699"/>
      <c r="O195" s="699"/>
      <c r="P195" s="699"/>
      <c r="Q195" s="699"/>
      <c r="R195" s="699"/>
      <c r="S195" s="699"/>
      <c r="T195" s="699"/>
      <c r="U195" s="699"/>
      <c r="V195" s="699"/>
      <c r="W195" s="699"/>
      <c r="X195" s="699"/>
      <c r="Y195" s="699"/>
      <c r="Z195" s="699"/>
      <c r="AA195" s="699"/>
    </row>
    <row r="196" spans="3:43" x14ac:dyDescent="0.15">
      <c r="C196" s="694" t="s">
        <v>257</v>
      </c>
      <c r="G196" s="699">
        <f>Traffic!B22</f>
        <v>118</v>
      </c>
      <c r="H196" s="699">
        <f>Traffic!C22</f>
        <v>154</v>
      </c>
      <c r="I196" s="699">
        <f>Traffic!D22</f>
        <v>200</v>
      </c>
      <c r="J196" s="699">
        <f>Traffic!E22</f>
        <v>270</v>
      </c>
      <c r="K196" s="699">
        <f>Traffic!F22</f>
        <v>364.5</v>
      </c>
      <c r="L196" s="699">
        <f>Traffic!G22</f>
        <v>492.07500000000005</v>
      </c>
      <c r="M196" s="699">
        <f>Traffic!H22</f>
        <v>664.3012500000001</v>
      </c>
      <c r="N196" s="699">
        <f>Traffic!I22</f>
        <v>896.80668750000018</v>
      </c>
      <c r="O196" s="699">
        <f>Traffic!J22</f>
        <v>1210.6890281250003</v>
      </c>
      <c r="P196" s="699">
        <f>Traffic!K22</f>
        <v>1634.4301879687505</v>
      </c>
      <c r="Q196" s="699">
        <f>Traffic!L22</f>
        <v>2206.4807537578131</v>
      </c>
      <c r="R196" s="699">
        <f>Traffic!M22</f>
        <v>2978.7490175730477</v>
      </c>
      <c r="S196" s="699">
        <f>Traffic!N22</f>
        <v>4021.3111737236145</v>
      </c>
      <c r="T196" s="699">
        <f>Traffic!O22</f>
        <v>5428.7700845268801</v>
      </c>
      <c r="U196" s="699">
        <f>Traffic!P22</f>
        <v>7328.8396141112889</v>
      </c>
      <c r="V196" s="699">
        <f>Traffic!Q22</f>
        <v>9893.9334790502398</v>
      </c>
      <c r="W196" s="699">
        <f>Traffic!R22</f>
        <v>0</v>
      </c>
      <c r="X196" s="699">
        <f>Traffic!S22</f>
        <v>0</v>
      </c>
      <c r="Y196" s="699">
        <f>Traffic!T22</f>
        <v>0</v>
      </c>
      <c r="Z196" s="699">
        <f>Traffic!U22</f>
        <v>0</v>
      </c>
      <c r="AA196" s="699">
        <f>Traffic!V22</f>
        <v>0</v>
      </c>
    </row>
    <row r="197" spans="3:43" x14ac:dyDescent="0.15">
      <c r="C197" s="694" t="s">
        <v>258</v>
      </c>
      <c r="G197" s="838">
        <v>42.1</v>
      </c>
      <c r="H197" s="838">
        <v>46.4</v>
      </c>
      <c r="I197" s="838">
        <f>51.4</f>
        <v>51.4</v>
      </c>
      <c r="J197" s="838">
        <f>(J$196/I$196)*I197*(1-$E194)</f>
        <v>65.920500000000004</v>
      </c>
      <c r="K197" s="838">
        <f t="shared" ref="K197:Z197" si="142">(K$196/J$196)*J197*(1-$E194)</f>
        <v>84.543041250000002</v>
      </c>
      <c r="L197" s="838">
        <f t="shared" si="142"/>
        <v>108.426450403125</v>
      </c>
      <c r="M197" s="838">
        <f t="shared" si="142"/>
        <v>139.05692264200781</v>
      </c>
      <c r="N197" s="838">
        <f t="shared" si="142"/>
        <v>178.340503288375</v>
      </c>
      <c r="O197" s="838">
        <f t="shared" si="142"/>
        <v>228.72169546734094</v>
      </c>
      <c r="P197" s="838">
        <f t="shared" si="142"/>
        <v>293.33557443686476</v>
      </c>
      <c r="Q197" s="838">
        <f t="shared" si="142"/>
        <v>376.202874215279</v>
      </c>
      <c r="R197" s="838">
        <f t="shared" si="142"/>
        <v>482.48018618109529</v>
      </c>
      <c r="S197" s="838">
        <f t="shared" si="142"/>
        <v>618.78083877725476</v>
      </c>
      <c r="T197" s="838">
        <f t="shared" si="142"/>
        <v>793.58642573182931</v>
      </c>
      <c r="U197" s="838">
        <f t="shared" si="142"/>
        <v>1017.7745910010711</v>
      </c>
      <c r="V197" s="838">
        <f t="shared" si="142"/>
        <v>1305.2959129588735</v>
      </c>
      <c r="W197" s="838">
        <f t="shared" si="142"/>
        <v>0</v>
      </c>
      <c r="X197" s="838" t="e">
        <f t="shared" si="142"/>
        <v>#DIV/0!</v>
      </c>
      <c r="Y197" s="838" t="e">
        <f t="shared" si="142"/>
        <v>#DIV/0!</v>
      </c>
      <c r="Z197" s="838" t="e">
        <f t="shared" si="142"/>
        <v>#DIV/0!</v>
      </c>
      <c r="AA197" s="838" t="e">
        <f>(AA$196/Z$196)*Z197*(1-$E194)</f>
        <v>#DIV/0!</v>
      </c>
    </row>
    <row r="198" spans="3:43" x14ac:dyDescent="0.15">
      <c r="F198" s="694" t="s">
        <v>276</v>
      </c>
      <c r="G198" s="824">
        <f>G197/G196</f>
        <v>0.35677966101694919</v>
      </c>
      <c r="H198" s="824">
        <f t="shared" ref="H198:AA198" si="143">H197/H196</f>
        <v>0.30129870129870129</v>
      </c>
      <c r="I198" s="824">
        <f t="shared" si="143"/>
        <v>0.25700000000000001</v>
      </c>
      <c r="J198" s="824">
        <f t="shared" si="143"/>
        <v>0.24415000000000001</v>
      </c>
      <c r="K198" s="824">
        <f t="shared" si="143"/>
        <v>0.2319425</v>
      </c>
      <c r="L198" s="824">
        <f t="shared" si="143"/>
        <v>0.22034537499999998</v>
      </c>
      <c r="M198" s="824">
        <f t="shared" si="143"/>
        <v>0.20932810624999995</v>
      </c>
      <c r="N198" s="824">
        <f t="shared" si="143"/>
        <v>0.19886170093749994</v>
      </c>
      <c r="O198" s="824">
        <f t="shared" si="143"/>
        <v>0.18891861589062495</v>
      </c>
      <c r="P198" s="824">
        <f t="shared" si="143"/>
        <v>0.17947268509609368</v>
      </c>
      <c r="Q198" s="824">
        <f t="shared" si="143"/>
        <v>0.17049905084128897</v>
      </c>
      <c r="R198" s="824">
        <f t="shared" si="143"/>
        <v>0.16197409829922452</v>
      </c>
      <c r="S198" s="824">
        <f t="shared" si="143"/>
        <v>0.15387539338426329</v>
      </c>
      <c r="T198" s="824">
        <f t="shared" si="143"/>
        <v>0.14618162371505014</v>
      </c>
      <c r="U198" s="824">
        <f t="shared" si="143"/>
        <v>0.13887254252929762</v>
      </c>
      <c r="V198" s="824">
        <f t="shared" si="143"/>
        <v>0.13192891540283272</v>
      </c>
      <c r="W198" s="824" t="e">
        <f t="shared" si="143"/>
        <v>#DIV/0!</v>
      </c>
      <c r="X198" s="824" t="e">
        <f t="shared" si="143"/>
        <v>#DIV/0!</v>
      </c>
      <c r="Y198" s="824" t="e">
        <f t="shared" si="143"/>
        <v>#DIV/0!</v>
      </c>
      <c r="Z198" s="824" t="e">
        <f t="shared" si="143"/>
        <v>#DIV/0!</v>
      </c>
      <c r="AA198" s="824" t="e">
        <f t="shared" si="143"/>
        <v>#DIV/0!</v>
      </c>
    </row>
    <row r="199" spans="3:43" x14ac:dyDescent="0.15">
      <c r="G199" s="824"/>
      <c r="H199" s="824"/>
      <c r="I199" s="824"/>
      <c r="J199" s="824"/>
      <c r="K199" s="824"/>
      <c r="L199" s="824"/>
      <c r="M199" s="824"/>
      <c r="N199" s="824"/>
      <c r="O199" s="824"/>
      <c r="P199" s="824"/>
      <c r="Q199" s="824"/>
      <c r="R199" s="824"/>
      <c r="S199" s="824"/>
      <c r="T199" s="824"/>
      <c r="U199" s="824"/>
      <c r="V199" s="824"/>
      <c r="W199" s="824"/>
      <c r="X199" s="824"/>
      <c r="Y199" s="824"/>
      <c r="Z199" s="824"/>
      <c r="AA199" s="824"/>
    </row>
    <row r="200" spans="3:43" x14ac:dyDescent="0.15">
      <c r="G200" s="824"/>
      <c r="H200" s="824"/>
      <c r="I200" s="824"/>
      <c r="J200" s="824"/>
      <c r="K200" s="824"/>
      <c r="L200" s="824"/>
      <c r="M200" s="824"/>
      <c r="N200" s="824"/>
      <c r="O200" s="824"/>
      <c r="P200" s="824"/>
      <c r="Q200" s="824"/>
      <c r="R200" s="824"/>
      <c r="S200" s="824"/>
      <c r="T200" s="824"/>
      <c r="U200" s="824"/>
      <c r="V200" s="824"/>
      <c r="W200" s="824"/>
      <c r="X200" s="824"/>
      <c r="Y200" s="824"/>
      <c r="Z200" s="824"/>
      <c r="AA200" s="824"/>
    </row>
    <row r="201" spans="3:43" x14ac:dyDescent="0.15">
      <c r="G201" s="824"/>
      <c r="H201" s="824"/>
      <c r="I201" s="824"/>
      <c r="J201" s="824"/>
      <c r="K201" s="824"/>
      <c r="L201" s="824"/>
      <c r="M201" s="824"/>
      <c r="N201" s="824"/>
      <c r="O201" s="824"/>
      <c r="P201" s="824"/>
      <c r="Q201" s="824"/>
      <c r="R201" s="824"/>
      <c r="S201" s="824"/>
      <c r="T201" s="824"/>
      <c r="U201" s="824"/>
      <c r="V201" s="824"/>
      <c r="W201" s="824"/>
      <c r="X201" s="824"/>
      <c r="Y201" s="824"/>
      <c r="Z201" s="824"/>
      <c r="AA201" s="824"/>
    </row>
    <row r="202" spans="3:43" x14ac:dyDescent="0.15">
      <c r="G202" s="824"/>
      <c r="H202" s="824"/>
      <c r="I202" s="824"/>
      <c r="J202" s="824"/>
      <c r="K202" s="824"/>
      <c r="L202" s="824"/>
      <c r="M202" s="824"/>
      <c r="N202" s="824"/>
      <c r="O202" s="824"/>
      <c r="P202" s="824"/>
      <c r="Q202" s="824"/>
      <c r="R202" s="824"/>
      <c r="S202" s="824"/>
      <c r="T202" s="824"/>
      <c r="U202" s="824"/>
      <c r="V202" s="824"/>
      <c r="W202" s="824"/>
      <c r="X202" s="824"/>
      <c r="Y202" s="824"/>
      <c r="Z202" s="824"/>
      <c r="AA202" s="824"/>
    </row>
    <row r="203" spans="3:43" x14ac:dyDescent="0.15">
      <c r="G203" s="824"/>
      <c r="H203" s="824"/>
      <c r="I203" s="824"/>
      <c r="J203" s="824"/>
      <c r="K203" s="824"/>
      <c r="L203" s="824"/>
      <c r="M203" s="824"/>
      <c r="N203" s="824"/>
      <c r="O203" s="824"/>
      <c r="P203" s="824"/>
      <c r="Q203" s="824"/>
      <c r="R203" s="824"/>
      <c r="S203" s="824"/>
      <c r="T203" s="824"/>
      <c r="U203" s="824"/>
      <c r="V203" s="824"/>
      <c r="W203" s="824"/>
      <c r="X203" s="824"/>
      <c r="Y203" s="824"/>
      <c r="Z203" s="824"/>
      <c r="AA203" s="824"/>
    </row>
    <row r="204" spans="3:43" ht="44" x14ac:dyDescent="0.15">
      <c r="E204" s="819" t="s">
        <v>92</v>
      </c>
      <c r="G204" s="824"/>
      <c r="H204" s="824"/>
      <c r="I204" s="824"/>
      <c r="J204" s="824"/>
      <c r="K204" s="824"/>
      <c r="L204" s="824"/>
      <c r="M204" s="824"/>
      <c r="N204" s="824"/>
      <c r="O204" s="824"/>
      <c r="P204" s="824"/>
      <c r="Q204" s="824"/>
      <c r="R204" s="824"/>
      <c r="S204" s="824"/>
      <c r="T204" s="824"/>
      <c r="U204" s="824"/>
      <c r="V204" s="824"/>
      <c r="W204" s="824"/>
      <c r="X204" s="824"/>
      <c r="Y204" s="824"/>
      <c r="Z204" s="824"/>
      <c r="AA204" s="824"/>
    </row>
    <row r="205" spans="3:43" x14ac:dyDescent="0.15">
      <c r="E205" s="831">
        <v>0.15</v>
      </c>
      <c r="G205" s="822">
        <v>42.1</v>
      </c>
      <c r="H205" s="822">
        <v>46.4</v>
      </c>
      <c r="I205" s="822">
        <f>51.4</f>
        <v>51.4</v>
      </c>
      <c r="J205" s="824">
        <f>I205*1.25*(1-$E$205)</f>
        <v>54.612499999999997</v>
      </c>
      <c r="K205" s="824">
        <f t="shared" ref="K205:Z205" si="144">J205*1.25*(1-$E$205)</f>
        <v>58.025781250000001</v>
      </c>
      <c r="L205" s="824">
        <f t="shared" si="144"/>
        <v>61.652392578124996</v>
      </c>
      <c r="M205" s="824">
        <f t="shared" si="144"/>
        <v>65.505667114257804</v>
      </c>
      <c r="N205" s="824">
        <f t="shared" si="144"/>
        <v>69.599771308898909</v>
      </c>
      <c r="O205" s="824">
        <f t="shared" si="144"/>
        <v>73.949757015705089</v>
      </c>
      <c r="P205" s="824">
        <f t="shared" si="144"/>
        <v>78.571616829186652</v>
      </c>
      <c r="Q205" s="824">
        <f t="shared" si="144"/>
        <v>83.482342881010823</v>
      </c>
      <c r="R205" s="824">
        <f t="shared" si="144"/>
        <v>88.699989311073992</v>
      </c>
      <c r="S205" s="824">
        <f t="shared" si="144"/>
        <v>94.243738643016115</v>
      </c>
      <c r="T205" s="824">
        <f t="shared" si="144"/>
        <v>100.13397230820462</v>
      </c>
      <c r="U205" s="824">
        <f t="shared" si="144"/>
        <v>106.39234557746741</v>
      </c>
      <c r="V205" s="824">
        <f t="shared" si="144"/>
        <v>113.04186717605911</v>
      </c>
      <c r="W205" s="824">
        <f t="shared" si="144"/>
        <v>120.10698387456281</v>
      </c>
      <c r="X205" s="824">
        <f t="shared" si="144"/>
        <v>127.613670366723</v>
      </c>
      <c r="Y205" s="824">
        <f t="shared" si="144"/>
        <v>135.58952476464319</v>
      </c>
      <c r="Z205" s="824">
        <f t="shared" si="144"/>
        <v>144.06387006243338</v>
      </c>
      <c r="AA205" s="824">
        <f>Z205*1.25*(1-$E$205)</f>
        <v>153.06786194133545</v>
      </c>
    </row>
    <row r="206" spans="3:43" x14ac:dyDescent="0.15">
      <c r="E206" s="836">
        <v>0.1</v>
      </c>
      <c r="G206" s="832">
        <v>42.1</v>
      </c>
      <c r="H206" s="832">
        <v>46.4</v>
      </c>
      <c r="I206" s="832">
        <f>51.4</f>
        <v>51.4</v>
      </c>
      <c r="J206" s="824">
        <f>I206*1.3*(1-$E$206)</f>
        <v>60.138000000000005</v>
      </c>
      <c r="K206" s="824">
        <f t="shared" ref="K206:AA206" si="145">J206*1.3*(1-$E$206)</f>
        <v>70.361460000000022</v>
      </c>
      <c r="L206" s="824">
        <f t="shared" si="145"/>
        <v>82.322908200000029</v>
      </c>
      <c r="M206" s="824">
        <f t="shared" si="145"/>
        <v>96.317802594000042</v>
      </c>
      <c r="N206" s="824">
        <f t="shared" si="145"/>
        <v>112.69182903498006</v>
      </c>
      <c r="O206" s="824">
        <f t="shared" si="145"/>
        <v>131.84943997092668</v>
      </c>
      <c r="P206" s="824">
        <f t="shared" si="145"/>
        <v>154.26384476598423</v>
      </c>
      <c r="Q206" s="824">
        <f t="shared" si="145"/>
        <v>180.48869837620157</v>
      </c>
      <c r="R206" s="824">
        <f t="shared" si="145"/>
        <v>211.17177710015582</v>
      </c>
      <c r="S206" s="824">
        <f t="shared" si="145"/>
        <v>247.07097920718232</v>
      </c>
      <c r="T206" s="824">
        <f t="shared" si="145"/>
        <v>289.07304567240334</v>
      </c>
      <c r="U206" s="824">
        <f t="shared" si="145"/>
        <v>338.2154634367119</v>
      </c>
      <c r="V206" s="824">
        <f t="shared" si="145"/>
        <v>395.71209222095291</v>
      </c>
      <c r="W206" s="824">
        <f t="shared" si="145"/>
        <v>462.98314789851491</v>
      </c>
      <c r="X206" s="824">
        <f t="shared" si="145"/>
        <v>541.69028304126243</v>
      </c>
      <c r="Y206" s="824">
        <f t="shared" si="145"/>
        <v>633.77763115827713</v>
      </c>
      <c r="Z206" s="824">
        <f t="shared" si="145"/>
        <v>741.51982845518421</v>
      </c>
      <c r="AA206" s="824">
        <f t="shared" si="145"/>
        <v>867.57819929256561</v>
      </c>
    </row>
    <row r="207" spans="3:43" x14ac:dyDescent="0.15">
      <c r="E207" s="837">
        <v>0.05</v>
      </c>
      <c r="G207" s="838">
        <v>42.1</v>
      </c>
      <c r="H207" s="838">
        <v>46.4</v>
      </c>
      <c r="I207" s="838">
        <f>51.4</f>
        <v>51.4</v>
      </c>
      <c r="J207" s="824">
        <f>I207*1.35*(1-$E$207)</f>
        <v>65.920500000000004</v>
      </c>
      <c r="K207" s="824">
        <f t="shared" ref="K207:AA207" si="146">J207*1.35*(1-$E$207)</f>
        <v>84.543041250000002</v>
      </c>
      <c r="L207" s="824">
        <f t="shared" si="146"/>
        <v>108.426450403125</v>
      </c>
      <c r="M207" s="824">
        <f t="shared" si="146"/>
        <v>139.05692264200781</v>
      </c>
      <c r="N207" s="824">
        <f t="shared" si="146"/>
        <v>178.340503288375</v>
      </c>
      <c r="O207" s="824">
        <f t="shared" si="146"/>
        <v>228.72169546734094</v>
      </c>
      <c r="P207" s="824">
        <f t="shared" si="146"/>
        <v>293.33557443686476</v>
      </c>
      <c r="Q207" s="824">
        <f t="shared" si="146"/>
        <v>376.20287421527911</v>
      </c>
      <c r="R207" s="824">
        <f t="shared" si="146"/>
        <v>482.48018618109546</v>
      </c>
      <c r="S207" s="824">
        <f t="shared" si="146"/>
        <v>618.78083877725498</v>
      </c>
      <c r="T207" s="824">
        <f t="shared" si="146"/>
        <v>793.58642573182954</v>
      </c>
      <c r="U207" s="824">
        <f t="shared" si="146"/>
        <v>1017.7745910010714</v>
      </c>
      <c r="V207" s="824">
        <f t="shared" si="146"/>
        <v>1305.2959129588742</v>
      </c>
      <c r="W207" s="824">
        <f t="shared" si="146"/>
        <v>1674.0420083697561</v>
      </c>
      <c r="X207" s="824">
        <f t="shared" si="146"/>
        <v>2146.9588757342121</v>
      </c>
      <c r="Y207" s="824">
        <f t="shared" si="146"/>
        <v>2753.4747581291272</v>
      </c>
      <c r="Z207" s="824">
        <f>Y207*1.35*(1-$E$207)</f>
        <v>3531.3313773006057</v>
      </c>
      <c r="AA207" s="824">
        <f t="shared" si="146"/>
        <v>4528.9324913880273</v>
      </c>
    </row>
    <row r="208" spans="3:43" x14ac:dyDescent="0.15">
      <c r="G208" s="824"/>
      <c r="H208" s="824"/>
      <c r="I208" s="824"/>
      <c r="J208" s="824"/>
      <c r="K208" s="824"/>
      <c r="L208" s="824"/>
      <c r="M208" s="824"/>
      <c r="N208" s="824"/>
      <c r="O208" s="824"/>
      <c r="P208" s="824"/>
      <c r="Q208" s="824"/>
      <c r="R208" s="824"/>
      <c r="S208" s="824"/>
      <c r="T208" s="824"/>
      <c r="U208" s="824"/>
      <c r="V208" s="824"/>
      <c r="W208" s="824"/>
      <c r="X208" s="824"/>
      <c r="Y208" s="824"/>
      <c r="Z208" s="824"/>
      <c r="AA208" s="824"/>
    </row>
    <row r="209" spans="3:27" x14ac:dyDescent="0.15">
      <c r="G209" s="824"/>
      <c r="H209" s="824"/>
      <c r="I209" s="824"/>
      <c r="J209" s="824"/>
      <c r="K209" s="824"/>
      <c r="L209" s="824"/>
      <c r="M209" s="824"/>
      <c r="N209" s="824"/>
      <c r="O209" s="824"/>
      <c r="P209" s="824"/>
      <c r="Q209" s="824"/>
      <c r="R209" s="824"/>
      <c r="S209" s="824"/>
      <c r="T209" s="824"/>
      <c r="U209" s="824"/>
      <c r="V209" s="824"/>
      <c r="W209" s="824"/>
      <c r="X209" s="824"/>
      <c r="Y209" s="824"/>
      <c r="Z209" s="824"/>
      <c r="AA209" s="824"/>
    </row>
    <row r="210" spans="3:27" x14ac:dyDescent="0.15">
      <c r="G210" s="824"/>
      <c r="H210" s="824"/>
      <c r="I210" s="824"/>
      <c r="J210" s="824"/>
      <c r="K210" s="824"/>
      <c r="L210" s="824"/>
      <c r="M210" s="824"/>
      <c r="N210" s="824"/>
      <c r="O210" s="824"/>
      <c r="P210" s="824"/>
      <c r="Q210" s="824"/>
      <c r="R210" s="824"/>
      <c r="S210" s="824"/>
      <c r="T210" s="824"/>
      <c r="U210" s="824"/>
      <c r="V210" s="824"/>
      <c r="W210" s="824"/>
      <c r="X210" s="824"/>
      <c r="Y210" s="824"/>
      <c r="Z210" s="824"/>
      <c r="AA210" s="824"/>
    </row>
    <row r="211" spans="3:27" x14ac:dyDescent="0.15">
      <c r="G211" s="824"/>
      <c r="H211" s="824"/>
      <c r="I211" s="824"/>
      <c r="J211" s="824"/>
      <c r="K211" s="824"/>
      <c r="L211" s="824"/>
      <c r="M211" s="824"/>
      <c r="N211" s="824"/>
      <c r="O211" s="824"/>
      <c r="P211" s="824"/>
      <c r="Q211" s="824"/>
      <c r="R211" s="824"/>
      <c r="S211" s="824"/>
      <c r="T211" s="824"/>
      <c r="U211" s="824"/>
      <c r="V211" s="824"/>
      <c r="W211" s="824"/>
      <c r="X211" s="824"/>
      <c r="Y211" s="824"/>
      <c r="Z211" s="824"/>
      <c r="AA211" s="824"/>
    </row>
    <row r="212" spans="3:27" x14ac:dyDescent="0.15">
      <c r="G212" s="824"/>
      <c r="H212" s="824"/>
      <c r="I212" s="824"/>
      <c r="J212" s="824"/>
      <c r="K212" s="824"/>
      <c r="L212" s="824"/>
      <c r="M212" s="824"/>
      <c r="N212" s="824"/>
      <c r="O212" s="824"/>
      <c r="P212" s="824"/>
      <c r="Q212" s="824"/>
      <c r="R212" s="824"/>
      <c r="S212" s="824"/>
      <c r="T212" s="824"/>
      <c r="U212" s="824"/>
      <c r="V212" s="824"/>
      <c r="W212" s="824"/>
      <c r="X212" s="824"/>
      <c r="Y212" s="824"/>
      <c r="Z212" s="824"/>
      <c r="AA212" s="824"/>
    </row>
    <row r="213" spans="3:27" x14ac:dyDescent="0.15">
      <c r="G213" s="824"/>
      <c r="H213" s="824"/>
      <c r="I213" s="824"/>
      <c r="J213" s="824"/>
      <c r="K213" s="824"/>
      <c r="L213" s="824"/>
      <c r="M213" s="824"/>
      <c r="N213" s="824"/>
      <c r="O213" s="824"/>
      <c r="P213" s="824"/>
      <c r="Q213" s="824"/>
      <c r="R213" s="824"/>
      <c r="S213" s="824"/>
      <c r="T213" s="824"/>
      <c r="U213" s="824"/>
      <c r="V213" s="824"/>
      <c r="W213" s="824"/>
      <c r="X213" s="824"/>
      <c r="Y213" s="824"/>
      <c r="Z213" s="824"/>
      <c r="AA213" s="824"/>
    </row>
    <row r="214" spans="3:27" x14ac:dyDescent="0.15">
      <c r="G214" s="824"/>
      <c r="H214" s="824"/>
      <c r="I214" s="824"/>
      <c r="J214" s="824"/>
      <c r="K214" s="824"/>
      <c r="L214" s="824"/>
      <c r="M214" s="824"/>
      <c r="N214" s="824"/>
      <c r="O214" s="824"/>
      <c r="P214" s="824"/>
      <c r="Q214" s="824"/>
      <c r="R214" s="824"/>
      <c r="S214" s="824"/>
      <c r="T214" s="824"/>
      <c r="U214" s="824"/>
      <c r="V214" s="824"/>
      <c r="W214" s="824"/>
      <c r="X214" s="824"/>
      <c r="Y214" s="824"/>
      <c r="Z214" s="824"/>
      <c r="AA214" s="824"/>
    </row>
    <row r="215" spans="3:27" x14ac:dyDescent="0.15">
      <c r="G215" s="699"/>
      <c r="H215" s="699"/>
      <c r="I215" s="839"/>
      <c r="J215" s="699"/>
      <c r="K215" s="699"/>
      <c r="L215" s="699"/>
      <c r="M215" s="699"/>
      <c r="N215" s="699"/>
      <c r="O215" s="699"/>
      <c r="P215" s="699"/>
      <c r="Q215" s="699"/>
      <c r="R215" s="699"/>
      <c r="S215" s="699"/>
      <c r="T215" s="699"/>
      <c r="U215" s="699"/>
      <c r="V215" s="699"/>
      <c r="W215" s="699"/>
      <c r="X215" s="699"/>
      <c r="Y215" s="699"/>
      <c r="Z215" s="699"/>
      <c r="AA215" s="699"/>
    </row>
    <row r="216" spans="3:27" x14ac:dyDescent="0.15">
      <c r="G216" s="699"/>
      <c r="H216" s="699"/>
      <c r="I216" s="839"/>
      <c r="J216" s="699"/>
      <c r="K216" s="699"/>
      <c r="L216" s="699"/>
      <c r="M216" s="699"/>
      <c r="N216" s="699"/>
      <c r="O216" s="699"/>
      <c r="P216" s="699"/>
      <c r="Q216" s="699"/>
      <c r="R216" s="699"/>
      <c r="S216" s="699"/>
      <c r="T216" s="699"/>
      <c r="U216" s="699"/>
      <c r="V216" s="699"/>
      <c r="W216" s="699"/>
      <c r="X216" s="699"/>
      <c r="Y216" s="699"/>
      <c r="Z216" s="699"/>
      <c r="AA216" s="699"/>
    </row>
    <row r="217" spans="3:27" x14ac:dyDescent="0.15">
      <c r="G217" s="699"/>
      <c r="H217" s="699"/>
      <c r="I217" s="839"/>
      <c r="J217" s="699"/>
      <c r="K217" s="699"/>
      <c r="L217" s="699"/>
      <c r="M217" s="699"/>
      <c r="N217" s="699"/>
      <c r="O217" s="699"/>
      <c r="P217" s="699"/>
      <c r="Q217" s="699"/>
      <c r="R217" s="699"/>
      <c r="S217" s="699"/>
      <c r="T217" s="699"/>
      <c r="U217" s="699"/>
      <c r="V217" s="699"/>
      <c r="W217" s="699"/>
      <c r="X217" s="699"/>
      <c r="Y217" s="699"/>
      <c r="Z217" s="699"/>
      <c r="AA217" s="699"/>
    </row>
    <row r="218" spans="3:27" x14ac:dyDescent="0.15">
      <c r="G218" s="699"/>
      <c r="H218" s="699"/>
      <c r="I218" s="839"/>
      <c r="J218" s="699"/>
      <c r="K218" s="699"/>
      <c r="L218" s="699"/>
      <c r="M218" s="699"/>
      <c r="N218" s="699"/>
      <c r="O218" s="699"/>
      <c r="P218" s="699"/>
      <c r="Q218" s="699"/>
      <c r="R218" s="699"/>
      <c r="S218" s="699"/>
      <c r="T218" s="699"/>
      <c r="U218" s="699"/>
      <c r="V218" s="699"/>
      <c r="W218" s="699"/>
      <c r="X218" s="699"/>
      <c r="Y218" s="699"/>
      <c r="Z218" s="699"/>
      <c r="AA218" s="699"/>
    </row>
    <row r="219" spans="3:27" x14ac:dyDescent="0.15">
      <c r="G219" s="699"/>
      <c r="H219" s="699"/>
      <c r="I219" s="839"/>
      <c r="J219" s="699"/>
      <c r="K219" s="699"/>
      <c r="L219" s="699"/>
      <c r="M219" s="699"/>
      <c r="N219" s="699"/>
      <c r="O219" s="699"/>
      <c r="P219" s="699"/>
      <c r="Q219" s="699"/>
      <c r="R219" s="699"/>
      <c r="S219" s="699"/>
      <c r="T219" s="699"/>
      <c r="U219" s="699"/>
      <c r="V219" s="699"/>
      <c r="W219" s="699"/>
      <c r="X219" s="699"/>
      <c r="Y219" s="699"/>
      <c r="Z219" s="699"/>
      <c r="AA219" s="699"/>
    </row>
    <row r="220" spans="3:27" x14ac:dyDescent="0.15">
      <c r="G220" s="699"/>
      <c r="H220" s="699"/>
      <c r="I220" s="839"/>
      <c r="J220" s="699"/>
      <c r="K220" s="699"/>
      <c r="L220" s="699"/>
      <c r="M220" s="699"/>
      <c r="N220" s="699"/>
      <c r="O220" s="699"/>
      <c r="P220" s="699"/>
      <c r="Q220" s="699"/>
      <c r="R220" s="699"/>
      <c r="S220" s="699"/>
      <c r="T220" s="699"/>
      <c r="U220" s="699"/>
      <c r="V220" s="699"/>
      <c r="W220" s="699"/>
      <c r="X220" s="699"/>
      <c r="Y220" s="699"/>
      <c r="Z220" s="699"/>
      <c r="AA220" s="699"/>
    </row>
    <row r="221" spans="3:27" x14ac:dyDescent="0.15">
      <c r="E221" s="702">
        <v>2010</v>
      </c>
      <c r="F221" s="702">
        <v>2011</v>
      </c>
      <c r="G221" s="702">
        <v>2012</v>
      </c>
      <c r="H221" s="702">
        <v>2013</v>
      </c>
      <c r="I221" s="702">
        <v>2014</v>
      </c>
      <c r="J221" s="702">
        <v>2015</v>
      </c>
      <c r="K221" s="702">
        <v>2016</v>
      </c>
      <c r="L221" s="702">
        <v>2017</v>
      </c>
      <c r="M221" s="702">
        <v>2018</v>
      </c>
      <c r="N221" s="702">
        <v>2019</v>
      </c>
      <c r="O221" s="702">
        <v>2020</v>
      </c>
      <c r="P221" s="702">
        <v>2021</v>
      </c>
      <c r="Q221" s="702">
        <v>2022</v>
      </c>
      <c r="R221" s="702">
        <v>2023</v>
      </c>
      <c r="S221" s="702">
        <v>2024</v>
      </c>
      <c r="T221" s="702">
        <v>2025</v>
      </c>
      <c r="U221" s="702">
        <v>2026</v>
      </c>
      <c r="V221" s="702">
        <v>2027</v>
      </c>
      <c r="W221" s="702">
        <v>2028</v>
      </c>
      <c r="X221" s="702">
        <v>2029</v>
      </c>
      <c r="Y221" s="702">
        <v>2030</v>
      </c>
      <c r="Z221" s="699"/>
      <c r="AA221" s="699"/>
    </row>
    <row r="222" spans="3:27" x14ac:dyDescent="0.15">
      <c r="C222" s="695" t="s">
        <v>197</v>
      </c>
      <c r="E222" s="699">
        <f>G94</f>
        <v>93.741176470588215</v>
      </c>
      <c r="F222" s="699">
        <f t="shared" ref="F222:O222" si="147">H94</f>
        <v>79.679999999999978</v>
      </c>
      <c r="G222" s="699">
        <f t="shared" si="147"/>
        <v>65.618823529411742</v>
      </c>
      <c r="H222" s="699">
        <f t="shared" si="147"/>
        <v>45.933176470588222</v>
      </c>
      <c r="I222" s="699">
        <f t="shared" si="147"/>
        <v>32.153223529411747</v>
      </c>
      <c r="J222" s="699">
        <f t="shared" si="147"/>
        <v>22.507256470588224</v>
      </c>
      <c r="K222" s="699">
        <f t="shared" si="147"/>
        <v>15.755079529411756</v>
      </c>
      <c r="L222" s="699">
        <f t="shared" si="147"/>
        <v>11.028555670588227</v>
      </c>
      <c r="M222" s="699">
        <f t="shared" si="147"/>
        <v>7.7199889694117596</v>
      </c>
      <c r="N222" s="699">
        <f t="shared" si="147"/>
        <v>5.4039922785882313</v>
      </c>
      <c r="O222" s="699">
        <f t="shared" si="147"/>
        <v>3.7827945950117621</v>
      </c>
      <c r="P222" s="699">
        <f t="shared" ref="P222:Y222" si="148">R94</f>
        <v>2.6479562165082333</v>
      </c>
      <c r="Q222" s="699">
        <f t="shared" si="148"/>
        <v>2.5155584056828215</v>
      </c>
      <c r="R222" s="699">
        <f t="shared" si="148"/>
        <v>2.3897804853986804</v>
      </c>
      <c r="S222" s="699">
        <f t="shared" si="148"/>
        <v>2.2702914611287461</v>
      </c>
      <c r="T222" s="699">
        <f t="shared" si="148"/>
        <v>2.1567768880723088</v>
      </c>
      <c r="U222" s="699">
        <f t="shared" si="148"/>
        <v>2.0489380436686933</v>
      </c>
      <c r="V222" s="699">
        <f t="shared" si="148"/>
        <v>1.9464911414852586</v>
      </c>
      <c r="W222" s="699">
        <f t="shared" si="148"/>
        <v>1.8491665844109957</v>
      </c>
      <c r="X222" s="699">
        <f t="shared" si="148"/>
        <v>1.7567082551904456</v>
      </c>
      <c r="Y222" s="699">
        <f t="shared" si="148"/>
        <v>1.6688728424309234</v>
      </c>
      <c r="Z222" s="699"/>
      <c r="AA222" s="699"/>
    </row>
    <row r="223" spans="3:27" x14ac:dyDescent="0.15">
      <c r="C223" s="695" t="s">
        <v>188</v>
      </c>
      <c r="E223" s="699">
        <f>G95</f>
        <v>36.096000000000004</v>
      </c>
      <c r="F223" s="699">
        <f>H95</f>
        <v>37.795895999999999</v>
      </c>
      <c r="G223" s="699">
        <f t="shared" ref="G223:O223" si="149">I95</f>
        <v>37.870005599999992</v>
      </c>
      <c r="H223" s="699">
        <f t="shared" si="149"/>
        <v>34.40279619839999</v>
      </c>
      <c r="I223" s="699">
        <f t="shared" si="149"/>
        <v>30.764700500419188</v>
      </c>
      <c r="J223" s="699">
        <f t="shared" si="149"/>
        <v>26.388421854234561</v>
      </c>
      <c r="K223" s="699">
        <f t="shared" si="149"/>
        <v>21.230889021192034</v>
      </c>
      <c r="L223" s="699">
        <f t="shared" si="149"/>
        <v>16.420084330552196</v>
      </c>
      <c r="M223" s="699">
        <f t="shared" si="149"/>
        <v>13.257247686801229</v>
      </c>
      <c r="N223" s="699">
        <f t="shared" si="149"/>
        <v>10.703636637369577</v>
      </c>
      <c r="O223" s="699">
        <f t="shared" si="149"/>
        <v>8.5568295500826768</v>
      </c>
      <c r="P223" s="699">
        <f>R96</f>
        <v>6.2641711218239964</v>
      </c>
      <c r="Q223" s="699">
        <f t="shared" ref="Q223:Y223" si="150">S96</f>
        <v>5.9509625657327963</v>
      </c>
      <c r="R223" s="699">
        <f t="shared" si="150"/>
        <v>5.6534144374461563</v>
      </c>
      <c r="S223" s="699">
        <f t="shared" si="150"/>
        <v>5.3707437155738482</v>
      </c>
      <c r="T223" s="699">
        <f t="shared" si="150"/>
        <v>5.1022065297951551</v>
      </c>
      <c r="U223" s="699">
        <f t="shared" si="150"/>
        <v>4.8470962033053979</v>
      </c>
      <c r="V223" s="699">
        <f t="shared" si="150"/>
        <v>4.6047413931401273</v>
      </c>
      <c r="W223" s="699">
        <f t="shared" si="150"/>
        <v>4.3745043234831211</v>
      </c>
      <c r="X223" s="699">
        <f t="shared" si="150"/>
        <v>4.1557791073089652</v>
      </c>
      <c r="Y223" s="699">
        <f t="shared" si="150"/>
        <v>3.9479901519435163</v>
      </c>
      <c r="Z223" s="699"/>
      <c r="AA223" s="699"/>
    </row>
    <row r="224" spans="3:27" x14ac:dyDescent="0.15">
      <c r="C224" s="695" t="s">
        <v>189</v>
      </c>
      <c r="E224" s="699">
        <f>G97</f>
        <v>4.8</v>
      </c>
      <c r="F224" s="699">
        <f t="shared" ref="F224:O224" si="151">H97</f>
        <v>8.2619999999999987</v>
      </c>
      <c r="G224" s="699">
        <f t="shared" si="151"/>
        <v>12.096</v>
      </c>
      <c r="H224" s="699">
        <f t="shared" si="151"/>
        <v>14.347199999999999</v>
      </c>
      <c r="I224" s="699">
        <f t="shared" si="151"/>
        <v>13.541639999999996</v>
      </c>
      <c r="J224" s="699">
        <f t="shared" si="151"/>
        <v>11.848934999999999</v>
      </c>
      <c r="K224" s="699">
        <f t="shared" si="151"/>
        <v>10.447231199999997</v>
      </c>
      <c r="L224" s="699">
        <f t="shared" si="151"/>
        <v>7.9060127999999947</v>
      </c>
      <c r="M224" s="699">
        <f t="shared" si="151"/>
        <v>6.995240125439997</v>
      </c>
      <c r="N224" s="699">
        <f t="shared" si="151"/>
        <v>5.0772327235459178</v>
      </c>
      <c r="O224" s="699">
        <f t="shared" si="151"/>
        <v>3.7436129281611907</v>
      </c>
      <c r="P224" s="699">
        <f>R98</f>
        <v>2.6100713007599987</v>
      </c>
      <c r="Q224" s="699">
        <f t="shared" ref="Q224:Y224" si="152">S98</f>
        <v>2.4795677357219987</v>
      </c>
      <c r="R224" s="699">
        <f t="shared" si="152"/>
        <v>2.3555893489358986</v>
      </c>
      <c r="S224" s="699">
        <f t="shared" si="152"/>
        <v>2.2378098814891034</v>
      </c>
      <c r="T224" s="699">
        <f t="shared" si="152"/>
        <v>2.125919387414648</v>
      </c>
      <c r="U224" s="699">
        <f t="shared" si="152"/>
        <v>2.0196234180439157</v>
      </c>
      <c r="V224" s="699">
        <f t="shared" si="152"/>
        <v>1.9186422471417199</v>
      </c>
      <c r="W224" s="699">
        <f t="shared" si="152"/>
        <v>1.822710134784634</v>
      </c>
      <c r="X224" s="699">
        <f t="shared" si="152"/>
        <v>1.7315746280454021</v>
      </c>
      <c r="Y224" s="699">
        <f t="shared" si="152"/>
        <v>1.6449958966431319</v>
      </c>
      <c r="Z224" s="699"/>
      <c r="AA224" s="699"/>
    </row>
    <row r="225" spans="3:27" x14ac:dyDescent="0.15">
      <c r="C225" s="695" t="s">
        <v>190</v>
      </c>
      <c r="E225" s="699">
        <f>G99</f>
        <v>5.7599999999999998E-2</v>
      </c>
      <c r="F225" s="699">
        <f t="shared" ref="F225:O225" si="153">H99</f>
        <v>0.16524</v>
      </c>
      <c r="G225" s="699">
        <f t="shared" si="153"/>
        <v>0.41580000000000006</v>
      </c>
      <c r="H225" s="699">
        <f t="shared" si="153"/>
        <v>0.98783999999999983</v>
      </c>
      <c r="I225" s="699">
        <f t="shared" si="153"/>
        <v>2.304959999999999</v>
      </c>
      <c r="J225" s="699">
        <f t="shared" si="153"/>
        <v>3.7239509999999991</v>
      </c>
      <c r="K225" s="699">
        <f t="shared" si="153"/>
        <v>4.850500199999999</v>
      </c>
      <c r="L225" s="699">
        <f t="shared" si="153"/>
        <v>5.9295095999999967</v>
      </c>
      <c r="M225" s="699">
        <f t="shared" si="153"/>
        <v>6.995240125439997</v>
      </c>
      <c r="N225" s="699">
        <f t="shared" si="153"/>
        <v>8.365345344508988</v>
      </c>
      <c r="O225" s="699">
        <f t="shared" si="153"/>
        <v>9.62643324384306</v>
      </c>
      <c r="P225" s="699">
        <f>R100</f>
        <v>9.1874509786751943</v>
      </c>
      <c r="Q225" s="699">
        <f t="shared" ref="Q225:Y225" si="154">S100</f>
        <v>11.108463456034553</v>
      </c>
      <c r="R225" s="699">
        <f t="shared" si="154"/>
        <v>13.850865371743078</v>
      </c>
      <c r="S225" s="699">
        <f t="shared" si="154"/>
        <v>15.965430818495856</v>
      </c>
      <c r="T225" s="699">
        <f>V100</f>
        <v>17.96725022112264</v>
      </c>
      <c r="U225" s="699">
        <f t="shared" si="154"/>
        <v>17.068887710066509</v>
      </c>
      <c r="V225" s="699">
        <f t="shared" si="154"/>
        <v>16.215443324563182</v>
      </c>
      <c r="W225" s="699">
        <f t="shared" si="154"/>
        <v>15.404671158335024</v>
      </c>
      <c r="X225" s="699">
        <f t="shared" si="154"/>
        <v>14.634437600418272</v>
      </c>
      <c r="Y225" s="699">
        <f t="shared" si="154"/>
        <v>13.902715720397357</v>
      </c>
      <c r="Z225" s="699"/>
      <c r="AA225" s="699"/>
    </row>
    <row r="226" spans="3:27" x14ac:dyDescent="0.15">
      <c r="C226" s="695" t="s">
        <v>191</v>
      </c>
      <c r="E226" s="699">
        <f>G101</f>
        <v>5.3290705182007515E-18</v>
      </c>
      <c r="F226" s="699">
        <f t="shared" ref="F226:O226" si="155">H101</f>
        <v>-8.5373999999998262E-4</v>
      </c>
      <c r="G226" s="699">
        <f t="shared" si="155"/>
        <v>-1.7501400000000193E-4</v>
      </c>
      <c r="H226" s="699">
        <f t="shared" si="155"/>
        <v>-1.3349904959999929E-3</v>
      </c>
      <c r="I226" s="699">
        <f t="shared" si="155"/>
        <v>-2.0005512510480037E-3</v>
      </c>
      <c r="J226" s="699">
        <f t="shared" si="155"/>
        <v>1.7371453644135695E-3</v>
      </c>
      <c r="K226" s="699">
        <f t="shared" si="155"/>
        <v>0</v>
      </c>
      <c r="L226" s="699">
        <f t="shared" si="155"/>
        <v>0</v>
      </c>
      <c r="M226" s="699">
        <f t="shared" si="155"/>
        <v>1.8330814101968173E-3</v>
      </c>
      <c r="N226" s="699">
        <f t="shared" si="155"/>
        <v>2.2536668268385005E-3</v>
      </c>
      <c r="O226" s="699">
        <f t="shared" si="155"/>
        <v>1.0696036937603529E-2</v>
      </c>
      <c r="P226" s="699">
        <f>R102</f>
        <v>5.7421568616719904E-2</v>
      </c>
      <c r="Q226" s="699">
        <f t="shared" ref="Q226:Y226" si="156">S102</f>
        <v>0.22058736767916703</v>
      </c>
      <c r="R226" s="699">
        <f t="shared" si="156"/>
        <v>0.4136099358725393</v>
      </c>
      <c r="S226" s="699">
        <f t="shared" si="156"/>
        <v>0.81919994485125081</v>
      </c>
      <c r="T226" s="699">
        <f t="shared" si="156"/>
        <v>1.4359752504501921</v>
      </c>
      <c r="U226" s="699">
        <f t="shared" si="156"/>
        <v>2.8036934151458186</v>
      </c>
      <c r="V226" s="699">
        <f t="shared" si="156"/>
        <v>4.4813271925379841</v>
      </c>
      <c r="W226" s="699">
        <f t="shared" si="156"/>
        <v>6.5935271179894936</v>
      </c>
      <c r="X226" s="699">
        <f t="shared" si="156"/>
        <v>9.3025375201194365</v>
      </c>
      <c r="Y226" s="699">
        <f t="shared" si="156"/>
        <v>12.82116273894064</v>
      </c>
      <c r="Z226" s="699"/>
      <c r="AA226" s="699"/>
    </row>
    <row r="227" spans="3:27" x14ac:dyDescent="0.15">
      <c r="Z227" s="699"/>
      <c r="AA227" s="699"/>
    </row>
    <row r="228" spans="3:27" ht="12" thickBot="1" x14ac:dyDescent="0.2">
      <c r="C228" s="695"/>
      <c r="E228" s="699"/>
      <c r="F228" s="699"/>
      <c r="G228" s="699"/>
      <c r="H228" s="699"/>
      <c r="I228" s="699"/>
      <c r="J228" s="699"/>
      <c r="K228" s="699"/>
      <c r="L228" s="699"/>
      <c r="M228" s="699"/>
      <c r="N228" s="699"/>
      <c r="O228" s="699"/>
      <c r="P228" s="699"/>
      <c r="Q228" s="699"/>
      <c r="R228" s="699"/>
      <c r="S228" s="699"/>
      <c r="T228" s="699"/>
      <c r="U228" s="699"/>
      <c r="V228" s="699"/>
      <c r="W228" s="699"/>
      <c r="X228" s="699"/>
      <c r="Y228" s="699"/>
      <c r="Z228" s="699"/>
      <c r="AA228" s="699"/>
    </row>
    <row r="229" spans="3:27" x14ac:dyDescent="0.15">
      <c r="E229" s="702">
        <v>2010</v>
      </c>
      <c r="F229" s="702">
        <v>2011</v>
      </c>
      <c r="G229" s="702">
        <v>2012</v>
      </c>
      <c r="H229" s="702">
        <v>2013</v>
      </c>
      <c r="I229" s="702">
        <v>2014</v>
      </c>
      <c r="J229" s="777">
        <v>2015</v>
      </c>
      <c r="K229" s="778">
        <v>2016</v>
      </c>
      <c r="L229" s="778">
        <v>2017</v>
      </c>
      <c r="M229" s="778">
        <v>2018</v>
      </c>
      <c r="N229" s="778">
        <v>2019</v>
      </c>
      <c r="O229" s="778">
        <v>2020</v>
      </c>
      <c r="P229" s="778">
        <v>2021</v>
      </c>
      <c r="Q229" s="778">
        <v>2022</v>
      </c>
      <c r="R229" s="778">
        <v>2023</v>
      </c>
      <c r="S229" s="778">
        <v>2024</v>
      </c>
      <c r="T229" s="779">
        <v>2025</v>
      </c>
      <c r="U229" s="702">
        <v>2026</v>
      </c>
      <c r="V229" s="702">
        <v>2027</v>
      </c>
      <c r="W229" s="702">
        <v>2028</v>
      </c>
      <c r="X229" s="702">
        <v>2029</v>
      </c>
      <c r="Y229" s="702">
        <v>2030</v>
      </c>
      <c r="Z229" s="699"/>
      <c r="AA229" s="699"/>
    </row>
    <row r="230" spans="3:27" x14ac:dyDescent="0.15">
      <c r="C230" s="695" t="s">
        <v>197</v>
      </c>
      <c r="E230" s="699">
        <f t="shared" ref="E230:Y230" si="157">G116</f>
        <v>131.23764705882348</v>
      </c>
      <c r="F230" s="699">
        <f t="shared" si="157"/>
        <v>116.8015058823529</v>
      </c>
      <c r="G230" s="699">
        <f t="shared" si="157"/>
        <v>102.36536470588231</v>
      </c>
      <c r="H230" s="699">
        <f>J116</f>
        <v>62.279087887058807</v>
      </c>
      <c r="I230" s="699">
        <f t="shared" si="157"/>
        <v>48.577688551905865</v>
      </c>
      <c r="J230" s="840">
        <f t="shared" si="157"/>
        <v>37.890597070486578</v>
      </c>
      <c r="K230" s="841">
        <f t="shared" si="157"/>
        <v>29.554665714979532</v>
      </c>
      <c r="L230" s="841">
        <f>N116</f>
        <v>23.052639257684035</v>
      </c>
      <c r="M230" s="841">
        <f t="shared" si="157"/>
        <v>17.981058620993547</v>
      </c>
      <c r="N230" s="841">
        <f t="shared" si="157"/>
        <v>14.025225724374966</v>
      </c>
      <c r="O230" s="841">
        <f t="shared" si="157"/>
        <v>10.939676065012474</v>
      </c>
      <c r="P230" s="841">
        <f t="shared" si="157"/>
        <v>8.5329473307097299</v>
      </c>
      <c r="Q230" s="841">
        <f t="shared" si="157"/>
        <v>8.1062999641742426</v>
      </c>
      <c r="R230" s="841">
        <f t="shared" si="157"/>
        <v>7.7009849659655298</v>
      </c>
      <c r="S230" s="841">
        <f t="shared" si="157"/>
        <v>7.3159357176672524</v>
      </c>
      <c r="T230" s="842">
        <f t="shared" si="157"/>
        <v>6.95013893178389</v>
      </c>
      <c r="U230" s="699">
        <f t="shared" si="157"/>
        <v>6.6026319851946944</v>
      </c>
      <c r="V230" s="699">
        <f t="shared" si="157"/>
        <v>6.2725003859349595</v>
      </c>
      <c r="W230" s="699">
        <f t="shared" si="157"/>
        <v>5.9588753666382113</v>
      </c>
      <c r="X230" s="699">
        <f t="shared" si="157"/>
        <v>5.6609315983063011</v>
      </c>
      <c r="Y230" s="699">
        <f t="shared" si="157"/>
        <v>5.3778850183909856</v>
      </c>
      <c r="Z230" s="699"/>
      <c r="AA230" s="699"/>
    </row>
    <row r="231" spans="3:27" x14ac:dyDescent="0.15">
      <c r="C231" s="695" t="s">
        <v>188</v>
      </c>
      <c r="E231" s="699">
        <f t="shared" ref="E231:O231" si="158">G117</f>
        <v>66.777600000000007</v>
      </c>
      <c r="F231" s="699">
        <f t="shared" si="158"/>
        <v>73.21287384</v>
      </c>
      <c r="G231" s="699">
        <f t="shared" si="158"/>
        <v>78.066311544000001</v>
      </c>
      <c r="H231" s="699">
        <f t="shared" si="158"/>
        <v>61.638661473172995</v>
      </c>
      <c r="I231" s="699">
        <f t="shared" si="158"/>
        <v>61.419844224943226</v>
      </c>
      <c r="J231" s="840">
        <f t="shared" si="158"/>
        <v>58.703770970681632</v>
      </c>
      <c r="K231" s="841">
        <f t="shared" si="158"/>
        <v>52.628055576856447</v>
      </c>
      <c r="L231" s="841">
        <f t="shared" si="158"/>
        <v>45.354573820158798</v>
      </c>
      <c r="M231" s="841">
        <f t="shared" si="158"/>
        <v>40.803333046453503</v>
      </c>
      <c r="N231" s="841">
        <f t="shared" si="158"/>
        <v>36.708800181907989</v>
      </c>
      <c r="O231" s="841">
        <f t="shared" si="158"/>
        <v>32.700039420970683</v>
      </c>
      <c r="P231" s="841">
        <f t="shared" ref="P231:Y231" si="159">R118</f>
        <v>28.57977427014983</v>
      </c>
      <c r="Q231" s="841">
        <f t="shared" si="159"/>
        <v>27.15078555664234</v>
      </c>
      <c r="R231" s="841">
        <f t="shared" si="159"/>
        <v>25.793246278810219</v>
      </c>
      <c r="S231" s="841">
        <f t="shared" si="159"/>
        <v>24.503583964869708</v>
      </c>
      <c r="T231" s="842">
        <f t="shared" si="159"/>
        <v>23.27840476662622</v>
      </c>
      <c r="U231" s="699">
        <f t="shared" si="159"/>
        <v>22.114484528294909</v>
      </c>
      <c r="V231" s="699">
        <f t="shared" si="159"/>
        <v>21.008760301880159</v>
      </c>
      <c r="W231" s="699">
        <f t="shared" si="159"/>
        <v>19.958322286786156</v>
      </c>
      <c r="X231" s="699">
        <f t="shared" si="159"/>
        <v>18.960406172446845</v>
      </c>
      <c r="Y231" s="699">
        <f t="shared" si="159"/>
        <v>18.012385863824502</v>
      </c>
      <c r="Z231" s="699"/>
      <c r="AA231" s="699"/>
    </row>
    <row r="232" spans="3:27" x14ac:dyDescent="0.15">
      <c r="C232" s="695" t="s">
        <v>189</v>
      </c>
      <c r="E232" s="699">
        <f t="shared" ref="E232:O232" si="160">G119</f>
        <v>5.5679999999999996</v>
      </c>
      <c r="F232" s="699">
        <f t="shared" si="160"/>
        <v>10.034928000000001</v>
      </c>
      <c r="G232" s="699">
        <f t="shared" si="160"/>
        <v>15.634944000000003</v>
      </c>
      <c r="H232" s="699">
        <f t="shared" si="160"/>
        <v>16.118063769599999</v>
      </c>
      <c r="I232" s="699">
        <f t="shared" si="160"/>
        <v>16.951711166207996</v>
      </c>
      <c r="J232" s="840">
        <f t="shared" si="160"/>
        <v>16.5279183870528</v>
      </c>
      <c r="K232" s="841">
        <f t="shared" si="160"/>
        <v>16.238152328522343</v>
      </c>
      <c r="L232" s="841">
        <f t="shared" si="160"/>
        <v>13.692712233781002</v>
      </c>
      <c r="M232" s="841">
        <f t="shared" si="160"/>
        <v>13.499918845529368</v>
      </c>
      <c r="N232" s="841">
        <f>P119</f>
        <v>10.918228115307445</v>
      </c>
      <c r="O232" s="841">
        <f t="shared" si="160"/>
        <v>8.9704162195365988</v>
      </c>
      <c r="P232" s="841">
        <f t="shared" ref="P232:Y232" si="161">R120</f>
        <v>7.4667878723814889</v>
      </c>
      <c r="Q232" s="841">
        <f t="shared" si="161"/>
        <v>7.0934484787624141</v>
      </c>
      <c r="R232" s="841">
        <f t="shared" si="161"/>
        <v>6.7387760548242923</v>
      </c>
      <c r="S232" s="841">
        <f t="shared" si="161"/>
        <v>6.4018372520830775</v>
      </c>
      <c r="T232" s="842">
        <f t="shared" si="161"/>
        <v>6.0817453894789235</v>
      </c>
      <c r="U232" s="699">
        <f t="shared" si="161"/>
        <v>5.7776581200049764</v>
      </c>
      <c r="V232" s="699">
        <f t="shared" si="161"/>
        <v>5.4887752140047272</v>
      </c>
      <c r="W232" s="699">
        <f t="shared" si="161"/>
        <v>5.2143364533044911</v>
      </c>
      <c r="X232" s="699">
        <f t="shared" si="161"/>
        <v>4.9536196306392668</v>
      </c>
      <c r="Y232" s="699">
        <f t="shared" si="161"/>
        <v>4.7059386491073028</v>
      </c>
      <c r="Z232" s="699"/>
      <c r="AA232" s="699"/>
    </row>
    <row r="233" spans="3:27" x14ac:dyDescent="0.15">
      <c r="C233" s="695" t="s">
        <v>190</v>
      </c>
      <c r="E233" s="699">
        <f t="shared" ref="E233:O233" si="162">G121</f>
        <v>6.9120000000000001E-2</v>
      </c>
      <c r="F233" s="699">
        <f t="shared" si="162"/>
        <v>0.2076192</v>
      </c>
      <c r="G233" s="699">
        <f t="shared" si="162"/>
        <v>0.55598400000000003</v>
      </c>
      <c r="H233" s="699">
        <f t="shared" si="162"/>
        <v>1.1480361984</v>
      </c>
      <c r="I233" s="699">
        <f t="shared" si="162"/>
        <v>2.98489411584</v>
      </c>
      <c r="J233" s="840">
        <f t="shared" si="162"/>
        <v>5.3736089337216013</v>
      </c>
      <c r="K233" s="841">
        <f t="shared" si="162"/>
        <v>7.7991125715809293</v>
      </c>
      <c r="L233" s="841">
        <f t="shared" si="162"/>
        <v>10.623656043450778</v>
      </c>
      <c r="M233" s="841">
        <f t="shared" si="162"/>
        <v>13.965433288478655</v>
      </c>
      <c r="N233" s="841">
        <f t="shared" si="162"/>
        <v>18.609393733479685</v>
      </c>
      <c r="O233" s="841">
        <f t="shared" si="162"/>
        <v>23.862190928816567</v>
      </c>
      <c r="P233" s="841">
        <f>R122</f>
        <v>27.189406873223628</v>
      </c>
      <c r="Q233" s="841">
        <f t="shared" ref="Q233:Y233" si="163">S122</f>
        <v>35.222640722130606</v>
      </c>
      <c r="R233" s="841">
        <f t="shared" si="163"/>
        <v>47.055246589721357</v>
      </c>
      <c r="S233" s="841">
        <f t="shared" si="163"/>
        <v>58.113229538305852</v>
      </c>
      <c r="T233" s="842">
        <f t="shared" si="163"/>
        <v>70.071144077918817</v>
      </c>
      <c r="U233" s="699">
        <f>W122</f>
        <v>66.567586874022865</v>
      </c>
      <c r="V233" s="699">
        <f t="shared" si="163"/>
        <v>63.239207530321721</v>
      </c>
      <c r="W233" s="699">
        <f t="shared" si="163"/>
        <v>60.077247153805629</v>
      </c>
      <c r="X233" s="699">
        <f t="shared" si="163"/>
        <v>57.073384796115349</v>
      </c>
      <c r="Y233" s="699">
        <f t="shared" si="163"/>
        <v>54.219715556309581</v>
      </c>
      <c r="Z233" s="699"/>
      <c r="AA233" s="699"/>
    </row>
    <row r="234" spans="3:27" ht="12" thickBot="1" x14ac:dyDescent="0.2">
      <c r="C234" s="695" t="s">
        <v>191</v>
      </c>
      <c r="E234" s="699">
        <f t="shared" ref="E234:O234" si="164">G123</f>
        <v>6.3948846218409015E-18</v>
      </c>
      <c r="F234" s="699">
        <f t="shared" si="164"/>
        <v>-1.072699199999978E-3</v>
      </c>
      <c r="G234" s="699">
        <f t="shared" si="164"/>
        <v>-2.3401872000000255E-4</v>
      </c>
      <c r="H234" s="699">
        <f t="shared" si="164"/>
        <v>-1.551483452712952E-3</v>
      </c>
      <c r="I234" s="699">
        <f t="shared" si="164"/>
        <v>-2.5906886269998347E-3</v>
      </c>
      <c r="J234" s="843">
        <f ca="1">SUM(J230:J234)</f>
        <v>0</v>
      </c>
      <c r="K234" s="844">
        <f t="shared" si="164"/>
        <v>0</v>
      </c>
      <c r="L234" s="844">
        <f t="shared" si="164"/>
        <v>0</v>
      </c>
      <c r="M234" s="844">
        <f t="shared" si="164"/>
        <v>3.6595993400360674E-3</v>
      </c>
      <c r="N234" s="844">
        <f t="shared" si="164"/>
        <v>5.013465863934528E-3</v>
      </c>
      <c r="O234" s="844">
        <f t="shared" si="164"/>
        <v>2.6513545476463167E-2</v>
      </c>
      <c r="P234" s="844">
        <f t="shared" ref="P234:Y234" si="165">R124</f>
        <v>0.16993379295764749</v>
      </c>
      <c r="Q234" s="844">
        <f t="shared" si="165"/>
        <v>0.69943693206129587</v>
      </c>
      <c r="R234" s="844">
        <f t="shared" si="165"/>
        <v>1.4051481262785452</v>
      </c>
      <c r="S234" s="844">
        <f t="shared" si="165"/>
        <v>2.9818396367830284</v>
      </c>
      <c r="T234" s="845">
        <f t="shared" si="165"/>
        <v>5.6002130224874191</v>
      </c>
      <c r="U234" s="699">
        <f t="shared" si="165"/>
        <v>11.715243975160533</v>
      </c>
      <c r="V234" s="699">
        <f t="shared" si="165"/>
        <v>20.062760699929861</v>
      </c>
      <c r="W234" s="699">
        <f t="shared" si="165"/>
        <v>31.627514187488465</v>
      </c>
      <c r="X234" s="699">
        <f t="shared" si="165"/>
        <v>47.809248394940688</v>
      </c>
      <c r="Y234" s="699">
        <f t="shared" si="165"/>
        <v>70.599418181664959</v>
      </c>
      <c r="Z234" s="699"/>
      <c r="AA234" s="699"/>
    </row>
    <row r="235" spans="3:27" x14ac:dyDescent="0.15">
      <c r="C235" s="695"/>
      <c r="E235" s="699"/>
      <c r="F235" s="699"/>
      <c r="G235" s="699"/>
      <c r="H235" s="699"/>
      <c r="I235" s="699"/>
      <c r="J235" s="702">
        <v>2015</v>
      </c>
      <c r="K235" s="702">
        <v>2016</v>
      </c>
      <c r="L235" s="702">
        <v>2017</v>
      </c>
      <c r="M235" s="702">
        <v>2018</v>
      </c>
      <c r="N235" s="702">
        <v>2019</v>
      </c>
      <c r="O235" s="702">
        <v>2020</v>
      </c>
      <c r="P235" s="702">
        <v>2021</v>
      </c>
      <c r="Q235" s="702">
        <v>2022</v>
      </c>
      <c r="R235" s="702">
        <v>2023</v>
      </c>
      <c r="S235" s="702">
        <v>2024</v>
      </c>
      <c r="T235" s="702">
        <v>2025</v>
      </c>
      <c r="U235" s="699"/>
      <c r="V235" s="699"/>
      <c r="W235" s="699"/>
      <c r="X235" s="699"/>
      <c r="Y235" s="699"/>
      <c r="Z235" s="699"/>
      <c r="AA235" s="699"/>
    </row>
    <row r="236" spans="3:27" x14ac:dyDescent="0.15">
      <c r="C236" s="695"/>
      <c r="E236" s="699"/>
      <c r="F236" s="699"/>
      <c r="G236" s="699"/>
      <c r="H236" s="699"/>
      <c r="I236" s="699"/>
      <c r="J236" s="699">
        <f>L128</f>
        <v>118.49840203827894</v>
      </c>
      <c r="K236" s="699">
        <f t="shared" ref="K236:S236" si="166">M128</f>
        <v>106.21998619193926</v>
      </c>
      <c r="L236" s="699">
        <f t="shared" si="166"/>
        <v>92.723581355074629</v>
      </c>
      <c r="M236" s="699">
        <f t="shared" si="166"/>
        <v>86.253403400795108</v>
      </c>
      <c r="N236" s="699">
        <f t="shared" si="166"/>
        <v>80.266661220934012</v>
      </c>
      <c r="O236" s="699">
        <f t="shared" si="166"/>
        <v>76.498836179812798</v>
      </c>
      <c r="P236" s="699">
        <f t="shared" si="166"/>
        <v>75.588095362486257</v>
      </c>
      <c r="Q236" s="699">
        <f t="shared" si="166"/>
        <v>84.337051607117758</v>
      </c>
      <c r="R236" s="699">
        <f t="shared" si="166"/>
        <v>98.967202908127732</v>
      </c>
      <c r="S236" s="699">
        <f t="shared" si="166"/>
        <v>115.51035851898419</v>
      </c>
      <c r="T236" s="699">
        <f>V128</f>
        <v>136.51391963567548</v>
      </c>
      <c r="U236" s="699"/>
      <c r="V236" s="699"/>
      <c r="W236" s="699"/>
      <c r="X236" s="699"/>
      <c r="Y236" s="699"/>
      <c r="Z236" s="699"/>
      <c r="AA236" s="699"/>
    </row>
    <row r="237" spans="3:27" x14ac:dyDescent="0.15">
      <c r="C237" s="695"/>
      <c r="E237" s="699"/>
      <c r="F237" s="699"/>
      <c r="G237" s="699"/>
      <c r="H237" s="699"/>
      <c r="I237" s="699"/>
      <c r="J237" s="699"/>
      <c r="K237" s="699"/>
      <c r="L237" s="699"/>
      <c r="M237" s="699"/>
      <c r="N237" s="699"/>
      <c r="O237" s="699"/>
      <c r="P237" s="699"/>
      <c r="Q237" s="699"/>
      <c r="R237" s="699"/>
      <c r="S237" s="699"/>
      <c r="T237" s="699"/>
      <c r="U237" s="699"/>
      <c r="V237" s="699"/>
      <c r="W237" s="699"/>
      <c r="X237" s="699"/>
      <c r="Y237" s="699"/>
      <c r="Z237" s="699"/>
      <c r="AA237" s="699"/>
    </row>
    <row r="238" spans="3:27" x14ac:dyDescent="0.15">
      <c r="E238" s="702">
        <v>2010</v>
      </c>
      <c r="F238" s="702">
        <v>2011</v>
      </c>
      <c r="G238" s="702">
        <v>2012</v>
      </c>
      <c r="H238" s="702">
        <v>2013</v>
      </c>
      <c r="I238" s="702">
        <v>2014</v>
      </c>
      <c r="J238" s="702">
        <v>2015</v>
      </c>
      <c r="K238" s="702">
        <v>2016</v>
      </c>
      <c r="L238" s="702">
        <v>2017</v>
      </c>
      <c r="M238" s="702">
        <v>2018</v>
      </c>
      <c r="N238" s="702">
        <v>2019</v>
      </c>
      <c r="O238" s="702">
        <v>2020</v>
      </c>
      <c r="P238" s="702">
        <v>2021</v>
      </c>
      <c r="Q238" s="702">
        <v>2022</v>
      </c>
      <c r="R238" s="702">
        <v>2023</v>
      </c>
      <c r="S238" s="702">
        <v>2024</v>
      </c>
      <c r="T238" s="702">
        <v>2025</v>
      </c>
      <c r="U238" s="702">
        <v>2026</v>
      </c>
      <c r="V238" s="702">
        <v>2027</v>
      </c>
      <c r="W238" s="702">
        <v>2028</v>
      </c>
      <c r="X238" s="702">
        <v>2029</v>
      </c>
      <c r="Y238" s="702">
        <v>2030</v>
      </c>
      <c r="Z238" s="699"/>
      <c r="AA238" s="699"/>
    </row>
    <row r="239" spans="3:27" x14ac:dyDescent="0.15">
      <c r="C239" s="695" t="s">
        <v>197</v>
      </c>
      <c r="E239" s="699">
        <f>G140</f>
        <v>262.47529411764697</v>
      </c>
      <c r="F239" s="699">
        <f>H140</f>
        <v>249.3515294117646</v>
      </c>
      <c r="G239" s="699">
        <f t="shared" ref="G239:X240" si="167">I140</f>
        <v>236.22776470588227</v>
      </c>
      <c r="H239" s="699">
        <f>J140</f>
        <v>212.60498823529406</v>
      </c>
      <c r="I239" s="699">
        <f t="shared" si="167"/>
        <v>191.34448941176467</v>
      </c>
      <c r="J239" s="699">
        <f t="shared" si="167"/>
        <v>172.21004047058821</v>
      </c>
      <c r="K239" s="699">
        <f t="shared" si="167"/>
        <v>154.9890364235294</v>
      </c>
      <c r="L239" s="699">
        <f t="shared" si="167"/>
        <v>139.49013278117647</v>
      </c>
      <c r="M239" s="699">
        <f t="shared" si="167"/>
        <v>125.54111950305881</v>
      </c>
      <c r="N239" s="699">
        <f t="shared" si="167"/>
        <v>112.98700755275294</v>
      </c>
      <c r="O239" s="699">
        <f>Q140</f>
        <v>101.68830679747765</v>
      </c>
      <c r="P239" s="699">
        <f t="shared" si="167"/>
        <v>91.519476117729894</v>
      </c>
      <c r="Q239" s="699">
        <f t="shared" si="167"/>
        <v>86.943502311843389</v>
      </c>
      <c r="R239" s="699">
        <f t="shared" si="167"/>
        <v>82.59632719625121</v>
      </c>
      <c r="S239" s="699">
        <f t="shared" si="167"/>
        <v>78.466510836438644</v>
      </c>
      <c r="T239" s="699">
        <f t="shared" si="167"/>
        <v>74.543185294616706</v>
      </c>
      <c r="U239" s="699">
        <f t="shared" si="167"/>
        <v>70.816026029885862</v>
      </c>
      <c r="V239" s="699">
        <f t="shared" si="167"/>
        <v>67.275224728391564</v>
      </c>
      <c r="W239" s="699">
        <f t="shared" si="167"/>
        <v>63.911463491971986</v>
      </c>
      <c r="X239" s="699">
        <f t="shared" si="167"/>
        <v>60.715890317373386</v>
      </c>
      <c r="Y239" s="699">
        <f>AA140</f>
        <v>57.680095801504706</v>
      </c>
      <c r="Z239" s="699"/>
      <c r="AA239" s="699"/>
    </row>
    <row r="240" spans="3:27" x14ac:dyDescent="0.15">
      <c r="C240" s="695" t="s">
        <v>188</v>
      </c>
      <c r="E240" s="699">
        <f>G141</f>
        <v>72.192000000000007</v>
      </c>
      <c r="F240" s="699">
        <f>H141</f>
        <v>84.484943999999999</v>
      </c>
      <c r="G240" s="699">
        <f t="shared" si="167"/>
        <v>97.380014399999993</v>
      </c>
      <c r="H240" s="699">
        <f>J141</f>
        <v>113.73985681919999</v>
      </c>
      <c r="I240" s="699">
        <f t="shared" si="167"/>
        <v>130.77240037787521</v>
      </c>
      <c r="J240" s="699">
        <f t="shared" si="167"/>
        <v>144.21860540244319</v>
      </c>
      <c r="K240" s="699">
        <f t="shared" si="167"/>
        <v>149.18340760544643</v>
      </c>
      <c r="L240" s="699">
        <f t="shared" si="167"/>
        <v>148.3447549356645</v>
      </c>
      <c r="M240" s="699">
        <f t="shared" si="167"/>
        <v>153.99075630851584</v>
      </c>
      <c r="N240" s="699">
        <f t="shared" si="167"/>
        <v>159.85164449361798</v>
      </c>
      <c r="O240" s="699">
        <f>Q141</f>
        <v>164.30209515509645</v>
      </c>
      <c r="P240" s="699">
        <f>R142</f>
        <v>176.73812771788806</v>
      </c>
      <c r="Q240" s="699">
        <f t="shared" ref="Q240:Y240" si="168">S142</f>
        <v>167.90122133199364</v>
      </c>
      <c r="R240" s="699">
        <f t="shared" si="168"/>
        <v>159.50616026539396</v>
      </c>
      <c r="S240" s="699">
        <f t="shared" si="168"/>
        <v>151.53085225212425</v>
      </c>
      <c r="T240" s="699">
        <f t="shared" si="168"/>
        <v>143.95430963951802</v>
      </c>
      <c r="U240" s="699">
        <f t="shared" si="168"/>
        <v>136.75659415754211</v>
      </c>
      <c r="V240" s="699">
        <f t="shared" si="168"/>
        <v>129.91876444966499</v>
      </c>
      <c r="W240" s="699">
        <f t="shared" si="168"/>
        <v>123.42282622718174</v>
      </c>
      <c r="X240" s="699">
        <f t="shared" si="168"/>
        <v>117.25168491582265</v>
      </c>
      <c r="Y240" s="699">
        <f t="shared" si="168"/>
        <v>111.38910067003151</v>
      </c>
      <c r="Z240" s="699"/>
      <c r="AA240" s="699"/>
    </row>
    <row r="241" spans="3:27" x14ac:dyDescent="0.15">
      <c r="C241" s="695" t="s">
        <v>189</v>
      </c>
      <c r="E241" s="699">
        <f>G143</f>
        <v>6.72</v>
      </c>
      <c r="F241" s="699">
        <f t="shared" ref="F241:O241" si="169">H143</f>
        <v>12.9276</v>
      </c>
      <c r="G241" s="699">
        <f t="shared" si="169"/>
        <v>21.772800000000004</v>
      </c>
      <c r="H241" s="699">
        <f t="shared" si="169"/>
        <v>33.203519999999997</v>
      </c>
      <c r="I241" s="699">
        <f t="shared" si="169"/>
        <v>40.293287999999997</v>
      </c>
      <c r="J241" s="699">
        <f t="shared" si="169"/>
        <v>45.329949000000013</v>
      </c>
      <c r="K241" s="699">
        <f t="shared" si="169"/>
        <v>51.386801760000019</v>
      </c>
      <c r="L241" s="699">
        <f t="shared" si="169"/>
        <v>49.997969280000007</v>
      </c>
      <c r="M241" s="699">
        <f t="shared" si="169"/>
        <v>56.877689852928022</v>
      </c>
      <c r="N241" s="699">
        <f t="shared" si="169"/>
        <v>53.07754919962926</v>
      </c>
      <c r="O241" s="699">
        <f t="shared" si="169"/>
        <v>50.317516641248559</v>
      </c>
      <c r="P241" s="699">
        <f>R144</f>
        <v>51.548620584384032</v>
      </c>
      <c r="Q241" s="699">
        <f t="shared" ref="Q241:Y241" si="170">S144</f>
        <v>48.971189555164827</v>
      </c>
      <c r="R241" s="699">
        <f t="shared" si="170"/>
        <v>46.522630077406582</v>
      </c>
      <c r="S241" s="699">
        <f t="shared" si="170"/>
        <v>44.196498573536246</v>
      </c>
      <c r="T241" s="699">
        <f t="shared" si="170"/>
        <v>41.986673644859437</v>
      </c>
      <c r="U241" s="699">
        <f t="shared" si="170"/>
        <v>39.887339962616458</v>
      </c>
      <c r="V241" s="699">
        <f t="shared" si="170"/>
        <v>37.892972964485637</v>
      </c>
      <c r="W241" s="699">
        <f t="shared" si="170"/>
        <v>35.998324316261353</v>
      </c>
      <c r="X241" s="699">
        <f t="shared" si="170"/>
        <v>34.198408100448283</v>
      </c>
      <c r="Y241" s="699">
        <f t="shared" si="170"/>
        <v>32.48848769542586</v>
      </c>
      <c r="Z241" s="699"/>
      <c r="AA241" s="699"/>
    </row>
    <row r="242" spans="3:27" x14ac:dyDescent="0.15">
      <c r="C242" s="695" t="s">
        <v>190</v>
      </c>
      <c r="E242" s="699">
        <f>G145</f>
        <v>0.15782400000000002</v>
      </c>
      <c r="F242" s="699">
        <f t="shared" ref="F242:O242" si="171">H145</f>
        <v>0.50602320000000001</v>
      </c>
      <c r="G242" s="699">
        <f t="shared" si="171"/>
        <v>1.4648040000000004</v>
      </c>
      <c r="H242" s="699">
        <f t="shared" si="171"/>
        <v>4.4743104000000011</v>
      </c>
      <c r="I242" s="699">
        <f t="shared" si="171"/>
        <v>13.422931199999999</v>
      </c>
      <c r="J242" s="699">
        <f t="shared" si="171"/>
        <v>27.882544140000011</v>
      </c>
      <c r="K242" s="699">
        <f t="shared" si="171"/>
        <v>46.693823436000024</v>
      </c>
      <c r="L242" s="699">
        <f t="shared" si="171"/>
        <v>73.389876336000015</v>
      </c>
      <c r="M242" s="699">
        <f t="shared" si="171"/>
        <v>111.31776442644484</v>
      </c>
      <c r="N242" s="699">
        <f t="shared" si="171"/>
        <v>171.15523722182496</v>
      </c>
      <c r="O242" s="699">
        <f t="shared" si="171"/>
        <v>253.23060415779378</v>
      </c>
      <c r="P242" s="699">
        <f>R146</f>
        <v>355.12581129447648</v>
      </c>
      <c r="Q242" s="699">
        <f t="shared" ref="Q242:Y242" si="172">S146</f>
        <v>490.71930287964028</v>
      </c>
      <c r="R242" s="699">
        <f t="shared" si="172"/>
        <v>699.27500660348744</v>
      </c>
      <c r="S242" s="699">
        <f t="shared" si="172"/>
        <v>921.17827536566062</v>
      </c>
      <c r="T242" s="693">
        <f t="shared" si="172"/>
        <v>1184.7769818549114</v>
      </c>
      <c r="U242" s="693">
        <f t="shared" si="172"/>
        <v>1125.5381327621658</v>
      </c>
      <c r="V242" s="693">
        <f t="shared" si="172"/>
        <v>1069.2612261240572</v>
      </c>
      <c r="W242" s="693">
        <f t="shared" si="172"/>
        <v>1015.7981648178544</v>
      </c>
      <c r="X242" s="693">
        <f t="shared" si="172"/>
        <v>965.00825657696157</v>
      </c>
      <c r="Y242" s="693">
        <f t="shared" si="172"/>
        <v>916.75784374811349</v>
      </c>
      <c r="Z242" s="699"/>
      <c r="AA242" s="699"/>
    </row>
    <row r="243" spans="3:27" x14ac:dyDescent="0.15">
      <c r="C243" s="695" t="s">
        <v>191</v>
      </c>
      <c r="E243" s="699">
        <f>G147</f>
        <v>1.4601653219870059E-17</v>
      </c>
      <c r="F243" s="699">
        <f t="shared" ref="F243:O243" si="173">H147</f>
        <v>-2.6144531999999464E-3</v>
      </c>
      <c r="G243" s="699">
        <f t="shared" si="173"/>
        <v>-6.1654932000000683E-4</v>
      </c>
      <c r="H243" s="699">
        <f t="shared" si="173"/>
        <v>-6.0466896057599692E-3</v>
      </c>
      <c r="I243" s="699">
        <f t="shared" si="173"/>
        <v>-1.1650207294222588E-2</v>
      </c>
      <c r="J243" s="699">
        <f t="shared" si="173"/>
        <v>1.3006624496632143E-2</v>
      </c>
      <c r="K243" s="699">
        <f t="shared" si="173"/>
        <v>0</v>
      </c>
      <c r="L243" s="699">
        <f t="shared" si="173"/>
        <v>0</v>
      </c>
      <c r="M243" s="699">
        <f t="shared" si="173"/>
        <v>2.9170481775555875E-2</v>
      </c>
      <c r="N243" s="699">
        <f t="shared" si="173"/>
        <v>4.6110096413376662E-2</v>
      </c>
      <c r="O243" s="699">
        <f t="shared" si="173"/>
        <v>0.28136733795310753</v>
      </c>
      <c r="P243" s="699">
        <f t="shared" ref="P243:Y243" si="174">R148</f>
        <v>2.2195363205904757</v>
      </c>
      <c r="Q243" s="699">
        <f t="shared" si="174"/>
        <v>9.744505144208043</v>
      </c>
      <c r="R243" s="699">
        <f t="shared" si="174"/>
        <v>20.881517715751201</v>
      </c>
      <c r="S243" s="699">
        <f t="shared" si="174"/>
        <v>47.26644717306884</v>
      </c>
      <c r="T243" s="693">
        <f t="shared" si="174"/>
        <v>94.689526906384188</v>
      </c>
      <c r="U243" s="693">
        <f t="shared" si="174"/>
        <v>211.28927872734883</v>
      </c>
      <c r="V243" s="693">
        <f t="shared" si="174"/>
        <v>385.96288132446898</v>
      </c>
      <c r="W243" s="693">
        <f t="shared" si="174"/>
        <v>649.00587710782986</v>
      </c>
      <c r="X243" s="693">
        <f t="shared" si="174"/>
        <v>1046.4638016797544</v>
      </c>
      <c r="Y243" s="693">
        <f t="shared" si="174"/>
        <v>1648.3223203780983</v>
      </c>
      <c r="Z243" s="699"/>
      <c r="AA243" s="699"/>
    </row>
    <row r="244" spans="3:27" x14ac:dyDescent="0.15">
      <c r="C244" s="695"/>
      <c r="E244" s="699"/>
      <c r="F244" s="699"/>
      <c r="G244" s="699"/>
      <c r="H244" s="699"/>
      <c r="I244" s="699"/>
      <c r="J244" s="699"/>
      <c r="K244" s="699"/>
      <c r="L244" s="699"/>
      <c r="M244" s="699"/>
      <c r="N244" s="699"/>
      <c r="O244" s="699"/>
      <c r="P244" s="699"/>
      <c r="Q244" s="699"/>
      <c r="R244" s="699"/>
      <c r="S244" s="699"/>
      <c r="T244" s="699"/>
      <c r="U244" s="699"/>
      <c r="V244" s="699"/>
      <c r="W244" s="699"/>
      <c r="X244" s="699"/>
      <c r="Y244" s="699"/>
      <c r="Z244" s="699"/>
      <c r="AA244" s="699"/>
    </row>
    <row r="245" spans="3:27" x14ac:dyDescent="0.15">
      <c r="C245" s="695"/>
      <c r="E245" s="699"/>
      <c r="F245" s="699"/>
      <c r="G245" s="699"/>
      <c r="H245" s="699"/>
      <c r="I245" s="699"/>
      <c r="J245" s="699"/>
      <c r="K245" s="699"/>
      <c r="L245" s="699"/>
      <c r="M245" s="699"/>
      <c r="N245" s="699"/>
      <c r="O245" s="699"/>
      <c r="P245" s="699"/>
      <c r="Q245" s="699"/>
      <c r="R245" s="699"/>
      <c r="S245" s="699"/>
      <c r="T245" s="699"/>
      <c r="U245" s="699"/>
      <c r="V245" s="699"/>
      <c r="W245" s="699"/>
      <c r="X245" s="699"/>
      <c r="Y245" s="699"/>
      <c r="Z245" s="699"/>
      <c r="AA245" s="699"/>
    </row>
    <row r="246" spans="3:27" x14ac:dyDescent="0.15">
      <c r="C246" s="695"/>
      <c r="E246" s="699"/>
      <c r="F246" s="699"/>
      <c r="G246" s="699"/>
      <c r="H246" s="699"/>
      <c r="I246" s="699"/>
      <c r="J246" s="699"/>
      <c r="K246" s="699"/>
      <c r="L246" s="699"/>
      <c r="M246" s="699"/>
      <c r="N246" s="699"/>
      <c r="O246" s="699"/>
      <c r="P246" s="699"/>
      <c r="Q246" s="699"/>
      <c r="R246" s="699"/>
      <c r="S246" s="699"/>
      <c r="T246" s="699"/>
      <c r="U246" s="699"/>
      <c r="V246" s="699"/>
      <c r="W246" s="699"/>
      <c r="X246" s="699"/>
      <c r="Y246" s="699"/>
      <c r="Z246" s="699"/>
      <c r="AA246" s="699"/>
    </row>
    <row r="247" spans="3:27" x14ac:dyDescent="0.15">
      <c r="C247" s="695"/>
      <c r="E247" s="699"/>
      <c r="F247" s="699"/>
      <c r="G247" s="699"/>
      <c r="H247" s="699"/>
      <c r="I247" s="699"/>
      <c r="J247" s="699"/>
      <c r="K247" s="699"/>
      <c r="L247" s="699"/>
      <c r="M247" s="699"/>
      <c r="N247" s="699"/>
      <c r="O247" s="699"/>
      <c r="P247" s="699"/>
      <c r="Q247" s="699"/>
      <c r="R247" s="699"/>
      <c r="S247" s="699"/>
      <c r="T247" s="699"/>
      <c r="U247" s="699"/>
      <c r="V247" s="699"/>
      <c r="W247" s="699"/>
      <c r="X247" s="699"/>
      <c r="Y247" s="699"/>
      <c r="Z247" s="699"/>
      <c r="AA247" s="699"/>
    </row>
    <row r="248" spans="3:27" x14ac:dyDescent="0.15">
      <c r="C248" s="695"/>
      <c r="E248" s="699"/>
      <c r="F248" s="699"/>
      <c r="G248" s="699"/>
      <c r="H248" s="699"/>
      <c r="I248" s="699"/>
      <c r="J248" s="699"/>
      <c r="K248" s="699"/>
      <c r="L248" s="699"/>
      <c r="M248" s="699"/>
      <c r="N248" s="699"/>
      <c r="O248" s="699"/>
      <c r="P248" s="699"/>
      <c r="Q248" s="699"/>
      <c r="R248" s="699"/>
      <c r="S248" s="699"/>
      <c r="T248" s="699"/>
      <c r="U248" s="699"/>
      <c r="V248" s="699"/>
      <c r="W248" s="699"/>
      <c r="X248" s="699"/>
      <c r="Y248" s="699"/>
      <c r="Z248" s="699"/>
      <c r="AA248" s="699"/>
    </row>
    <row r="249" spans="3:27" x14ac:dyDescent="0.15">
      <c r="C249" s="695"/>
      <c r="E249" s="699"/>
      <c r="F249" s="699"/>
      <c r="G249" s="699"/>
      <c r="H249" s="699"/>
      <c r="I249" s="699"/>
      <c r="J249" s="699"/>
      <c r="K249" s="699"/>
      <c r="L249" s="699"/>
      <c r="M249" s="699"/>
      <c r="N249" s="699"/>
      <c r="O249" s="699"/>
      <c r="P249" s="699"/>
      <c r="Q249" s="699"/>
      <c r="R249" s="699"/>
      <c r="S249" s="699"/>
      <c r="T249" s="699"/>
      <c r="U249" s="699"/>
      <c r="V249" s="699"/>
      <c r="W249" s="699"/>
      <c r="X249" s="699"/>
      <c r="Y249" s="699"/>
      <c r="Z249" s="699"/>
      <c r="AA249" s="699"/>
    </row>
    <row r="250" spans="3:27" x14ac:dyDescent="0.15">
      <c r="C250" s="695"/>
      <c r="E250" s="699"/>
      <c r="F250" s="699"/>
      <c r="G250" s="699"/>
      <c r="H250" s="699"/>
      <c r="I250" s="699"/>
      <c r="J250" s="699"/>
      <c r="K250" s="699"/>
      <c r="L250" s="699"/>
      <c r="M250" s="699"/>
      <c r="N250" s="699"/>
      <c r="O250" s="699"/>
      <c r="P250" s="699"/>
      <c r="Q250" s="699"/>
      <c r="R250" s="699"/>
      <c r="S250" s="699"/>
      <c r="T250" s="699"/>
      <c r="U250" s="699"/>
      <c r="V250" s="699"/>
      <c r="W250" s="699"/>
      <c r="X250" s="699"/>
      <c r="Y250" s="699"/>
      <c r="Z250" s="699"/>
      <c r="AA250" s="699"/>
    </row>
    <row r="251" spans="3:27" x14ac:dyDescent="0.15">
      <c r="C251" s="695"/>
      <c r="E251" s="699"/>
      <c r="F251" s="699"/>
      <c r="G251" s="699"/>
      <c r="H251" s="699"/>
      <c r="I251" s="699"/>
      <c r="J251" s="699"/>
      <c r="K251" s="699"/>
      <c r="L251" s="699"/>
      <c r="M251" s="699"/>
      <c r="N251" s="699"/>
      <c r="O251" s="699"/>
      <c r="P251" s="699"/>
      <c r="Q251" s="699"/>
      <c r="R251" s="699"/>
      <c r="S251" s="699"/>
      <c r="T251" s="699"/>
      <c r="U251" s="699"/>
      <c r="V251" s="699"/>
      <c r="W251" s="699"/>
      <c r="X251" s="699"/>
      <c r="Y251" s="699"/>
      <c r="Z251" s="699"/>
      <c r="AA251" s="699"/>
    </row>
    <row r="252" spans="3:27" x14ac:dyDescent="0.15">
      <c r="C252" s="695"/>
      <c r="E252" s="699"/>
      <c r="F252" s="699"/>
      <c r="G252" s="699"/>
      <c r="H252" s="699"/>
      <c r="I252" s="699"/>
      <c r="J252" s="699"/>
      <c r="K252" s="699"/>
      <c r="L252" s="699"/>
      <c r="M252" s="699"/>
      <c r="N252" s="699"/>
      <c r="O252" s="699"/>
      <c r="P252" s="699"/>
      <c r="Q252" s="699"/>
      <c r="R252" s="699"/>
      <c r="S252" s="699"/>
      <c r="T252" s="699"/>
      <c r="U252" s="699"/>
      <c r="V252" s="699"/>
      <c r="W252" s="699"/>
      <c r="X252" s="699"/>
      <c r="Y252" s="699"/>
      <c r="Z252" s="699"/>
      <c r="AA252" s="699"/>
    </row>
    <row r="253" spans="3:27" x14ac:dyDescent="0.15">
      <c r="C253" s="695"/>
      <c r="E253" s="699"/>
      <c r="F253" s="699"/>
      <c r="G253" s="699"/>
      <c r="H253" s="699"/>
      <c r="I253" s="699"/>
      <c r="J253" s="699"/>
      <c r="K253" s="699"/>
      <c r="L253" s="699"/>
      <c r="M253" s="699"/>
      <c r="N253" s="699"/>
      <c r="O253" s="699"/>
      <c r="P253" s="699"/>
      <c r="Q253" s="699"/>
      <c r="R253" s="699"/>
      <c r="S253" s="699"/>
      <c r="T253" s="699"/>
      <c r="U253" s="699"/>
      <c r="V253" s="699"/>
      <c r="W253" s="699"/>
      <c r="X253" s="699"/>
      <c r="Y253" s="699"/>
      <c r="Z253" s="699"/>
      <c r="AA253" s="699"/>
    </row>
    <row r="254" spans="3:27" x14ac:dyDescent="0.15">
      <c r="C254" s="695"/>
      <c r="E254" s="699"/>
      <c r="F254" s="699"/>
      <c r="G254" s="699"/>
      <c r="H254" s="699"/>
      <c r="I254" s="699"/>
      <c r="J254" s="699"/>
      <c r="K254" s="699"/>
      <c r="L254" s="699"/>
      <c r="M254" s="699"/>
      <c r="N254" s="699"/>
      <c r="O254" s="699"/>
      <c r="P254" s="699"/>
      <c r="Q254" s="699"/>
      <c r="R254" s="699"/>
      <c r="S254" s="699"/>
      <c r="T254" s="699"/>
      <c r="U254" s="699"/>
      <c r="V254" s="699"/>
      <c r="W254" s="699"/>
      <c r="X254" s="699"/>
      <c r="Y254" s="699"/>
      <c r="Z254" s="699"/>
      <c r="AA254" s="699"/>
    </row>
    <row r="255" spans="3:27" x14ac:dyDescent="0.15">
      <c r="C255" s="695"/>
      <c r="E255" s="699"/>
      <c r="F255" s="699"/>
      <c r="G255" s="699"/>
      <c r="H255" s="699"/>
      <c r="I255" s="699"/>
      <c r="J255" s="699"/>
      <c r="K255" s="699"/>
      <c r="L255" s="699"/>
      <c r="M255" s="699"/>
      <c r="N255" s="699"/>
      <c r="O255" s="699"/>
      <c r="P255" s="699"/>
      <c r="Q255" s="699"/>
      <c r="R255" s="699"/>
      <c r="S255" s="699"/>
      <c r="T255" s="699"/>
      <c r="U255" s="699"/>
      <c r="V255" s="699"/>
      <c r="W255" s="699"/>
      <c r="X255" s="699"/>
      <c r="Y255" s="699"/>
      <c r="Z255" s="699"/>
      <c r="AA255" s="699"/>
    </row>
    <row r="256" spans="3:27" x14ac:dyDescent="0.15">
      <c r="C256" s="695"/>
      <c r="E256" s="699"/>
      <c r="F256" s="699"/>
      <c r="G256" s="699"/>
      <c r="H256" s="699"/>
      <c r="I256" s="699"/>
      <c r="J256" s="699"/>
      <c r="K256" s="699"/>
      <c r="L256" s="699"/>
      <c r="M256" s="699"/>
      <c r="N256" s="699"/>
      <c r="O256" s="699"/>
      <c r="P256" s="699"/>
      <c r="Q256" s="699"/>
      <c r="R256" s="699"/>
      <c r="S256" s="699"/>
      <c r="T256" s="699"/>
      <c r="U256" s="699"/>
      <c r="V256" s="699"/>
      <c r="W256" s="699"/>
      <c r="X256" s="699"/>
      <c r="Y256" s="699"/>
      <c r="Z256" s="699"/>
      <c r="AA256" s="699"/>
    </row>
    <row r="257" spans="3:27" x14ac:dyDescent="0.15">
      <c r="C257" s="695"/>
      <c r="E257" s="699"/>
      <c r="F257" s="699"/>
      <c r="G257" s="699"/>
      <c r="H257" s="699"/>
      <c r="I257" s="699"/>
      <c r="J257" s="699"/>
      <c r="K257" s="699"/>
      <c r="L257" s="699"/>
      <c r="M257" s="699"/>
      <c r="N257" s="699"/>
      <c r="O257" s="699"/>
      <c r="P257" s="699"/>
      <c r="Q257" s="699"/>
      <c r="R257" s="699"/>
      <c r="S257" s="699"/>
      <c r="T257" s="699"/>
      <c r="U257" s="699"/>
      <c r="V257" s="699"/>
      <c r="W257" s="699"/>
      <c r="X257" s="699"/>
      <c r="Y257" s="699"/>
      <c r="Z257" s="699"/>
      <c r="AA257" s="699"/>
    </row>
    <row r="258" spans="3:27" x14ac:dyDescent="0.15">
      <c r="C258" s="695"/>
      <c r="E258" s="699"/>
      <c r="F258" s="699"/>
      <c r="G258" s="699"/>
      <c r="H258" s="699"/>
      <c r="I258" s="699"/>
      <c r="J258" s="699"/>
      <c r="K258" s="699"/>
      <c r="L258" s="699"/>
      <c r="M258" s="699"/>
      <c r="N258" s="699"/>
      <c r="O258" s="699"/>
      <c r="P258" s="699"/>
      <c r="Q258" s="699"/>
      <c r="R258" s="699"/>
      <c r="S258" s="699"/>
      <c r="T258" s="699"/>
      <c r="U258" s="699"/>
      <c r="V258" s="699"/>
      <c r="W258" s="699"/>
      <c r="X258" s="699"/>
      <c r="Y258" s="699"/>
      <c r="Z258" s="699"/>
      <c r="AA258" s="699"/>
    </row>
    <row r="259" spans="3:27" x14ac:dyDescent="0.15">
      <c r="C259" s="695"/>
      <c r="E259" s="699"/>
      <c r="F259" s="699"/>
      <c r="G259" s="699"/>
      <c r="H259" s="699"/>
      <c r="I259" s="699"/>
      <c r="J259" s="699"/>
      <c r="K259" s="699"/>
      <c r="L259" s="699"/>
      <c r="M259" s="699"/>
      <c r="N259" s="699"/>
      <c r="O259" s="699"/>
      <c r="P259" s="699"/>
      <c r="Q259" s="699"/>
      <c r="R259" s="699"/>
      <c r="S259" s="699"/>
      <c r="T259" s="699"/>
      <c r="U259" s="699"/>
      <c r="V259" s="699"/>
      <c r="W259" s="699"/>
      <c r="X259" s="699"/>
      <c r="Y259" s="699"/>
      <c r="Z259" s="699"/>
      <c r="AA259" s="699"/>
    </row>
    <row r="260" spans="3:27" x14ac:dyDescent="0.15">
      <c r="C260" s="695"/>
      <c r="E260" s="699"/>
      <c r="F260" s="699"/>
      <c r="G260" s="699"/>
      <c r="H260" s="699"/>
      <c r="I260" s="699"/>
      <c r="J260" s="699"/>
      <c r="K260" s="699"/>
      <c r="L260" s="699"/>
      <c r="M260" s="699"/>
      <c r="N260" s="699"/>
      <c r="O260" s="699"/>
      <c r="P260" s="699"/>
      <c r="Q260" s="699"/>
      <c r="R260" s="699"/>
      <c r="S260" s="699"/>
      <c r="T260" s="699"/>
      <c r="U260" s="699"/>
      <c r="V260" s="699"/>
      <c r="W260" s="699"/>
      <c r="X260" s="699"/>
      <c r="Y260" s="699"/>
      <c r="Z260" s="699"/>
      <c r="AA260" s="699"/>
    </row>
    <row r="261" spans="3:27" x14ac:dyDescent="0.15">
      <c r="C261" s="695" t="s">
        <v>170</v>
      </c>
      <c r="E261" s="699">
        <v>10</v>
      </c>
      <c r="F261" s="699"/>
      <c r="G261" s="699"/>
      <c r="H261" s="699"/>
      <c r="I261" s="699"/>
      <c r="J261" s="699"/>
      <c r="K261" s="699"/>
      <c r="L261" s="699"/>
      <c r="M261" s="699"/>
      <c r="N261" s="699"/>
      <c r="O261" s="699"/>
      <c r="P261" s="699"/>
      <c r="Q261" s="699"/>
      <c r="R261" s="699"/>
      <c r="S261" s="699"/>
      <c r="T261" s="699"/>
      <c r="U261" s="699"/>
      <c r="V261" s="699"/>
      <c r="W261" s="699"/>
      <c r="X261" s="699"/>
      <c r="Y261" s="699"/>
      <c r="Z261" s="699"/>
      <c r="AA261" s="699"/>
    </row>
    <row r="262" spans="3:27" x14ac:dyDescent="0.15">
      <c r="C262" s="695" t="s">
        <v>171</v>
      </c>
      <c r="E262" s="699">
        <v>20</v>
      </c>
      <c r="F262" s="699"/>
      <c r="G262" s="699"/>
      <c r="H262" s="699"/>
      <c r="I262" s="699"/>
      <c r="J262" s="699"/>
      <c r="K262" s="699"/>
      <c r="L262" s="699"/>
      <c r="M262" s="699"/>
      <c r="N262" s="699"/>
      <c r="O262" s="699"/>
      <c r="P262" s="699"/>
      <c r="Q262" s="699"/>
      <c r="R262" s="699"/>
      <c r="S262" s="699"/>
      <c r="T262" s="699"/>
      <c r="U262" s="699"/>
      <c r="V262" s="699"/>
      <c r="W262" s="699"/>
      <c r="X262" s="699"/>
      <c r="Y262" s="699"/>
      <c r="Z262" s="699"/>
      <c r="AA262" s="699"/>
    </row>
    <row r="263" spans="3:27" x14ac:dyDescent="0.15">
      <c r="C263" s="695" t="s">
        <v>172</v>
      </c>
      <c r="E263" s="699">
        <v>30</v>
      </c>
      <c r="F263" s="699"/>
      <c r="G263" s="699"/>
      <c r="H263" s="699"/>
      <c r="I263" s="699"/>
      <c r="J263" s="699"/>
      <c r="K263" s="699"/>
      <c r="L263" s="699"/>
      <c r="M263" s="699"/>
      <c r="N263" s="699"/>
      <c r="O263" s="699"/>
      <c r="P263" s="699"/>
      <c r="Q263" s="699"/>
      <c r="R263" s="699"/>
      <c r="S263" s="699"/>
      <c r="T263" s="699"/>
      <c r="U263" s="699"/>
      <c r="V263" s="699"/>
      <c r="W263" s="699"/>
      <c r="X263" s="699"/>
      <c r="Y263" s="699"/>
      <c r="Z263" s="699"/>
      <c r="AA263" s="699"/>
    </row>
    <row r="264" spans="3:27" x14ac:dyDescent="0.15">
      <c r="C264" s="695" t="s">
        <v>173</v>
      </c>
      <c r="E264" s="699">
        <v>40</v>
      </c>
      <c r="F264" s="699"/>
      <c r="G264" s="699"/>
      <c r="H264" s="699"/>
      <c r="I264" s="699"/>
      <c r="J264" s="699"/>
      <c r="K264" s="699"/>
      <c r="L264" s="699"/>
      <c r="M264" s="699"/>
      <c r="N264" s="699"/>
      <c r="O264" s="699"/>
      <c r="P264" s="699"/>
      <c r="Q264" s="699"/>
      <c r="R264" s="699"/>
      <c r="S264" s="699"/>
      <c r="T264" s="699"/>
      <c r="U264" s="699"/>
      <c r="V264" s="699"/>
      <c r="W264" s="699"/>
      <c r="X264" s="699"/>
      <c r="Y264" s="699"/>
      <c r="Z264" s="699"/>
      <c r="AA264" s="699"/>
    </row>
    <row r="265" spans="3:27" x14ac:dyDescent="0.15">
      <c r="C265" s="695" t="s">
        <v>174</v>
      </c>
      <c r="E265" s="699">
        <v>50</v>
      </c>
      <c r="F265" s="699"/>
      <c r="G265" s="699"/>
      <c r="H265" s="699"/>
      <c r="I265" s="699"/>
      <c r="J265" s="699"/>
      <c r="K265" s="699"/>
      <c r="L265" s="699"/>
      <c r="M265" s="699"/>
      <c r="N265" s="699"/>
      <c r="O265" s="699"/>
      <c r="P265" s="699"/>
      <c r="Q265" s="699"/>
      <c r="R265" s="699"/>
      <c r="S265" s="699"/>
      <c r="T265" s="699"/>
      <c r="U265" s="699"/>
      <c r="V265" s="699"/>
      <c r="W265" s="699"/>
      <c r="X265" s="699"/>
      <c r="Y265" s="699"/>
      <c r="Z265" s="699"/>
      <c r="AA265" s="699"/>
    </row>
    <row r="266" spans="3:27" x14ac:dyDescent="0.15">
      <c r="C266" s="695" t="s">
        <v>175</v>
      </c>
      <c r="E266" s="699">
        <v>60</v>
      </c>
      <c r="F266" s="699"/>
      <c r="G266" s="699"/>
      <c r="H266" s="699"/>
      <c r="I266" s="699"/>
      <c r="J266" s="699"/>
      <c r="K266" s="699"/>
      <c r="L266" s="699"/>
      <c r="M266" s="699"/>
      <c r="N266" s="699"/>
      <c r="O266" s="699"/>
      <c r="P266" s="699"/>
      <c r="Q266" s="699"/>
      <c r="R266" s="699"/>
      <c r="S266" s="699"/>
      <c r="T266" s="699"/>
      <c r="U266" s="699"/>
      <c r="V266" s="699"/>
      <c r="W266" s="699"/>
      <c r="X266" s="699"/>
      <c r="Y266" s="699"/>
      <c r="Z266" s="699"/>
      <c r="AA266" s="699"/>
    </row>
    <row r="267" spans="3:27" x14ac:dyDescent="0.15">
      <c r="C267" s="695"/>
      <c r="E267" s="699"/>
      <c r="F267" s="699"/>
      <c r="G267" s="699"/>
      <c r="H267" s="699"/>
      <c r="I267" s="699"/>
      <c r="J267" s="699"/>
      <c r="K267" s="699"/>
      <c r="L267" s="699"/>
      <c r="M267" s="699"/>
      <c r="N267" s="699"/>
      <c r="O267" s="699"/>
      <c r="P267" s="699"/>
      <c r="Q267" s="699"/>
      <c r="R267" s="699"/>
      <c r="S267" s="699"/>
      <c r="T267" s="699"/>
      <c r="U267" s="699"/>
      <c r="V267" s="699"/>
      <c r="W267" s="699"/>
      <c r="X267" s="699"/>
      <c r="Y267" s="699"/>
      <c r="Z267" s="699"/>
      <c r="AA267" s="699"/>
    </row>
    <row r="268" spans="3:27" x14ac:dyDescent="0.15">
      <c r="C268" s="695" t="s">
        <v>176</v>
      </c>
      <c r="E268" s="846">
        <f>1/8*1/2^60</f>
        <v>1.0842021724855044E-19</v>
      </c>
      <c r="F268" s="694" t="s">
        <v>180</v>
      </c>
      <c r="G268" s="699"/>
      <c r="H268" s="699"/>
      <c r="I268" s="699"/>
      <c r="J268" s="699"/>
      <c r="K268" s="699"/>
      <c r="L268" s="699"/>
      <c r="M268" s="699"/>
      <c r="N268" s="699"/>
      <c r="O268" s="699"/>
      <c r="P268" s="699"/>
      <c r="Q268" s="699"/>
      <c r="R268" s="699"/>
      <c r="S268" s="699"/>
      <c r="T268" s="699"/>
      <c r="U268" s="699"/>
      <c r="V268" s="699"/>
      <c r="W268" s="699"/>
      <c r="X268" s="699"/>
      <c r="Y268" s="699"/>
      <c r="Z268" s="699"/>
      <c r="AA268" s="699"/>
    </row>
    <row r="269" spans="3:27" x14ac:dyDescent="0.15">
      <c r="C269" s="695" t="s">
        <v>177</v>
      </c>
      <c r="E269" s="846">
        <f>1/1000000*1/3.6*1/1000000000</f>
        <v>2.7777777777777775E-16</v>
      </c>
      <c r="F269" s="699" t="s">
        <v>90</v>
      </c>
      <c r="G269" s="699"/>
      <c r="H269" s="699"/>
      <c r="I269" s="699"/>
      <c r="J269" s="699"/>
      <c r="K269" s="699"/>
      <c r="L269" s="699"/>
      <c r="M269" s="699"/>
      <c r="N269" s="699"/>
      <c r="O269" s="699"/>
      <c r="P269" s="699"/>
      <c r="Q269" s="699"/>
      <c r="R269" s="699"/>
      <c r="S269" s="699"/>
      <c r="T269" s="699"/>
      <c r="U269" s="699"/>
      <c r="V269" s="699"/>
      <c r="W269" s="699"/>
      <c r="X269" s="699"/>
      <c r="Y269" s="699"/>
      <c r="Z269" s="699"/>
      <c r="AA269" s="699"/>
    </row>
    <row r="270" spans="3:27" x14ac:dyDescent="0.15">
      <c r="C270" s="695"/>
      <c r="E270" s="699"/>
      <c r="F270" s="699"/>
      <c r="G270" s="699"/>
      <c r="H270" s="699"/>
      <c r="I270" s="699"/>
      <c r="J270" s="699"/>
      <c r="K270" s="699"/>
      <c r="L270" s="699"/>
      <c r="M270" s="699"/>
      <c r="N270" s="699"/>
      <c r="O270" s="699"/>
      <c r="P270" s="699"/>
      <c r="Q270" s="699"/>
      <c r="R270" s="699"/>
      <c r="S270" s="699"/>
      <c r="T270" s="699"/>
      <c r="U270" s="699"/>
      <c r="V270" s="699"/>
      <c r="W270" s="699"/>
      <c r="X270" s="699"/>
      <c r="Y270" s="699"/>
      <c r="Z270" s="699"/>
      <c r="AA270" s="699"/>
    </row>
    <row r="271" spans="3:27" x14ac:dyDescent="0.15">
      <c r="C271" s="695" t="s">
        <v>178</v>
      </c>
      <c r="E271" s="847">
        <f>E268/E269</f>
        <v>3.9031278209478165E-4</v>
      </c>
      <c r="F271" s="699" t="s">
        <v>182</v>
      </c>
      <c r="G271" s="699"/>
      <c r="H271" s="699"/>
      <c r="I271" s="699"/>
      <c r="J271" s="699"/>
      <c r="K271" s="699"/>
      <c r="L271" s="699"/>
      <c r="M271" s="699"/>
      <c r="N271" s="699"/>
      <c r="O271" s="699"/>
      <c r="P271" s="699"/>
      <c r="Q271" s="699"/>
      <c r="R271" s="699"/>
      <c r="S271" s="699"/>
      <c r="T271" s="699"/>
      <c r="U271" s="699"/>
      <c r="V271" s="699"/>
      <c r="W271" s="699"/>
      <c r="X271" s="699"/>
      <c r="Y271" s="699"/>
      <c r="Z271" s="699"/>
      <c r="AA271" s="699"/>
    </row>
    <row r="272" spans="3:27" x14ac:dyDescent="0.15">
      <c r="C272" s="695" t="s">
        <v>179</v>
      </c>
      <c r="E272" s="699">
        <f>1/E271</f>
        <v>2562.0477880152152</v>
      </c>
      <c r="F272" s="699" t="s">
        <v>181</v>
      </c>
      <c r="G272" s="699"/>
      <c r="H272" s="699"/>
      <c r="I272" s="699"/>
      <c r="J272" s="699"/>
      <c r="K272" s="699"/>
      <c r="L272" s="699"/>
      <c r="M272" s="699"/>
      <c r="N272" s="699"/>
      <c r="O272" s="699"/>
      <c r="P272" s="699"/>
      <c r="Q272" s="699"/>
      <c r="R272" s="699"/>
      <c r="S272" s="699"/>
      <c r="T272" s="699"/>
      <c r="U272" s="699"/>
      <c r="V272" s="699"/>
      <c r="W272" s="699"/>
      <c r="X272" s="699"/>
      <c r="Y272" s="699"/>
      <c r="Z272" s="699"/>
      <c r="AA272" s="699"/>
    </row>
    <row r="273" spans="3:28" x14ac:dyDescent="0.15">
      <c r="C273" s="695"/>
      <c r="E273" s="699"/>
      <c r="F273" s="699"/>
      <c r="G273" s="699"/>
      <c r="H273" s="699"/>
      <c r="I273" s="699"/>
      <c r="J273" s="699"/>
      <c r="K273" s="699"/>
      <c r="L273" s="699"/>
      <c r="M273" s="699"/>
      <c r="N273" s="699"/>
      <c r="O273" s="699"/>
      <c r="P273" s="699"/>
      <c r="Q273" s="699"/>
      <c r="R273" s="699"/>
      <c r="S273" s="699"/>
      <c r="T273" s="699"/>
      <c r="U273" s="699"/>
      <c r="V273" s="699"/>
      <c r="W273" s="699"/>
      <c r="X273" s="699"/>
      <c r="Y273" s="699"/>
      <c r="Z273" s="699"/>
      <c r="AA273" s="699"/>
    </row>
    <row r="274" spans="3:28" x14ac:dyDescent="0.15">
      <c r="C274" s="695"/>
      <c r="E274" s="699"/>
      <c r="F274" s="699"/>
      <c r="G274" s="699"/>
      <c r="H274" s="699"/>
      <c r="I274" s="699"/>
      <c r="J274" s="699"/>
      <c r="K274" s="699"/>
      <c r="L274" s="699"/>
      <c r="M274" s="699"/>
      <c r="N274" s="699"/>
      <c r="O274" s="699"/>
      <c r="P274" s="699"/>
      <c r="Q274" s="699"/>
      <c r="R274" s="699"/>
      <c r="S274" s="699"/>
      <c r="T274" s="699"/>
      <c r="U274" s="699"/>
      <c r="V274" s="699"/>
      <c r="W274" s="699"/>
      <c r="X274" s="699"/>
      <c r="Y274" s="699"/>
      <c r="Z274" s="699"/>
      <c r="AA274" s="699"/>
    </row>
    <row r="275" spans="3:28" x14ac:dyDescent="0.15">
      <c r="C275" s="695" t="s">
        <v>183</v>
      </c>
      <c r="E275" s="846">
        <f>1000/1000000000000</f>
        <v>1.0000000000000001E-9</v>
      </c>
      <c r="F275" s="699" t="s">
        <v>90</v>
      </c>
      <c r="G275" s="699"/>
      <c r="H275" s="699"/>
      <c r="I275" s="699"/>
      <c r="J275" s="699"/>
      <c r="K275" s="699"/>
      <c r="L275" s="699"/>
      <c r="M275" s="699" t="s">
        <v>241</v>
      </c>
      <c r="N275" s="699"/>
      <c r="O275" s="699"/>
      <c r="P275" s="699"/>
      <c r="Q275" s="699"/>
      <c r="R275" s="699"/>
      <c r="S275" s="699"/>
      <c r="T275" s="699"/>
      <c r="U275" s="699"/>
      <c r="V275" s="699"/>
      <c r="W275" s="699"/>
      <c r="X275" s="699"/>
      <c r="Y275" s="699"/>
      <c r="Z275" s="699"/>
      <c r="AA275" s="699"/>
    </row>
    <row r="276" spans="3:28" x14ac:dyDescent="0.15">
      <c r="C276" s="695" t="s">
        <v>184</v>
      </c>
      <c r="E276" s="846">
        <f>2^40/2^60</f>
        <v>9.5367431640625E-7</v>
      </c>
      <c r="F276" s="699" t="s">
        <v>42</v>
      </c>
      <c r="G276" s="699"/>
      <c r="H276" s="699"/>
      <c r="I276" s="699"/>
      <c r="J276" s="699"/>
      <c r="K276" s="699"/>
      <c r="L276" s="699"/>
      <c r="M276" s="699"/>
      <c r="N276" s="699"/>
      <c r="O276" s="699"/>
      <c r="P276" s="699"/>
      <c r="Q276" s="699"/>
      <c r="R276" s="699"/>
      <c r="S276" s="699"/>
      <c r="T276" s="699"/>
      <c r="U276" s="699"/>
      <c r="V276" s="699"/>
      <c r="W276" s="699"/>
      <c r="X276" s="699"/>
      <c r="Y276" s="699"/>
      <c r="Z276" s="699"/>
      <c r="AA276" s="699"/>
    </row>
    <row r="277" spans="3:28" x14ac:dyDescent="0.15">
      <c r="C277" s="695"/>
      <c r="E277" s="699"/>
      <c r="F277" s="699"/>
      <c r="G277" s="699"/>
      <c r="H277" s="699"/>
      <c r="I277" s="699"/>
      <c r="J277" s="699" t="s">
        <v>240</v>
      </c>
      <c r="K277" s="699"/>
      <c r="L277" s="699"/>
      <c r="M277" s="699"/>
      <c r="N277" s="699"/>
      <c r="O277" s="699"/>
      <c r="P277" s="699"/>
      <c r="Q277" s="699"/>
      <c r="R277" s="699"/>
      <c r="T277" s="699"/>
      <c r="U277" s="699"/>
      <c r="V277" s="699"/>
      <c r="W277" s="699"/>
      <c r="X277" s="699"/>
      <c r="Y277" s="699"/>
      <c r="Z277" s="699"/>
      <c r="AA277" s="699"/>
      <c r="AB277" s="699" t="s">
        <v>242</v>
      </c>
    </row>
    <row r="278" spans="3:28" x14ac:dyDescent="0.15">
      <c r="C278" s="695"/>
      <c r="E278" s="699"/>
      <c r="F278" s="699"/>
      <c r="G278" s="699"/>
      <c r="H278" s="699"/>
      <c r="I278" s="699"/>
      <c r="J278" s="699"/>
      <c r="K278" s="699"/>
      <c r="L278" s="699"/>
      <c r="M278" s="699"/>
      <c r="N278" s="699"/>
      <c r="O278" s="699"/>
      <c r="P278" s="699"/>
      <c r="Q278" s="699"/>
      <c r="R278" s="699"/>
      <c r="S278" s="699"/>
      <c r="T278" s="699"/>
      <c r="U278" s="699"/>
      <c r="V278" s="699"/>
      <c r="W278" s="699"/>
      <c r="X278" s="699"/>
      <c r="Y278" s="699"/>
      <c r="Z278" s="699"/>
      <c r="AA278" s="699"/>
    </row>
    <row r="279" spans="3:28" x14ac:dyDescent="0.15">
      <c r="C279" s="695"/>
      <c r="E279" s="699"/>
      <c r="F279" s="699"/>
      <c r="G279" s="699"/>
      <c r="H279" s="699"/>
      <c r="I279" s="699"/>
      <c r="J279" s="699"/>
      <c r="K279" s="699"/>
      <c r="L279" s="699"/>
      <c r="M279" s="699"/>
      <c r="N279" s="699"/>
      <c r="O279" s="699"/>
      <c r="P279" s="699"/>
      <c r="Q279" s="699"/>
      <c r="R279" s="699"/>
      <c r="S279" s="699"/>
      <c r="T279" s="699"/>
      <c r="U279" s="699"/>
      <c r="V279" s="699"/>
      <c r="W279" s="699"/>
      <c r="X279" s="699"/>
      <c r="Y279" s="699"/>
      <c r="Z279" s="699"/>
      <c r="AA279" s="699"/>
    </row>
    <row r="280" spans="3:28" x14ac:dyDescent="0.15">
      <c r="C280" s="695"/>
      <c r="E280" s="699"/>
      <c r="F280" s="699"/>
      <c r="G280" s="699"/>
      <c r="H280" s="699"/>
      <c r="I280" s="699"/>
      <c r="J280" s="699"/>
      <c r="K280" s="699"/>
      <c r="L280" s="699"/>
      <c r="M280" s="699"/>
      <c r="N280" s="699"/>
      <c r="O280" s="699"/>
      <c r="P280" s="699"/>
      <c r="Q280" s="699"/>
      <c r="R280" s="699"/>
      <c r="S280" s="699"/>
      <c r="T280" s="699"/>
      <c r="U280" s="699"/>
      <c r="V280" s="699"/>
      <c r="W280" s="699"/>
      <c r="X280" s="699"/>
      <c r="Y280" s="699"/>
      <c r="Z280" s="699"/>
      <c r="AA280" s="699"/>
    </row>
    <row r="281" spans="3:28" x14ac:dyDescent="0.15">
      <c r="G281" s="699"/>
      <c r="H281" s="699"/>
      <c r="I281" s="839"/>
      <c r="J281" s="699"/>
      <c r="K281" s="699"/>
      <c r="L281" s="699"/>
      <c r="M281" s="699"/>
      <c r="N281" s="699"/>
      <c r="O281" s="699"/>
      <c r="P281" s="699"/>
      <c r="Q281" s="699"/>
      <c r="R281" s="699"/>
      <c r="S281" s="699"/>
      <c r="T281" s="699"/>
      <c r="U281" s="699"/>
      <c r="V281" s="699"/>
      <c r="W281" s="699"/>
      <c r="X281" s="699"/>
      <c r="Y281" s="699"/>
      <c r="Z281" s="699"/>
      <c r="AA281" s="699"/>
    </row>
    <row r="282" spans="3:28" x14ac:dyDescent="0.15">
      <c r="G282" s="699"/>
      <c r="H282" s="699"/>
      <c r="I282" s="839"/>
      <c r="J282" s="699"/>
      <c r="K282" s="699"/>
      <c r="L282" s="699"/>
      <c r="M282" s="699"/>
      <c r="N282" s="699"/>
      <c r="O282" s="699"/>
      <c r="P282" s="699"/>
      <c r="Q282" s="699"/>
      <c r="R282" s="699"/>
      <c r="S282" s="699"/>
      <c r="T282" s="699"/>
      <c r="U282" s="699"/>
      <c r="V282" s="699"/>
      <c r="W282" s="699"/>
      <c r="X282" s="699"/>
      <c r="Y282" s="699"/>
      <c r="Z282" s="699"/>
      <c r="AA282" s="699"/>
    </row>
    <row r="283" spans="3:28" x14ac:dyDescent="0.15">
      <c r="G283" s="699"/>
      <c r="H283" s="699"/>
      <c r="I283" s="699"/>
      <c r="J283" s="699"/>
      <c r="K283" s="699"/>
      <c r="L283" s="699"/>
      <c r="M283" s="699"/>
      <c r="N283" s="699"/>
      <c r="O283" s="699"/>
      <c r="P283" s="699"/>
      <c r="Q283" s="699"/>
      <c r="R283" s="699"/>
      <c r="S283" s="699"/>
      <c r="T283" s="699"/>
      <c r="U283" s="699"/>
      <c r="V283" s="699"/>
      <c r="W283" s="699"/>
      <c r="X283" s="699"/>
      <c r="Y283" s="699"/>
      <c r="Z283" s="699"/>
      <c r="AA283" s="699"/>
    </row>
    <row r="289" spans="4:25" x14ac:dyDescent="0.15">
      <c r="E289" s="702">
        <v>2010</v>
      </c>
      <c r="F289" s="702">
        <v>2011</v>
      </c>
      <c r="G289" s="702">
        <v>2012</v>
      </c>
      <c r="H289" s="702">
        <v>2013</v>
      </c>
      <c r="I289" s="702">
        <v>2014</v>
      </c>
      <c r="J289" s="848">
        <v>2015</v>
      </c>
      <c r="K289" s="848">
        <v>2016</v>
      </c>
      <c r="L289" s="848">
        <v>2017</v>
      </c>
      <c r="M289" s="848">
        <v>2018</v>
      </c>
      <c r="N289" s="848">
        <v>2019</v>
      </c>
      <c r="O289" s="848">
        <v>2020</v>
      </c>
      <c r="P289" s="848">
        <v>2021</v>
      </c>
      <c r="Q289" s="848">
        <v>2022</v>
      </c>
      <c r="R289" s="848">
        <v>2023</v>
      </c>
      <c r="S289" s="848">
        <v>2024</v>
      </c>
      <c r="T289" s="848">
        <v>2025</v>
      </c>
      <c r="U289" s="702">
        <v>2026</v>
      </c>
      <c r="V289" s="702">
        <v>2027</v>
      </c>
      <c r="W289" s="702">
        <v>2028</v>
      </c>
      <c r="X289" s="702">
        <v>2029</v>
      </c>
      <c r="Y289" s="702">
        <v>2030</v>
      </c>
    </row>
    <row r="290" spans="4:25" x14ac:dyDescent="0.15">
      <c r="D290" s="694" t="s">
        <v>247</v>
      </c>
      <c r="E290" s="693">
        <f>G171</f>
        <v>162</v>
      </c>
      <c r="F290" s="693">
        <f t="shared" ref="F290:Y290" si="175">H171</f>
        <v>178</v>
      </c>
      <c r="G290" s="693">
        <f t="shared" si="175"/>
        <v>196.24</v>
      </c>
      <c r="H290" s="693">
        <f>J171</f>
        <v>189.65969702127663</v>
      </c>
      <c r="I290" s="693">
        <f t="shared" si="175"/>
        <v>184.08601338553194</v>
      </c>
      <c r="J290" s="849">
        <f>L171</f>
        <v>179.44746869781792</v>
      </c>
      <c r="K290" s="849">
        <f t="shared" si="175"/>
        <v>178.3749784510639</v>
      </c>
      <c r="L290" s="849">
        <f t="shared" si="175"/>
        <v>175.48403824422135</v>
      </c>
      <c r="M290" s="849">
        <f t="shared" si="175"/>
        <v>173.35974309145502</v>
      </c>
      <c r="N290" s="849">
        <f t="shared" si="175"/>
        <v>171.95511792064113</v>
      </c>
      <c r="O290" s="849">
        <f t="shared" si="175"/>
        <v>171.22814105370821</v>
      </c>
      <c r="P290" s="849">
        <f t="shared" si="175"/>
        <v>171.14134109146875</v>
      </c>
      <c r="Q290" s="849">
        <f t="shared" si="175"/>
        <v>203.84794881841188</v>
      </c>
      <c r="R290" s="849">
        <f t="shared" si="175"/>
        <v>243.61714594453386</v>
      </c>
      <c r="S290" s="849">
        <f t="shared" si="175"/>
        <v>292.05689351505947</v>
      </c>
      <c r="T290" s="849">
        <f t="shared" si="175"/>
        <v>351.14872838136409</v>
      </c>
      <c r="U290" s="693">
        <f t="shared" si="175"/>
        <v>0</v>
      </c>
      <c r="V290" s="693" t="e">
        <f t="shared" si="175"/>
        <v>#DIV/0!</v>
      </c>
      <c r="W290" s="693" t="e">
        <f t="shared" si="175"/>
        <v>#DIV/0!</v>
      </c>
      <c r="X290" s="693" t="e">
        <f t="shared" si="175"/>
        <v>#DIV/0!</v>
      </c>
      <c r="Y290" s="693" t="e">
        <f t="shared" si="175"/>
        <v>#DIV/0!</v>
      </c>
    </row>
    <row r="291" spans="4:25" x14ac:dyDescent="0.15">
      <c r="D291" s="694" t="s">
        <v>248</v>
      </c>
      <c r="E291" s="693">
        <f>G174</f>
        <v>162</v>
      </c>
      <c r="F291" s="693">
        <f t="shared" ref="F291:Y291" si="176">H174</f>
        <v>178</v>
      </c>
      <c r="G291" s="693">
        <f t="shared" si="176"/>
        <v>196.24</v>
      </c>
      <c r="H291" s="693">
        <f t="shared" si="176"/>
        <v>189.65969702127663</v>
      </c>
      <c r="I291" s="693">
        <f t="shared" si="176"/>
        <v>184.08601338553194</v>
      </c>
      <c r="J291" s="693">
        <f t="shared" si="176"/>
        <v>179.44746869781792</v>
      </c>
      <c r="K291" s="693">
        <f t="shared" si="176"/>
        <v>178.3749784510639</v>
      </c>
      <c r="L291" s="693">
        <f t="shared" si="176"/>
        <v>175.48403824422135</v>
      </c>
      <c r="M291" s="693">
        <f t="shared" si="176"/>
        <v>173.35974309145502</v>
      </c>
      <c r="N291" s="693">
        <f t="shared" si="176"/>
        <v>171.95511792064113</v>
      </c>
      <c r="O291" s="693">
        <f t="shared" si="176"/>
        <v>171.22814105370821</v>
      </c>
      <c r="P291" s="693">
        <f t="shared" si="176"/>
        <v>171.14134109146875</v>
      </c>
      <c r="Q291" s="693">
        <f t="shared" si="176"/>
        <v>203.84794881841188</v>
      </c>
      <c r="R291" s="693">
        <f t="shared" si="176"/>
        <v>243.61714594453386</v>
      </c>
      <c r="S291" s="693">
        <f t="shared" si="176"/>
        <v>292.05689351505947</v>
      </c>
      <c r="T291" s="693">
        <f t="shared" si="176"/>
        <v>351.14872838136409</v>
      </c>
      <c r="U291" s="693">
        <f t="shared" si="176"/>
        <v>0</v>
      </c>
      <c r="V291" s="693" t="e">
        <f t="shared" si="176"/>
        <v>#DIV/0!</v>
      </c>
      <c r="W291" s="693" t="e">
        <f t="shared" si="176"/>
        <v>#DIV/0!</v>
      </c>
      <c r="X291" s="693" t="e">
        <f t="shared" si="176"/>
        <v>#DIV/0!</v>
      </c>
      <c r="Y291" s="693" t="e">
        <f t="shared" si="176"/>
        <v>#DIV/0!</v>
      </c>
    </row>
    <row r="292" spans="4:25" x14ac:dyDescent="0.15">
      <c r="D292" s="694" t="s">
        <v>249</v>
      </c>
      <c r="E292" s="693">
        <f>G179</f>
        <v>162</v>
      </c>
      <c r="F292" s="693">
        <f t="shared" ref="F292:Y292" si="177">H179</f>
        <v>178</v>
      </c>
      <c r="G292" s="693">
        <f t="shared" si="177"/>
        <v>196.24</v>
      </c>
      <c r="H292" s="693">
        <f t="shared" si="177"/>
        <v>230.25841276595744</v>
      </c>
      <c r="I292" s="693">
        <f t="shared" si="177"/>
        <v>271.90573381914896</v>
      </c>
      <c r="J292" s="693">
        <f t="shared" si="177"/>
        <v>323.1538601186968</v>
      </c>
      <c r="K292" s="693">
        <f t="shared" si="177"/>
        <v>386.51479707371345</v>
      </c>
      <c r="L292" s="693">
        <f t="shared" si="177"/>
        <v>465.19167107963466</v>
      </c>
      <c r="M292" s="693">
        <f t="shared" si="177"/>
        <v>563.2722580467439</v>
      </c>
      <c r="N292" s="693">
        <f t="shared" si="177"/>
        <v>685.97702527161937</v>
      </c>
      <c r="O292" s="693">
        <f t="shared" si="177"/>
        <v>839.9770720127392</v>
      </c>
      <c r="P292" s="693">
        <f t="shared" si="177"/>
        <v>1033.80169914015</v>
      </c>
      <c r="Q292" s="693">
        <f t="shared" si="177"/>
        <v>1278.3609105773071</v>
      </c>
      <c r="R292" s="693">
        <f t="shared" si="177"/>
        <v>1587.6152956527419</v>
      </c>
      <c r="S292" s="693">
        <f t="shared" si="177"/>
        <v>1979.434906586941</v>
      </c>
      <c r="T292" s="693">
        <f t="shared" si="177"/>
        <v>2476.7004994269396</v>
      </c>
      <c r="U292" s="693">
        <f t="shared" si="177"/>
        <v>0</v>
      </c>
      <c r="V292" s="693" t="e">
        <f t="shared" si="177"/>
        <v>#DIV/0!</v>
      </c>
      <c r="W292" s="693" t="e">
        <f t="shared" si="177"/>
        <v>#DIV/0!</v>
      </c>
      <c r="X292" s="693" t="e">
        <f t="shared" si="177"/>
        <v>#DIV/0!</v>
      </c>
      <c r="Y292" s="693" t="e">
        <f t="shared" si="177"/>
        <v>#DIV/0!</v>
      </c>
    </row>
    <row r="303" spans="4:25" x14ac:dyDescent="0.15">
      <c r="L303" s="694" t="s">
        <v>253</v>
      </c>
    </row>
    <row r="329" spans="4:25" ht="12" thickBot="1" x14ac:dyDescent="0.2"/>
    <row r="330" spans="4:25" x14ac:dyDescent="0.15">
      <c r="E330" s="702">
        <v>2010</v>
      </c>
      <c r="F330" s="702">
        <v>2011</v>
      </c>
      <c r="G330" s="702">
        <v>2012</v>
      </c>
      <c r="H330" s="702">
        <v>2013</v>
      </c>
      <c r="I330" s="702">
        <v>2014</v>
      </c>
      <c r="J330" s="777">
        <v>2015</v>
      </c>
      <c r="K330" s="778">
        <v>2016</v>
      </c>
      <c r="L330" s="778">
        <v>2017</v>
      </c>
      <c r="M330" s="778">
        <v>2018</v>
      </c>
      <c r="N330" s="778">
        <v>2019</v>
      </c>
      <c r="O330" s="778">
        <v>2020</v>
      </c>
      <c r="P330" s="778">
        <v>2021</v>
      </c>
      <c r="Q330" s="778">
        <v>2022</v>
      </c>
      <c r="R330" s="778">
        <v>2023</v>
      </c>
      <c r="S330" s="778">
        <v>2024</v>
      </c>
      <c r="T330" s="779">
        <v>2025</v>
      </c>
      <c r="U330" s="702">
        <v>2026</v>
      </c>
      <c r="V330" s="702">
        <v>2027</v>
      </c>
      <c r="W330" s="702">
        <v>2028</v>
      </c>
      <c r="X330" s="702">
        <v>2029</v>
      </c>
      <c r="Y330" s="702">
        <v>2030</v>
      </c>
    </row>
    <row r="331" spans="4:25" ht="12" thickBot="1" x14ac:dyDescent="0.2">
      <c r="D331" s="694" t="s">
        <v>250</v>
      </c>
      <c r="E331" s="699">
        <f t="shared" ref="E331:Y331" si="178">G189</f>
        <v>42.1</v>
      </c>
      <c r="F331" s="699">
        <f t="shared" si="178"/>
        <v>46.4</v>
      </c>
      <c r="G331" s="699">
        <f t="shared" si="178"/>
        <v>51.4</v>
      </c>
      <c r="H331" s="699">
        <f t="shared" si="178"/>
        <v>53.45600000000001</v>
      </c>
      <c r="I331" s="699">
        <f t="shared" si="178"/>
        <v>55.594240000000013</v>
      </c>
      <c r="J331" s="843">
        <f>L192</f>
        <v>57.818009600000018</v>
      </c>
      <c r="K331" s="843">
        <f t="shared" ref="K331:T331" si="179">M192</f>
        <v>61.581312000000018</v>
      </c>
      <c r="L331" s="843">
        <f t="shared" si="179"/>
        <v>64.04456448000002</v>
      </c>
      <c r="M331" s="843">
        <f t="shared" si="179"/>
        <v>66.606347059200033</v>
      </c>
      <c r="N331" s="843">
        <f t="shared" si="179"/>
        <v>69.270600941568034</v>
      </c>
      <c r="O331" s="843">
        <f t="shared" si="179"/>
        <v>72.041424979230769</v>
      </c>
      <c r="P331" s="843">
        <f t="shared" si="179"/>
        <v>74.923081978400006</v>
      </c>
      <c r="Q331" s="843">
        <f t="shared" si="179"/>
        <v>92.53000624332401</v>
      </c>
      <c r="R331" s="843">
        <f t="shared" si="179"/>
        <v>114.27455771050515</v>
      </c>
      <c r="S331" s="843">
        <f t="shared" si="179"/>
        <v>141.12907877247386</v>
      </c>
      <c r="T331" s="843">
        <f t="shared" si="179"/>
        <v>174.29441228400523</v>
      </c>
      <c r="U331" s="693">
        <f t="shared" si="178"/>
        <v>0</v>
      </c>
      <c r="V331" s="693" t="e">
        <f t="shared" si="178"/>
        <v>#DIV/0!</v>
      </c>
      <c r="W331" s="693" t="e">
        <f t="shared" si="178"/>
        <v>#DIV/0!</v>
      </c>
      <c r="X331" s="693" t="e">
        <f t="shared" si="178"/>
        <v>#DIV/0!</v>
      </c>
      <c r="Y331" s="693" t="e">
        <f t="shared" si="178"/>
        <v>#DIV/0!</v>
      </c>
    </row>
    <row r="332" spans="4:25" x14ac:dyDescent="0.15">
      <c r="D332" s="694" t="s">
        <v>251</v>
      </c>
      <c r="E332" s="699">
        <f t="shared" ref="E332:Y332" si="180">G192</f>
        <v>42.1</v>
      </c>
      <c r="F332" s="699">
        <f t="shared" si="180"/>
        <v>46.4</v>
      </c>
      <c r="G332" s="699">
        <f t="shared" si="180"/>
        <v>51.4</v>
      </c>
      <c r="H332" s="699">
        <f t="shared" si="180"/>
        <v>53.45600000000001</v>
      </c>
      <c r="I332" s="699">
        <f t="shared" si="180"/>
        <v>55.594240000000013</v>
      </c>
      <c r="J332" s="699">
        <f t="shared" si="180"/>
        <v>57.818009600000018</v>
      </c>
      <c r="K332" s="699">
        <f t="shared" si="180"/>
        <v>61.581312000000018</v>
      </c>
      <c r="L332" s="699">
        <f t="shared" si="180"/>
        <v>64.04456448000002</v>
      </c>
      <c r="M332" s="699">
        <f t="shared" si="180"/>
        <v>66.606347059200033</v>
      </c>
      <c r="N332" s="699">
        <f t="shared" si="180"/>
        <v>69.270600941568034</v>
      </c>
      <c r="O332" s="699">
        <f t="shared" si="180"/>
        <v>72.041424979230769</v>
      </c>
      <c r="P332" s="699">
        <f t="shared" si="180"/>
        <v>74.923081978400006</v>
      </c>
      <c r="Q332" s="699">
        <f t="shared" si="180"/>
        <v>92.53000624332401</v>
      </c>
      <c r="R332" s="699">
        <f t="shared" si="180"/>
        <v>114.27455771050515</v>
      </c>
      <c r="S332" s="693">
        <f t="shared" si="180"/>
        <v>141.12907877247386</v>
      </c>
      <c r="T332" s="693">
        <f t="shared" si="180"/>
        <v>174.29441228400523</v>
      </c>
      <c r="U332" s="693">
        <f t="shared" si="180"/>
        <v>0</v>
      </c>
      <c r="V332" s="693" t="e">
        <f t="shared" si="180"/>
        <v>#DIV/0!</v>
      </c>
      <c r="W332" s="693" t="e">
        <f t="shared" si="180"/>
        <v>#DIV/0!</v>
      </c>
      <c r="X332" s="693" t="e">
        <f t="shared" si="180"/>
        <v>#DIV/0!</v>
      </c>
      <c r="Y332" s="693" t="e">
        <f t="shared" si="180"/>
        <v>#DIV/0!</v>
      </c>
    </row>
    <row r="333" spans="4:25" x14ac:dyDescent="0.15">
      <c r="D333" s="694" t="s">
        <v>252</v>
      </c>
      <c r="E333" s="699">
        <f t="shared" ref="E333:Y333" si="181">G197</f>
        <v>42.1</v>
      </c>
      <c r="F333" s="699">
        <f t="shared" si="181"/>
        <v>46.4</v>
      </c>
      <c r="G333" s="699">
        <f t="shared" si="181"/>
        <v>51.4</v>
      </c>
      <c r="H333" s="699">
        <f t="shared" si="181"/>
        <v>65.920500000000004</v>
      </c>
      <c r="I333" s="699">
        <f t="shared" si="181"/>
        <v>84.543041250000002</v>
      </c>
      <c r="J333" s="699">
        <f t="shared" si="181"/>
        <v>108.426450403125</v>
      </c>
      <c r="K333" s="699">
        <f t="shared" si="181"/>
        <v>139.05692264200781</v>
      </c>
      <c r="L333" s="699">
        <f t="shared" si="181"/>
        <v>178.340503288375</v>
      </c>
      <c r="M333" s="699">
        <f t="shared" si="181"/>
        <v>228.72169546734094</v>
      </c>
      <c r="N333" s="699">
        <f t="shared" si="181"/>
        <v>293.33557443686476</v>
      </c>
      <c r="O333" s="699">
        <f t="shared" si="181"/>
        <v>376.202874215279</v>
      </c>
      <c r="P333" s="699">
        <f t="shared" si="181"/>
        <v>482.48018618109529</v>
      </c>
      <c r="Q333" s="699">
        <f t="shared" si="181"/>
        <v>618.78083877725476</v>
      </c>
      <c r="R333" s="699">
        <f t="shared" si="181"/>
        <v>793.58642573182931</v>
      </c>
      <c r="S333" s="693">
        <f t="shared" si="181"/>
        <v>1017.7745910010711</v>
      </c>
      <c r="T333" s="693">
        <f t="shared" si="181"/>
        <v>1305.2959129588735</v>
      </c>
      <c r="U333" s="693">
        <f t="shared" si="181"/>
        <v>0</v>
      </c>
      <c r="V333" s="693" t="e">
        <f t="shared" si="181"/>
        <v>#DIV/0!</v>
      </c>
      <c r="W333" s="693" t="e">
        <f t="shared" si="181"/>
        <v>#DIV/0!</v>
      </c>
      <c r="X333" s="693" t="e">
        <f t="shared" si="181"/>
        <v>#DIV/0!</v>
      </c>
      <c r="Y333" s="693" t="e">
        <f t="shared" si="181"/>
        <v>#DIV/0!</v>
      </c>
    </row>
  </sheetData>
  <mergeCells count="2">
    <mergeCell ref="AD98:AD100"/>
    <mergeCell ref="AD102:AD104"/>
  </mergeCells>
  <pageMargins left="0.75" right="0.75" top="1" bottom="1" header="0.5" footer="0.5"/>
  <pageSetup orientation="portrait" horizontalDpi="200" verticalDpi="2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A1:AA36"/>
  <sheetViews>
    <sheetView zoomScale="55" zoomScaleNormal="55" workbookViewId="0">
      <selection activeCell="A64" sqref="A64"/>
    </sheetView>
  </sheetViews>
  <sheetFormatPr baseColWidth="10" defaultColWidth="11" defaultRowHeight="11" x14ac:dyDescent="0.15"/>
  <cols>
    <col min="1" max="1" width="26.5" style="351" customWidth="1"/>
    <col min="2" max="2" width="24.33203125" style="351" customWidth="1"/>
    <col min="3" max="3" width="24.83203125" style="351" bestFit="1" customWidth="1"/>
    <col min="4" max="4" width="12.6640625" style="351" customWidth="1"/>
    <col min="5" max="5" width="39.33203125" style="351" customWidth="1"/>
    <col min="6" max="6" width="8.5" style="351" bestFit="1" customWidth="1"/>
    <col min="7" max="8" width="7" style="351" bestFit="1" customWidth="1"/>
    <col min="9" max="9" width="13" style="351" bestFit="1" customWidth="1"/>
    <col min="10" max="10" width="11.83203125" style="351" bestFit="1" customWidth="1"/>
    <col min="11" max="13" width="13" style="351" bestFit="1" customWidth="1"/>
    <col min="14" max="17" width="10.5" style="351" bestFit="1" customWidth="1"/>
    <col min="18" max="18" width="9.6640625" style="351" bestFit="1" customWidth="1"/>
    <col min="19" max="26" width="10.5" style="351" bestFit="1" customWidth="1"/>
    <col min="27" max="16384" width="11" style="351"/>
  </cols>
  <sheetData>
    <row r="1" spans="1:27" s="421" customFormat="1" x14ac:dyDescent="0.15">
      <c r="F1" s="421">
        <v>2010</v>
      </c>
      <c r="G1" s="421">
        <v>2011</v>
      </c>
      <c r="H1" s="421">
        <v>2012</v>
      </c>
      <c r="I1" s="421">
        <v>2013</v>
      </c>
      <c r="J1" s="421">
        <v>2014</v>
      </c>
      <c r="K1" s="850">
        <v>2015</v>
      </c>
      <c r="L1" s="851">
        <v>2016</v>
      </c>
      <c r="M1" s="851">
        <v>2017</v>
      </c>
      <c r="N1" s="851">
        <v>2018</v>
      </c>
      <c r="O1" s="851">
        <v>2019</v>
      </c>
      <c r="P1" s="851">
        <v>2020</v>
      </c>
      <c r="Q1" s="852">
        <v>2021</v>
      </c>
      <c r="R1" s="852">
        <v>2022</v>
      </c>
      <c r="S1" s="852">
        <v>2023</v>
      </c>
      <c r="T1" s="852">
        <v>2024</v>
      </c>
      <c r="U1" s="853">
        <v>2025</v>
      </c>
      <c r="V1" s="854">
        <v>2026</v>
      </c>
      <c r="W1" s="854">
        <v>2027</v>
      </c>
      <c r="X1" s="854">
        <v>2028</v>
      </c>
      <c r="Y1" s="854">
        <v>2029</v>
      </c>
      <c r="Z1" s="854">
        <v>2030</v>
      </c>
    </row>
    <row r="2" spans="1:27" x14ac:dyDescent="0.15">
      <c r="A2" s="694"/>
      <c r="B2" s="694"/>
      <c r="C2" s="694"/>
      <c r="D2" s="694"/>
      <c r="E2" s="694"/>
      <c r="F2" s="422" t="s">
        <v>91</v>
      </c>
      <c r="G2" s="420"/>
      <c r="H2" s="420"/>
      <c r="K2" s="855"/>
      <c r="L2" s="856"/>
      <c r="M2" s="856"/>
      <c r="N2" s="856"/>
      <c r="O2" s="856"/>
      <c r="P2" s="856"/>
      <c r="Q2" s="856"/>
      <c r="R2" s="856"/>
      <c r="S2" s="856"/>
      <c r="T2" s="856"/>
      <c r="U2" s="857"/>
    </row>
    <row r="3" spans="1:27" ht="21" customHeight="1" thickBot="1" x14ac:dyDescent="0.2">
      <c r="A3" s="694"/>
      <c r="B3" s="694"/>
      <c r="C3" s="422" t="s">
        <v>85</v>
      </c>
      <c r="D3" s="694"/>
      <c r="E3" s="711" t="s">
        <v>209</v>
      </c>
      <c r="F3" s="423">
        <f>Traffic!B33</f>
        <v>1402.88</v>
      </c>
      <c r="G3" s="423">
        <f>Traffic!C33</f>
        <v>1843.2</v>
      </c>
      <c r="H3" s="423">
        <f>Traffic!D33</f>
        <v>2662.4</v>
      </c>
      <c r="I3" s="423">
        <f>Traffic!E33</f>
        <v>3161.7000000000003</v>
      </c>
      <c r="J3" s="424">
        <f>Traffic!F33</f>
        <v>4126.835</v>
      </c>
      <c r="K3" s="858">
        <f>Traffic!G33</f>
        <v>5388.3781500000005</v>
      </c>
      <c r="L3" s="859">
        <f>Traffic!H33</f>
        <v>7021.8491951000005</v>
      </c>
      <c r="M3" s="859">
        <f>Traffic!I33</f>
        <v>9816.0651594709998</v>
      </c>
      <c r="N3" s="859">
        <f>Traffic!J33</f>
        <v>14128.061208255829</v>
      </c>
      <c r="O3" s="859">
        <f>Traffic!K33</f>
        <v>20342.166322101271</v>
      </c>
      <c r="P3" s="859">
        <f>Traffic!L33</f>
        <v>29298.106750595132</v>
      </c>
      <c r="Q3" s="859">
        <f>Traffic!M33</f>
        <v>42153.442007748228</v>
      </c>
      <c r="R3" s="859">
        <f>Traffic!N33</f>
        <v>60660.816289393151</v>
      </c>
      <c r="S3" s="859">
        <f>Traffic!O33</f>
        <v>87298.891316933572</v>
      </c>
      <c r="T3" s="859">
        <f>Traffic!P33</f>
        <v>125639.45400162654</v>
      </c>
      <c r="U3" s="860">
        <f>Traffic!Q33</f>
        <v>180821.96921037239</v>
      </c>
      <c r="V3" s="861">
        <f>Traffic!R33</f>
        <v>0</v>
      </c>
      <c r="W3" s="423">
        <f>Traffic!S33</f>
        <v>0</v>
      </c>
      <c r="X3" s="423">
        <f>Traffic!T33</f>
        <v>0</v>
      </c>
      <c r="Y3" s="423">
        <f>Traffic!U33</f>
        <v>0</v>
      </c>
      <c r="Z3" s="423">
        <f>Traffic!V33</f>
        <v>0</v>
      </c>
      <c r="AA3" s="886" t="s">
        <v>124</v>
      </c>
    </row>
    <row r="4" spans="1:27" x14ac:dyDescent="0.15">
      <c r="A4" s="862"/>
      <c r="B4" s="862"/>
      <c r="C4" s="863" t="s">
        <v>70</v>
      </c>
      <c r="D4" s="422"/>
      <c r="E4" s="713" t="s">
        <v>210</v>
      </c>
      <c r="F4" s="425">
        <f>Traffic!B34</f>
        <v>1402.88</v>
      </c>
      <c r="G4" s="425">
        <f>Traffic!C34</f>
        <v>1843.2</v>
      </c>
      <c r="H4" s="425">
        <f>Traffic!D34</f>
        <v>2662.4</v>
      </c>
      <c r="I4" s="425">
        <f>Traffic!E34</f>
        <v>3174.4000000000005</v>
      </c>
      <c r="J4" s="425">
        <f>Traffic!F34</f>
        <v>4158.4639999999999</v>
      </c>
      <c r="K4" s="864">
        <f>Traffic!G34</f>
        <v>5447.5878400000001</v>
      </c>
      <c r="L4" s="864">
        <f>Traffic!H34</f>
        <v>7136.3400704000005</v>
      </c>
      <c r="M4" s="864">
        <f>Traffic!I34</f>
        <v>9990.8760985600002</v>
      </c>
      <c r="N4" s="864">
        <f>Traffic!J34</f>
        <v>14386.8615819264</v>
      </c>
      <c r="O4" s="864">
        <f>Traffic!K34</f>
        <v>20717.080677974016</v>
      </c>
      <c r="P4" s="864">
        <f>Traffic!L34</f>
        <v>29832.596176282583</v>
      </c>
      <c r="Q4" s="864">
        <f>Traffic!M34</f>
        <v>42958.938493846916</v>
      </c>
      <c r="R4" s="864">
        <f>Traffic!N34</f>
        <v>61860.87143113956</v>
      </c>
      <c r="S4" s="864">
        <f>Traffic!O34</f>
        <v>89079.654860840965</v>
      </c>
      <c r="T4" s="864">
        <f>Traffic!P34</f>
        <v>128274.70299961098</v>
      </c>
      <c r="U4" s="864">
        <f>Traffic!Q34</f>
        <v>184715.57231943979</v>
      </c>
      <c r="V4" s="425">
        <f>Traffic!R34</f>
        <v>0</v>
      </c>
      <c r="W4" s="425">
        <f>Traffic!S34</f>
        <v>0</v>
      </c>
      <c r="X4" s="425">
        <f>Traffic!T34</f>
        <v>0</v>
      </c>
      <c r="Y4" s="425">
        <f>Traffic!U34</f>
        <v>0</v>
      </c>
      <c r="Z4" s="425">
        <f>Traffic!V34</f>
        <v>0</v>
      </c>
      <c r="AA4" s="886"/>
    </row>
    <row r="5" spans="1:27" x14ac:dyDescent="0.15">
      <c r="A5" s="862"/>
      <c r="B5" s="862"/>
      <c r="C5" s="863"/>
      <c r="D5" s="422"/>
      <c r="E5" s="715" t="s">
        <v>211</v>
      </c>
      <c r="F5" s="426">
        <f>Traffic!B35</f>
        <v>1402.88</v>
      </c>
      <c r="G5" s="426">
        <f>Traffic!C35</f>
        <v>1843.2</v>
      </c>
      <c r="H5" s="426">
        <f>Traffic!D35</f>
        <v>2662.4</v>
      </c>
      <c r="I5" s="426">
        <f>Traffic!E35</f>
        <v>3187.1000000000004</v>
      </c>
      <c r="J5" s="426">
        <f>Traffic!F35</f>
        <v>4191.1469999999999</v>
      </c>
      <c r="K5" s="426">
        <f>Traffic!G35</f>
        <v>5510.8822100000007</v>
      </c>
      <c r="L5" s="426">
        <f>Traffic!H35</f>
        <v>7229.8730079000006</v>
      </c>
      <c r="M5" s="426">
        <f>Traffic!I35</f>
        <v>10148.129226685</v>
      </c>
      <c r="N5" s="426">
        <f>Traffic!J35</f>
        <v>14638.210216770149</v>
      </c>
      <c r="O5" s="426">
        <f>Traffic!K35</f>
        <v>21105.924081669331</v>
      </c>
      <c r="P5" s="426">
        <f>Traffic!L35</f>
        <v>30420.650849645943</v>
      </c>
      <c r="Q5" s="426">
        <f>Traffic!M35</f>
        <v>43873.738181499139</v>
      </c>
      <c r="R5" s="426">
        <f>Traffic!N35</f>
        <v>63293.208795855542</v>
      </c>
      <c r="S5" s="426">
        <f>Traffic!O35</f>
        <v>91309.279109883108</v>
      </c>
      <c r="T5" s="426">
        <f>Traffic!P35</f>
        <v>131734.68737731592</v>
      </c>
      <c r="U5" s="426">
        <f>Traffic!Q35</f>
        <v>190079.54873990949</v>
      </c>
      <c r="V5" s="426">
        <f>Traffic!R35</f>
        <v>0</v>
      </c>
      <c r="W5" s="426">
        <f>Traffic!S35</f>
        <v>0</v>
      </c>
      <c r="X5" s="426">
        <f>Traffic!T35</f>
        <v>0</v>
      </c>
      <c r="Y5" s="426">
        <f>Traffic!U35</f>
        <v>0</v>
      </c>
      <c r="Z5" s="426">
        <f>Traffic!V35</f>
        <v>0</v>
      </c>
      <c r="AA5" s="886"/>
    </row>
    <row r="6" spans="1:27" ht="12" thickBot="1" x14ac:dyDescent="0.2">
      <c r="A6" s="862"/>
      <c r="B6" s="862"/>
      <c r="C6" s="863"/>
      <c r="D6" s="422"/>
      <c r="E6" s="819" t="s">
        <v>143</v>
      </c>
      <c r="F6" s="708"/>
      <c r="G6" s="708"/>
      <c r="H6" s="708"/>
      <c r="I6" s="708"/>
      <c r="J6" s="708"/>
      <c r="K6" s="708"/>
      <c r="L6" s="708"/>
      <c r="M6" s="708"/>
      <c r="N6" s="708"/>
      <c r="O6" s="708"/>
      <c r="P6" s="708"/>
      <c r="Q6" s="708"/>
      <c r="R6" s="708"/>
      <c r="S6" s="708"/>
      <c r="T6" s="708"/>
      <c r="U6" s="708"/>
      <c r="V6" s="708"/>
      <c r="W6" s="708"/>
      <c r="X6" s="708"/>
      <c r="Y6" s="708"/>
      <c r="Z6" s="708"/>
      <c r="AA6" s="865"/>
    </row>
    <row r="7" spans="1:27" ht="12" thickBot="1" x14ac:dyDescent="0.2">
      <c r="A7" s="862"/>
      <c r="B7" s="862"/>
      <c r="C7" s="863" t="s">
        <v>50</v>
      </c>
      <c r="D7" s="866">
        <v>0.13500000000000001</v>
      </c>
      <c r="E7" s="867">
        <v>0.22</v>
      </c>
      <c r="F7" s="423">
        <f>$D7*F$3</f>
        <v>189.38880000000003</v>
      </c>
      <c r="G7" s="423">
        <f>(G3/F3)*F7*(1-E7)</f>
        <v>194.08896000000001</v>
      </c>
      <c r="H7" s="423">
        <f>(H3/G3)*G7*(1-E7)</f>
        <v>218.67356160000003</v>
      </c>
      <c r="I7" s="423">
        <f t="shared" ref="I7:P7" si="0">(I$3/H$3)*H7*(1-$E$7)</f>
        <v>202.55279288400004</v>
      </c>
      <c r="J7" s="424">
        <f t="shared" si="0"/>
        <v>206.21928864747605</v>
      </c>
      <c r="K7" s="868">
        <f>(K$3/J$3)*J7*(1-$E$7)</f>
        <v>210.02202827691207</v>
      </c>
      <c r="L7" s="869">
        <f>(L$3/K$3)*K7*(1-$E$7)</f>
        <v>213.47788071693029</v>
      </c>
      <c r="M7" s="869">
        <f>(M$3/L$3)*L7*(1-$E$7)</f>
        <v>232.77343739803734</v>
      </c>
      <c r="N7" s="869">
        <f t="shared" si="0"/>
        <v>261.32030583285064</v>
      </c>
      <c r="O7" s="869">
        <f t="shared" si="0"/>
        <v>293.48262412400567</v>
      </c>
      <c r="P7" s="869">
        <f t="shared" si="0"/>
        <v>329.70030770599533</v>
      </c>
      <c r="Q7" s="869">
        <f>(Q$3/P$3)*P7*(1-$E$7)</f>
        <v>370.00487017545959</v>
      </c>
      <c r="R7" s="869">
        <f>(R$3/Q$3)*Q7*(1-$E$9)</f>
        <v>505.83194556639768</v>
      </c>
      <c r="S7" s="869">
        <f t="shared" ref="S7:Y7" si="1">(S$3/R$3)*R7*(1-$E$9)</f>
        <v>691.56075049286119</v>
      </c>
      <c r="T7" s="869">
        <f>(T$3/S$3)*S7*(1-$E$9)</f>
        <v>945.52116413674537</v>
      </c>
      <c r="U7" s="870">
        <f>(U$3/T$3)*T7*(1-$E$9)</f>
        <v>1292.7662745631064</v>
      </c>
      <c r="V7" s="861">
        <f>(V$3/U$3)*U7*(1-$E$9)</f>
        <v>0</v>
      </c>
      <c r="W7" s="423" t="e">
        <f>(W$3/V$3)*V7*(1-$E$9)</f>
        <v>#DIV/0!</v>
      </c>
      <c r="X7" s="423" t="e">
        <f>(X$3/W$3)*W7*(1-$E$9)</f>
        <v>#DIV/0!</v>
      </c>
      <c r="Y7" s="423" t="e">
        <f t="shared" si="1"/>
        <v>#DIV/0!</v>
      </c>
      <c r="Z7" s="423" t="e">
        <f>(Z$3/Y$3)*Y7*(1-$E$9)</f>
        <v>#DIV/0!</v>
      </c>
      <c r="AA7" s="887" t="s">
        <v>90</v>
      </c>
    </row>
    <row r="8" spans="1:27" ht="33" x14ac:dyDescent="0.15">
      <c r="A8" s="819" t="s">
        <v>233</v>
      </c>
      <c r="B8" s="422" t="s">
        <v>232</v>
      </c>
      <c r="C8" s="863" t="s">
        <v>50</v>
      </c>
      <c r="D8" s="871">
        <v>0.14000000000000001</v>
      </c>
      <c r="E8" s="836">
        <v>0.1</v>
      </c>
      <c r="F8" s="425">
        <f>$D8*F$4</f>
        <v>196.40320000000003</v>
      </c>
      <c r="G8" s="425">
        <f>(G4/F4)*F8*(1-E8)</f>
        <v>232.2432</v>
      </c>
      <c r="H8" s="425">
        <f>(H4/G4)*G8*(1-E8)</f>
        <v>301.91615999999999</v>
      </c>
      <c r="I8" s="425">
        <f>(H8/H$4)*I$4*(1-$E$8)</f>
        <v>323.979264</v>
      </c>
      <c r="J8" s="425">
        <f t="shared" ref="J8:Q8" si="2">(I8/I$4)*J$4*(1-$E$8)</f>
        <v>381.97155225599994</v>
      </c>
      <c r="K8" s="864">
        <f t="shared" si="2"/>
        <v>450.34446010982401</v>
      </c>
      <c r="L8" s="864">
        <f t="shared" si="2"/>
        <v>530.95611846948248</v>
      </c>
      <c r="M8" s="864">
        <f t="shared" si="2"/>
        <v>669.00470927154788</v>
      </c>
      <c r="N8" s="864">
        <f t="shared" si="2"/>
        <v>867.03010321592603</v>
      </c>
      <c r="O8" s="864">
        <f t="shared" si="2"/>
        <v>1123.6710137678401</v>
      </c>
      <c r="P8" s="864">
        <f t="shared" si="2"/>
        <v>1456.2776338431208</v>
      </c>
      <c r="Q8" s="864">
        <f t="shared" si="2"/>
        <v>1887.3358134606847</v>
      </c>
      <c r="R8" s="864">
        <f>(Q8/Q$4)*R$4*(1-$E$9)</f>
        <v>2581.8753928142169</v>
      </c>
      <c r="S8" s="864">
        <f t="shared" ref="S8:Z8" si="3">(R8/R$4)*S$4*(1-$E$9)</f>
        <v>3532.0055373698488</v>
      </c>
      <c r="T8" s="864">
        <f t="shared" si="3"/>
        <v>4831.7835751219527</v>
      </c>
      <c r="U8" s="864">
        <f>(T8/T$4)*U$4*(1-$E$9)</f>
        <v>6609.8799307668305</v>
      </c>
      <c r="V8" s="425">
        <f t="shared" si="3"/>
        <v>0</v>
      </c>
      <c r="W8" s="425" t="e">
        <f t="shared" si="3"/>
        <v>#DIV/0!</v>
      </c>
      <c r="X8" s="425" t="e">
        <f t="shared" si="3"/>
        <v>#DIV/0!</v>
      </c>
      <c r="Y8" s="425" t="e">
        <f t="shared" si="3"/>
        <v>#DIV/0!</v>
      </c>
      <c r="Z8" s="425" t="e">
        <f t="shared" si="3"/>
        <v>#DIV/0!</v>
      </c>
      <c r="AA8" s="887"/>
    </row>
    <row r="9" spans="1:27" x14ac:dyDescent="0.15">
      <c r="A9" s="872"/>
      <c r="B9" s="872"/>
      <c r="C9" s="863" t="s">
        <v>50</v>
      </c>
      <c r="D9" s="873">
        <v>0.14199999999999999</v>
      </c>
      <c r="E9" s="837">
        <v>0.05</v>
      </c>
      <c r="F9" s="874">
        <f>$D9*F$5</f>
        <v>199.20895999999999</v>
      </c>
      <c r="G9" s="874">
        <f>(G5/F5)*F9*(1-E9)</f>
        <v>248.64767999999998</v>
      </c>
      <c r="H9" s="874">
        <f>(H5/G5)*G9*(1-E9)</f>
        <v>341.19987199999991</v>
      </c>
      <c r="I9" s="874">
        <f>(H9/H$5)*I$5*(1-$E$9)</f>
        <v>388.02066047499989</v>
      </c>
      <c r="J9" s="874">
        <f>(I9/I$5)*J$5*(1-$E$9)</f>
        <v>484.74759051596226</v>
      </c>
      <c r="K9" s="874">
        <f>(J9/J$5)*K$5*(1-$E$9)</f>
        <v>605.51861561263354</v>
      </c>
      <c r="L9" s="874">
        <f t="shared" ref="L9:Y9" si="4">(K9/K$5)*L$5*(1-$E$9)</f>
        <v>754.67618460653273</v>
      </c>
      <c r="M9" s="874">
        <f t="shared" si="4"/>
        <v>1006.3280316893882</v>
      </c>
      <c r="N9" s="874">
        <f t="shared" si="4"/>
        <v>1379.0028584139641</v>
      </c>
      <c r="O9" s="874">
        <f t="shared" si="4"/>
        <v>1888.8834595713595</v>
      </c>
      <c r="P9" s="874">
        <f>(O9/O$5)*P$5*(1-$E$9)</f>
        <v>2586.3833678686069</v>
      </c>
      <c r="Q9" s="874">
        <f t="shared" si="4"/>
        <v>3543.6648583132906</v>
      </c>
      <c r="R9" s="874">
        <f t="shared" si="4"/>
        <v>4856.5595871796831</v>
      </c>
      <c r="S9" s="874">
        <f t="shared" si="4"/>
        <v>6655.9511696644349</v>
      </c>
      <c r="T9" s="874">
        <f t="shared" si="4"/>
        <v>9122.6069500043122</v>
      </c>
      <c r="U9" s="874">
        <f t="shared" si="4"/>
        <v>12504.830690877117</v>
      </c>
      <c r="V9" s="874">
        <f t="shared" si="4"/>
        <v>0</v>
      </c>
      <c r="W9" s="874" t="e">
        <f t="shared" si="4"/>
        <v>#DIV/0!</v>
      </c>
      <c r="X9" s="874" t="e">
        <f t="shared" si="4"/>
        <v>#DIV/0!</v>
      </c>
      <c r="Y9" s="874" t="e">
        <f t="shared" si="4"/>
        <v>#DIV/0!</v>
      </c>
      <c r="Z9" s="874" t="e">
        <f>(Y9/Y$5)*Z$5*(1-$E$9)</f>
        <v>#DIV/0!</v>
      </c>
      <c r="AA9" s="887"/>
    </row>
    <row r="10" spans="1:27" s="352" customFormat="1" x14ac:dyDescent="0.15">
      <c r="A10" s="875"/>
      <c r="B10" s="875"/>
      <c r="C10" s="876"/>
      <c r="D10" s="771"/>
      <c r="E10" s="877" t="s">
        <v>200</v>
      </c>
      <c r="F10" s="878"/>
      <c r="G10" s="879"/>
      <c r="H10" s="879"/>
    </row>
    <row r="11" spans="1:27" s="352" customFormat="1" x14ac:dyDescent="0.15">
      <c r="A11" s="875"/>
      <c r="D11" s="771"/>
      <c r="E11" s="877"/>
      <c r="F11" s="878"/>
      <c r="G11" s="879"/>
      <c r="H11" s="879"/>
    </row>
    <row r="12" spans="1:27" s="352" customFormat="1" x14ac:dyDescent="0.15">
      <c r="A12" s="875"/>
      <c r="B12" s="875"/>
      <c r="C12" s="876"/>
      <c r="D12" s="771"/>
      <c r="E12" s="877"/>
      <c r="F12" s="878"/>
      <c r="G12" s="879"/>
      <c r="H12" s="879"/>
    </row>
    <row r="13" spans="1:27" x14ac:dyDescent="0.15">
      <c r="A13" s="872"/>
      <c r="B13" s="872"/>
      <c r="C13" s="695" t="s">
        <v>213</v>
      </c>
      <c r="F13" s="880">
        <f>F7/F3</f>
        <v>0.13500000000000001</v>
      </c>
      <c r="G13" s="880">
        <f t="shared" ref="G13:T13" si="5">G7/G3</f>
        <v>0.1053</v>
      </c>
      <c r="H13" s="880">
        <f t="shared" si="5"/>
        <v>8.2134000000000013E-2</v>
      </c>
      <c r="I13" s="880">
        <f t="shared" si="5"/>
        <v>6.4064520000000014E-2</v>
      </c>
      <c r="J13" s="880">
        <f t="shared" si="5"/>
        <v>4.9970325600000011E-2</v>
      </c>
      <c r="K13" s="880">
        <f>K7/K3</f>
        <v>3.8976853968000012E-2</v>
      </c>
      <c r="L13" s="880">
        <f t="shared" si="5"/>
        <v>3.040194609504001E-2</v>
      </c>
      <c r="M13" s="880">
        <f t="shared" si="5"/>
        <v>2.3713517954131205E-2</v>
      </c>
      <c r="N13" s="880">
        <f t="shared" si="5"/>
        <v>1.8496544004222345E-2</v>
      </c>
      <c r="O13" s="880">
        <f t="shared" si="5"/>
        <v>1.4427304323293429E-2</v>
      </c>
      <c r="P13" s="880">
        <f t="shared" si="5"/>
        <v>1.1253297372168873E-2</v>
      </c>
      <c r="Q13" s="880">
        <f t="shared" si="5"/>
        <v>8.7775719502917217E-3</v>
      </c>
      <c r="R13" s="880">
        <f t="shared" si="5"/>
        <v>8.3386933527771351E-3</v>
      </c>
      <c r="S13" s="880">
        <f t="shared" si="5"/>
        <v>7.9217586851382787E-3</v>
      </c>
      <c r="T13" s="880">
        <f t="shared" si="5"/>
        <v>7.525670750881364E-3</v>
      </c>
      <c r="U13" s="881">
        <f>U7/U3</f>
        <v>7.149387213337295E-3</v>
      </c>
      <c r="V13" s="880"/>
      <c r="W13" s="880"/>
      <c r="X13" s="880"/>
      <c r="Y13" s="880"/>
      <c r="Z13" s="880"/>
    </row>
    <row r="14" spans="1:27" x14ac:dyDescent="0.15">
      <c r="A14" s="882"/>
      <c r="B14" s="882"/>
      <c r="C14" s="695" t="s">
        <v>244</v>
      </c>
      <c r="F14" s="880">
        <f>F8/F4</f>
        <v>0.14000000000000001</v>
      </c>
      <c r="G14" s="880">
        <f t="shared" ref="G14:J15" si="6">G8/G4</f>
        <v>0.126</v>
      </c>
      <c r="H14" s="880">
        <f t="shared" si="6"/>
        <v>0.11339999999999999</v>
      </c>
      <c r="I14" s="880">
        <f t="shared" si="6"/>
        <v>0.10205999999999998</v>
      </c>
      <c r="J14" s="880">
        <f t="shared" si="6"/>
        <v>9.1853999999999991E-2</v>
      </c>
      <c r="K14" s="880">
        <f>K8/K4</f>
        <v>8.2668599999999995E-2</v>
      </c>
      <c r="L14" s="880">
        <f t="shared" ref="L14:T14" si="7">L8/L4</f>
        <v>7.4401739999999994E-2</v>
      </c>
      <c r="M14" s="880">
        <f t="shared" si="7"/>
        <v>6.6961565999999986E-2</v>
      </c>
      <c r="N14" s="880">
        <f t="shared" si="7"/>
        <v>6.0265409399999997E-2</v>
      </c>
      <c r="O14" s="880">
        <f t="shared" si="7"/>
        <v>5.4238868459999992E-2</v>
      </c>
      <c r="P14" s="880">
        <f t="shared" si="7"/>
        <v>4.8814981613999997E-2</v>
      </c>
      <c r="Q14" s="880">
        <f t="shared" si="7"/>
        <v>4.3933483452600001E-2</v>
      </c>
      <c r="R14" s="880">
        <f t="shared" si="7"/>
        <v>4.1736809279970005E-2</v>
      </c>
      <c r="S14" s="880">
        <f t="shared" si="7"/>
        <v>3.9649968815971506E-2</v>
      </c>
      <c r="T14" s="880">
        <f t="shared" si="7"/>
        <v>3.7667470375172929E-2</v>
      </c>
      <c r="U14" s="880">
        <f>U8/U4</f>
        <v>3.5784096856414281E-2</v>
      </c>
      <c r="V14" s="880"/>
      <c r="W14" s="880"/>
      <c r="X14" s="880"/>
      <c r="Y14" s="880"/>
      <c r="Z14" s="880"/>
    </row>
    <row r="15" spans="1:27" x14ac:dyDescent="0.15">
      <c r="A15" s="882"/>
      <c r="B15" s="882"/>
      <c r="C15" s="420"/>
      <c r="F15" s="880">
        <f>F9/F5</f>
        <v>0.14199999999999999</v>
      </c>
      <c r="G15" s="880">
        <f t="shared" si="6"/>
        <v>0.13489999999999999</v>
      </c>
      <c r="H15" s="880">
        <f t="shared" si="6"/>
        <v>0.12815499999999996</v>
      </c>
      <c r="I15" s="880">
        <f t="shared" si="6"/>
        <v>0.12174724999999995</v>
      </c>
      <c r="J15" s="880">
        <f t="shared" si="6"/>
        <v>0.11565988749999995</v>
      </c>
      <c r="K15" s="880">
        <f>K9/K5</f>
        <v>0.10987689312499994</v>
      </c>
      <c r="L15" s="880">
        <f t="shared" ref="L15:T15" si="8">L9/L5</f>
        <v>0.10438304846874995</v>
      </c>
      <c r="M15" s="880">
        <f t="shared" si="8"/>
        <v>9.9163896045312436E-2</v>
      </c>
      <c r="N15" s="880">
        <f t="shared" si="8"/>
        <v>9.4205701243046808E-2</v>
      </c>
      <c r="O15" s="880">
        <f t="shared" si="8"/>
        <v>8.949541618089446E-2</v>
      </c>
      <c r="P15" s="880">
        <f t="shared" si="8"/>
        <v>8.5020645371849737E-2</v>
      </c>
      <c r="Q15" s="880">
        <f t="shared" si="8"/>
        <v>8.076961310325724E-2</v>
      </c>
      <c r="R15" s="880">
        <f t="shared" si="8"/>
        <v>7.6731132448094375E-2</v>
      </c>
      <c r="S15" s="880">
        <f t="shared" si="8"/>
        <v>7.2894575825689659E-2</v>
      </c>
      <c r="T15" s="880">
        <f t="shared" si="8"/>
        <v>6.9249847034405163E-2</v>
      </c>
      <c r="U15" s="880">
        <f>U9/U5</f>
        <v>6.5787354682684901E-2</v>
      </c>
      <c r="V15" s="880"/>
      <c r="W15" s="880"/>
      <c r="X15" s="880"/>
      <c r="Y15" s="880"/>
      <c r="Z15" s="880"/>
    </row>
    <row r="16" spans="1:27" x14ac:dyDescent="0.15">
      <c r="A16" s="882"/>
      <c r="B16" s="882"/>
      <c r="C16" s="420"/>
      <c r="D16" s="420"/>
      <c r="E16" s="420"/>
      <c r="F16" s="420"/>
      <c r="G16" s="420"/>
      <c r="H16" s="420"/>
    </row>
    <row r="17" spans="1:24" x14ac:dyDescent="0.15">
      <c r="A17" s="882"/>
      <c r="B17" s="882"/>
      <c r="C17" s="420"/>
      <c r="D17" s="421">
        <v>2010</v>
      </c>
      <c r="E17" s="421">
        <v>2011</v>
      </c>
      <c r="F17" s="421">
        <v>2012</v>
      </c>
      <c r="G17" s="421">
        <v>2013</v>
      </c>
      <c r="H17" s="421">
        <v>2014</v>
      </c>
      <c r="I17" s="421">
        <v>2015</v>
      </c>
      <c r="J17" s="421">
        <v>2016</v>
      </c>
      <c r="K17" s="421">
        <v>2017</v>
      </c>
      <c r="L17" s="421">
        <v>2018</v>
      </c>
      <c r="M17" s="421">
        <v>2019</v>
      </c>
      <c r="N17" s="421">
        <v>2020</v>
      </c>
      <c r="O17" s="854">
        <v>2021</v>
      </c>
      <c r="P17" s="854">
        <v>2022</v>
      </c>
      <c r="Q17" s="854">
        <v>2023</v>
      </c>
      <c r="R17" s="854">
        <v>2024</v>
      </c>
      <c r="S17" s="854">
        <v>2025</v>
      </c>
      <c r="T17" s="854">
        <v>2026</v>
      </c>
      <c r="U17" s="854">
        <v>2027</v>
      </c>
      <c r="V17" s="854"/>
      <c r="W17" s="854"/>
      <c r="X17" s="854"/>
    </row>
    <row r="18" spans="1:24" x14ac:dyDescent="0.15">
      <c r="A18" s="882"/>
      <c r="B18" s="882"/>
      <c r="C18" s="420" t="s">
        <v>150</v>
      </c>
      <c r="D18" s="693">
        <f t="shared" ref="D18:M20" si="9">F7</f>
        <v>189.38880000000003</v>
      </c>
      <c r="E18" s="693">
        <f t="shared" si="9"/>
        <v>194.08896000000001</v>
      </c>
      <c r="F18" s="693">
        <f t="shared" si="9"/>
        <v>218.67356160000003</v>
      </c>
      <c r="G18" s="693">
        <f t="shared" si="9"/>
        <v>202.55279288400004</v>
      </c>
      <c r="H18" s="693">
        <f t="shared" si="9"/>
        <v>206.21928864747605</v>
      </c>
      <c r="I18" s="693">
        <f t="shared" si="9"/>
        <v>210.02202827691207</v>
      </c>
      <c r="J18" s="693">
        <f t="shared" si="9"/>
        <v>213.47788071693029</v>
      </c>
      <c r="K18" s="693">
        <f t="shared" si="9"/>
        <v>232.77343739803734</v>
      </c>
      <c r="L18" s="693">
        <f t="shared" si="9"/>
        <v>261.32030583285064</v>
      </c>
      <c r="M18" s="693">
        <f t="shared" si="9"/>
        <v>293.48262412400567</v>
      </c>
      <c r="N18" s="693">
        <f t="shared" ref="N18:S20" si="10">P7</f>
        <v>329.70030770599533</v>
      </c>
      <c r="O18" s="693">
        <f t="shared" si="10"/>
        <v>370.00487017545959</v>
      </c>
      <c r="P18" s="693">
        <f t="shared" si="10"/>
        <v>505.83194556639768</v>
      </c>
      <c r="Q18" s="693">
        <f t="shared" si="10"/>
        <v>691.56075049286119</v>
      </c>
      <c r="R18" s="693">
        <f t="shared" si="10"/>
        <v>945.52116413674537</v>
      </c>
      <c r="S18" s="693">
        <f t="shared" si="10"/>
        <v>1292.7662745631064</v>
      </c>
      <c r="T18" s="693"/>
      <c r="U18" s="693"/>
      <c r="V18" s="693"/>
      <c r="W18" s="693"/>
      <c r="X18" s="693"/>
    </row>
    <row r="19" spans="1:24" x14ac:dyDescent="0.15">
      <c r="A19" s="882"/>
      <c r="B19" s="882"/>
      <c r="C19" s="420" t="s">
        <v>151</v>
      </c>
      <c r="D19" s="693">
        <f t="shared" si="9"/>
        <v>196.40320000000003</v>
      </c>
      <c r="E19" s="693">
        <f t="shared" si="9"/>
        <v>232.2432</v>
      </c>
      <c r="F19" s="693">
        <f t="shared" si="9"/>
        <v>301.91615999999999</v>
      </c>
      <c r="G19" s="693">
        <f t="shared" si="9"/>
        <v>323.979264</v>
      </c>
      <c r="H19" s="693">
        <f t="shared" si="9"/>
        <v>381.97155225599994</v>
      </c>
      <c r="I19" s="693">
        <f t="shared" si="9"/>
        <v>450.34446010982401</v>
      </c>
      <c r="J19" s="693">
        <f t="shared" si="9"/>
        <v>530.95611846948248</v>
      </c>
      <c r="K19" s="693">
        <f t="shared" si="9"/>
        <v>669.00470927154788</v>
      </c>
      <c r="L19" s="693">
        <f t="shared" si="9"/>
        <v>867.03010321592603</v>
      </c>
      <c r="M19" s="693">
        <f t="shared" si="9"/>
        <v>1123.6710137678401</v>
      </c>
      <c r="N19" s="693">
        <f t="shared" si="10"/>
        <v>1456.2776338431208</v>
      </c>
      <c r="O19" s="693">
        <f t="shared" si="10"/>
        <v>1887.3358134606847</v>
      </c>
      <c r="P19" s="693">
        <f t="shared" si="10"/>
        <v>2581.8753928142169</v>
      </c>
      <c r="Q19" s="693">
        <f t="shared" si="10"/>
        <v>3532.0055373698488</v>
      </c>
      <c r="R19" s="693">
        <f t="shared" si="10"/>
        <v>4831.7835751219527</v>
      </c>
      <c r="S19" s="693">
        <f>U8</f>
        <v>6609.8799307668305</v>
      </c>
      <c r="T19" s="693"/>
      <c r="U19" s="693"/>
      <c r="V19" s="693"/>
      <c r="W19" s="693"/>
      <c r="X19" s="693"/>
    </row>
    <row r="20" spans="1:24" x14ac:dyDescent="0.15">
      <c r="A20" s="882"/>
      <c r="B20" s="882"/>
      <c r="C20" s="420" t="s">
        <v>152</v>
      </c>
      <c r="D20" s="693">
        <f t="shared" si="9"/>
        <v>199.20895999999999</v>
      </c>
      <c r="E20" s="693">
        <f t="shared" si="9"/>
        <v>248.64767999999998</v>
      </c>
      <c r="F20" s="693">
        <f t="shared" si="9"/>
        <v>341.19987199999991</v>
      </c>
      <c r="G20" s="693">
        <f t="shared" si="9"/>
        <v>388.02066047499989</v>
      </c>
      <c r="H20" s="693">
        <f t="shared" si="9"/>
        <v>484.74759051596226</v>
      </c>
      <c r="I20" s="693">
        <f t="shared" si="9"/>
        <v>605.51861561263354</v>
      </c>
      <c r="J20" s="693">
        <f t="shared" si="9"/>
        <v>754.67618460653273</v>
      </c>
      <c r="K20" s="693">
        <f t="shared" si="9"/>
        <v>1006.3280316893882</v>
      </c>
      <c r="L20" s="693">
        <f t="shared" si="9"/>
        <v>1379.0028584139641</v>
      </c>
      <c r="M20" s="693">
        <f t="shared" si="9"/>
        <v>1888.8834595713595</v>
      </c>
      <c r="N20" s="693">
        <f t="shared" si="10"/>
        <v>2586.3833678686069</v>
      </c>
      <c r="O20" s="693">
        <f t="shared" si="10"/>
        <v>3543.6648583132906</v>
      </c>
      <c r="P20" s="693">
        <f t="shared" si="10"/>
        <v>4856.5595871796831</v>
      </c>
      <c r="Q20" s="693">
        <f t="shared" si="10"/>
        <v>6655.9511696644349</v>
      </c>
      <c r="R20" s="693">
        <f t="shared" si="10"/>
        <v>9122.6069500043122</v>
      </c>
      <c r="S20" s="693">
        <f t="shared" si="10"/>
        <v>12504.830690877117</v>
      </c>
      <c r="T20" s="693"/>
      <c r="U20" s="693"/>
      <c r="V20" s="693"/>
      <c r="W20" s="693"/>
      <c r="X20" s="693"/>
    </row>
    <row r="21" spans="1:24" x14ac:dyDescent="0.15">
      <c r="A21" s="882"/>
      <c r="B21" s="882"/>
      <c r="C21" s="420"/>
      <c r="D21" s="420"/>
      <c r="E21" s="420"/>
      <c r="F21" s="420"/>
      <c r="G21" s="420"/>
      <c r="H21" s="420"/>
    </row>
    <row r="22" spans="1:24" x14ac:dyDescent="0.15">
      <c r="A22" s="882"/>
      <c r="B22" s="882"/>
      <c r="C22" s="420"/>
      <c r="D22" s="420"/>
      <c r="E22" s="420"/>
      <c r="F22" s="420"/>
      <c r="G22" s="420"/>
      <c r="H22" s="420"/>
    </row>
    <row r="23" spans="1:24" x14ac:dyDescent="0.15">
      <c r="A23" s="882"/>
      <c r="B23" s="882"/>
      <c r="C23" s="420"/>
      <c r="D23" s="420"/>
      <c r="E23" s="420"/>
      <c r="F23" s="420"/>
      <c r="G23" s="420"/>
      <c r="H23" s="420"/>
    </row>
    <row r="24" spans="1:24" x14ac:dyDescent="0.15">
      <c r="A24" s="882"/>
      <c r="B24" s="882"/>
      <c r="C24" s="420"/>
      <c r="D24" s="420"/>
      <c r="E24" s="420"/>
      <c r="F24" s="420"/>
      <c r="G24" s="420"/>
      <c r="H24" s="420"/>
    </row>
    <row r="25" spans="1:24" x14ac:dyDescent="0.15">
      <c r="A25" s="882"/>
      <c r="B25" s="882"/>
      <c r="C25" s="420"/>
      <c r="D25" s="420"/>
      <c r="E25" s="420"/>
      <c r="F25" s="420"/>
      <c r="G25" s="420"/>
      <c r="H25" s="420"/>
    </row>
    <row r="26" spans="1:24" x14ac:dyDescent="0.15">
      <c r="A26" s="882"/>
      <c r="B26" s="882"/>
      <c r="C26" s="420"/>
      <c r="D26" s="420"/>
      <c r="E26" s="420"/>
      <c r="F26" s="420"/>
      <c r="G26" s="420"/>
      <c r="H26" s="420"/>
    </row>
    <row r="27" spans="1:24" x14ac:dyDescent="0.15">
      <c r="A27" s="882"/>
      <c r="B27" s="882"/>
      <c r="C27" s="420"/>
      <c r="D27" s="420"/>
      <c r="E27" s="420"/>
      <c r="F27" s="420"/>
      <c r="G27" s="420"/>
      <c r="H27" s="420"/>
    </row>
    <row r="28" spans="1:24" x14ac:dyDescent="0.15">
      <c r="A28" s="882"/>
      <c r="B28" s="882"/>
      <c r="C28" s="420"/>
      <c r="D28" s="420"/>
      <c r="E28" s="420"/>
      <c r="F28" s="420"/>
      <c r="G28" s="420"/>
      <c r="H28" s="420"/>
    </row>
    <row r="29" spans="1:24" x14ac:dyDescent="0.15">
      <c r="A29" s="882"/>
      <c r="B29" s="882"/>
      <c r="C29" s="420"/>
      <c r="D29" s="420"/>
      <c r="E29" s="420"/>
      <c r="F29" s="420"/>
      <c r="G29" s="420"/>
      <c r="H29" s="420"/>
    </row>
    <row r="30" spans="1:24" x14ac:dyDescent="0.15">
      <c r="A30" s="882"/>
      <c r="B30" s="882"/>
      <c r="C30" s="420"/>
      <c r="D30" s="420"/>
      <c r="E30" s="420"/>
      <c r="F30" s="420"/>
      <c r="G30" s="420"/>
      <c r="H30" s="420"/>
    </row>
    <row r="31" spans="1:24" x14ac:dyDescent="0.15">
      <c r="A31" s="882"/>
      <c r="B31" s="882"/>
      <c r="C31" s="420"/>
      <c r="D31" s="420"/>
      <c r="E31" s="420"/>
      <c r="F31" s="420"/>
      <c r="G31" s="420"/>
      <c r="H31" s="420"/>
    </row>
    <row r="32" spans="1:24" x14ac:dyDescent="0.15">
      <c r="A32" s="882"/>
      <c r="B32" s="882"/>
      <c r="C32" s="420"/>
      <c r="D32" s="420"/>
      <c r="E32" s="420"/>
      <c r="F32" s="420"/>
      <c r="G32" s="420"/>
      <c r="H32" s="420"/>
    </row>
    <row r="33" spans="1:2" x14ac:dyDescent="0.15">
      <c r="A33" s="883"/>
      <c r="B33" s="883"/>
    </row>
    <row r="34" spans="1:2" x14ac:dyDescent="0.15">
      <c r="A34" s="883"/>
      <c r="B34" s="883"/>
    </row>
    <row r="35" spans="1:2" x14ac:dyDescent="0.15">
      <c r="A35" s="883"/>
      <c r="B35" s="883"/>
    </row>
    <row r="36" spans="1:2" x14ac:dyDescent="0.15">
      <c r="A36" s="883"/>
      <c r="B36" s="883"/>
    </row>
  </sheetData>
  <mergeCells count="2">
    <mergeCell ref="AA3:AA5"/>
    <mergeCell ref="AA7:AA9"/>
  </mergeCells>
  <phoneticPr fontId="6" type="noConversion"/>
  <pageMargins left="0.75" right="0.75" top="1" bottom="1" header="0.5" footer="0.5"/>
  <pageSetup paperSize="10" orientation="landscape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3:AY120"/>
  <sheetViews>
    <sheetView topLeftCell="A15" zoomScale="132" zoomScaleNormal="132" workbookViewId="0">
      <selection activeCell="T43" sqref="T43"/>
    </sheetView>
  </sheetViews>
  <sheetFormatPr baseColWidth="10" defaultColWidth="9" defaultRowHeight="13" x14ac:dyDescent="0.15"/>
  <cols>
    <col min="1" max="1" width="43.5" style="34" bestFit="1" customWidth="1"/>
    <col min="2" max="6" width="9" style="34"/>
    <col min="7" max="7" width="10.33203125" style="34" bestFit="1" customWidth="1"/>
    <col min="8" max="8" width="9.33203125" style="34" bestFit="1" customWidth="1"/>
    <col min="9" max="11" width="9" style="34"/>
    <col min="12" max="12" width="14.1640625" style="34" customWidth="1"/>
    <col min="13" max="14" width="9" style="34"/>
    <col min="15" max="15" width="14.1640625" style="34" customWidth="1"/>
    <col min="16" max="16" width="9" style="34"/>
    <col min="17" max="17" width="10.33203125" style="34" bestFit="1" customWidth="1"/>
    <col min="18" max="16384" width="9" style="34"/>
  </cols>
  <sheetData>
    <row r="3" spans="1:45" ht="14" thickBot="1" x14ac:dyDescent="0.2"/>
    <row r="4" spans="1:45" s="45" customFormat="1" x14ac:dyDescent="0.15">
      <c r="B4" s="120">
        <v>2010</v>
      </c>
      <c r="C4" s="120">
        <v>2011</v>
      </c>
      <c r="D4" s="120">
        <v>2012</v>
      </c>
      <c r="E4" s="120">
        <v>2013</v>
      </c>
      <c r="F4" s="120">
        <v>2014</v>
      </c>
      <c r="G4" s="273">
        <v>2015</v>
      </c>
      <c r="H4" s="274">
        <v>2016</v>
      </c>
      <c r="I4" s="274">
        <v>2017</v>
      </c>
      <c r="J4" s="274">
        <v>2018</v>
      </c>
      <c r="K4" s="274">
        <v>2019</v>
      </c>
      <c r="L4" s="274">
        <v>2020</v>
      </c>
      <c r="M4" s="274">
        <v>2021</v>
      </c>
      <c r="N4" s="274">
        <v>2022</v>
      </c>
      <c r="O4" s="274">
        <v>2023</v>
      </c>
      <c r="P4" s="274">
        <v>2024</v>
      </c>
      <c r="Q4" s="275">
        <v>2025</v>
      </c>
      <c r="R4" s="120"/>
      <c r="S4" s="120"/>
      <c r="T4" s="120"/>
      <c r="U4" s="120"/>
      <c r="V4" s="120"/>
    </row>
    <row r="5" spans="1:45" s="45" customFormat="1" x14ac:dyDescent="0.15">
      <c r="A5" s="45" t="s">
        <v>202</v>
      </c>
      <c r="B5" s="44">
        <f>SUM('WANFANWIFI old'!F57:F72)</f>
        <v>3.8400000000000003</v>
      </c>
      <c r="C5" s="44">
        <f>SUM('WANFANWIFI old'!G57:G72)</f>
        <v>6.48</v>
      </c>
      <c r="D5" s="44">
        <f>SUM('WANFANWIFI old'!H57:H72)</f>
        <v>10.8</v>
      </c>
      <c r="E5" s="44">
        <f>SUM('WANFANWIFI old'!I57:I72)</f>
        <v>19.2</v>
      </c>
      <c r="F5" s="44">
        <f>SUM('WANFANWIFI old'!J57:J72)</f>
        <v>33.599999999999994</v>
      </c>
      <c r="G5" s="276">
        <f>SUM('WANFANWIFI old'!K57:K72)</f>
        <v>56.4</v>
      </c>
      <c r="H5" s="277">
        <f>SUM('WANFANWIFI old'!L57:L72)</f>
        <v>88.900085268397703</v>
      </c>
      <c r="I5" s="277">
        <f>SUM('WANFANWIFI old'!M57:M72)</f>
        <v>134.65842069654317</v>
      </c>
      <c r="J5" s="277">
        <f>SUM('WANFANWIFI old'!N57:N72)</f>
        <v>212.35199999999998</v>
      </c>
      <c r="K5" s="277">
        <f>SUM('WANFANWIFI old'!O57:O72)</f>
        <v>335.51616000000007</v>
      </c>
      <c r="L5" s="277">
        <f>SUM('WANFANWIFI old'!P57:P72)</f>
        <v>530.1155328000001</v>
      </c>
      <c r="M5" s="277">
        <f>'WANFANWIFI old'!Q77</f>
        <v>757.94823529411758</v>
      </c>
      <c r="N5" s="277">
        <f>'WANFANWIFI old'!R77</f>
        <v>1059.1020580789275</v>
      </c>
      <c r="O5" s="277">
        <f>'WANFANWIFI old'!S77</f>
        <v>1477.904280799645</v>
      </c>
      <c r="P5" s="277">
        <f>'WANFANWIFI old'!T77</f>
        <v>2061.7347465015469</v>
      </c>
      <c r="Q5" s="278">
        <f>'WANFANWIFI old'!U77</f>
        <v>2876.8887247184211</v>
      </c>
      <c r="R5" s="44"/>
      <c r="S5" s="44"/>
      <c r="T5" s="44"/>
      <c r="U5" s="44"/>
      <c r="V5" s="44"/>
      <c r="AD5" s="121"/>
      <c r="AS5" s="121"/>
    </row>
    <row r="6" spans="1:45" s="45" customFormat="1" x14ac:dyDescent="0.15">
      <c r="A6" s="45" t="s">
        <v>203</v>
      </c>
      <c r="B6" s="44">
        <f>SUM('WANFANWIFI old'!F57:F72)</f>
        <v>3.8400000000000003</v>
      </c>
      <c r="C6" s="44">
        <f>SUM('WANFANWIFI old'!G57:G72)</f>
        <v>6.48</v>
      </c>
      <c r="D6" s="44">
        <f>SUM('WANFANWIFI old'!H57:H72)</f>
        <v>10.8</v>
      </c>
      <c r="E6" s="44">
        <f>SUM('WANFANWIFI old'!I57:I72)</f>
        <v>19.2</v>
      </c>
      <c r="F6" s="44">
        <f>SUM('WANFANWIFI old'!J57:J72)</f>
        <v>33.599999999999994</v>
      </c>
      <c r="G6" s="276">
        <f>SUM('WANFANWIFI old'!K57:K72)</f>
        <v>56.4</v>
      </c>
      <c r="H6" s="277">
        <f>SUM('WANFANWIFI old'!L57:L72)</f>
        <v>88.900085268397703</v>
      </c>
      <c r="I6" s="277">
        <f>SUM('WANFANWIFI old'!M57:M72)</f>
        <v>134.65842069654317</v>
      </c>
      <c r="J6" s="277">
        <f>SUM('WANFANWIFI old'!N57:N72)</f>
        <v>212.35199999999998</v>
      </c>
      <c r="K6" s="277">
        <f>SUM('WANFANWIFI old'!O57:O72)</f>
        <v>335.51616000000007</v>
      </c>
      <c r="L6" s="277">
        <f>SUM('WANFANWIFI old'!P57:P72)</f>
        <v>530.1155328000001</v>
      </c>
      <c r="M6" s="277">
        <f>'WANFANWIFI old'!Q78</f>
        <v>810.74823529411765</v>
      </c>
      <c r="N6" s="277">
        <f>'WANFANWIFI old'!R78</f>
        <v>1209.3548175725987</v>
      </c>
      <c r="O6" s="277">
        <f>'WANFANWIFI old'!S78</f>
        <v>1805.8294210015363</v>
      </c>
      <c r="P6" s="277">
        <f>'WANFANWIFI old'!T78</f>
        <v>2699.1787280543249</v>
      </c>
      <c r="Q6" s="278">
        <f>'WANFANWIFI old'!U78</f>
        <v>4037.9090828512772</v>
      </c>
      <c r="R6" s="44"/>
      <c r="S6" s="44"/>
      <c r="T6" s="44"/>
      <c r="U6" s="44"/>
      <c r="V6" s="44"/>
      <c r="AD6" s="121"/>
      <c r="AS6" s="121"/>
    </row>
    <row r="7" spans="1:45" s="45" customFormat="1" x14ac:dyDescent="0.15">
      <c r="A7" s="45" t="s">
        <v>204</v>
      </c>
      <c r="B7" s="44">
        <f>SUM('WANFANWIFI old'!F57:F72)</f>
        <v>3.8400000000000003</v>
      </c>
      <c r="C7" s="44">
        <f>SUM('WANFANWIFI old'!G57:G72)</f>
        <v>6.48</v>
      </c>
      <c r="D7" s="44">
        <f>SUM('WANFANWIFI old'!H57:H72)</f>
        <v>10.8</v>
      </c>
      <c r="E7" s="44">
        <f>SUM('WANFANWIFI old'!I57:I72)</f>
        <v>19.2</v>
      </c>
      <c r="F7" s="44">
        <f>SUM('WANFANWIFI old'!J57:J72)</f>
        <v>33.599999999999994</v>
      </c>
      <c r="G7" s="276">
        <f>SUM('WANFANWIFI old'!K57:K72)</f>
        <v>56.4</v>
      </c>
      <c r="H7" s="277">
        <f>SUM('WANFANWIFI old'!L57:L72)</f>
        <v>88.900085268397703</v>
      </c>
      <c r="I7" s="277">
        <f>SUM('WANFANWIFI old'!M57:M72)</f>
        <v>134.65842069654317</v>
      </c>
      <c r="J7" s="277">
        <f>SUM('WANFANWIFI old'!N57:N72)</f>
        <v>212.35199999999998</v>
      </c>
      <c r="K7" s="277">
        <f>SUM('WANFANWIFI old'!O57:O72)</f>
        <v>335.51616000000007</v>
      </c>
      <c r="L7" s="277">
        <f>SUM('WANFANWIFI old'!P57:P72)</f>
        <v>530.1155328000001</v>
      </c>
      <c r="M7" s="277">
        <f>'WANFANWIFI old'!Q79</f>
        <v>850.87623529411769</v>
      </c>
      <c r="N7" s="277">
        <f>'WANFANWIFI old'!R79</f>
        <v>1357.061146686523</v>
      </c>
      <c r="O7" s="277">
        <f>'WANFANWIFI old'!S79</f>
        <v>2167.3652594889591</v>
      </c>
      <c r="P7" s="277">
        <f>'WANFANWIFI old'!T79</f>
        <v>3464.2652623268687</v>
      </c>
      <c r="Q7" s="278">
        <f>'WANFANWIFI old'!U79</f>
        <v>5539.723922415892</v>
      </c>
      <c r="R7" s="44"/>
      <c r="S7" s="44"/>
      <c r="T7" s="44"/>
      <c r="U7" s="44"/>
      <c r="V7" s="44"/>
      <c r="AD7" s="121"/>
      <c r="AS7" s="121"/>
    </row>
    <row r="8" spans="1:45" s="45" customFormat="1" x14ac:dyDescent="0.15">
      <c r="B8" s="44"/>
      <c r="C8" s="44"/>
      <c r="D8" s="44"/>
      <c r="E8" s="44"/>
      <c r="F8" s="44"/>
      <c r="G8" s="559"/>
      <c r="H8" s="276"/>
      <c r="I8" s="276"/>
      <c r="J8" s="276"/>
      <c r="K8" s="276"/>
      <c r="L8" s="276"/>
      <c r="M8" s="276"/>
      <c r="N8" s="276"/>
      <c r="O8" s="276"/>
      <c r="P8" s="276"/>
      <c r="Q8" s="276"/>
      <c r="R8" s="44"/>
      <c r="S8" s="44"/>
      <c r="T8" s="44"/>
      <c r="U8" s="44"/>
      <c r="V8" s="44"/>
      <c r="AD8" s="121"/>
      <c r="AS8" s="121"/>
    </row>
    <row r="9" spans="1:45" s="45" customFormat="1" x14ac:dyDescent="0.15">
      <c r="A9" s="45" t="s">
        <v>217</v>
      </c>
      <c r="B9" s="44">
        <v>18.748235294117642</v>
      </c>
      <c r="C9" s="44">
        <v>18.748235294117642</v>
      </c>
      <c r="D9" s="44">
        <v>18.748235294117642</v>
      </c>
      <c r="E9" s="44">
        <v>18.748235294117642</v>
      </c>
      <c r="F9" s="44">
        <v>18.748235294117642</v>
      </c>
      <c r="G9" s="276">
        <v>18.748235294117642</v>
      </c>
      <c r="H9" s="277">
        <v>18.748235294117642</v>
      </c>
      <c r="I9" s="277">
        <v>18.748235294117642</v>
      </c>
      <c r="J9" s="277">
        <v>18.748235294117642</v>
      </c>
      <c r="K9" s="277">
        <v>18.748235294117642</v>
      </c>
      <c r="L9" s="277">
        <v>18.748235294117642</v>
      </c>
      <c r="M9" s="277">
        <v>18.748235294117642</v>
      </c>
      <c r="N9" s="277">
        <v>18.748235294117642</v>
      </c>
      <c r="O9" s="277">
        <v>18.748235294117642</v>
      </c>
      <c r="P9" s="277">
        <v>18.748235294117642</v>
      </c>
      <c r="Q9" s="278">
        <v>18.748235294117642</v>
      </c>
      <c r="R9" s="44"/>
      <c r="S9" s="44"/>
      <c r="T9" s="44"/>
      <c r="U9" s="44"/>
      <c r="V9" s="44"/>
    </row>
    <row r="10" spans="1:45" s="102" customFormat="1" x14ac:dyDescent="0.15">
      <c r="B10" s="122"/>
      <c r="C10" s="122"/>
      <c r="D10" s="122"/>
      <c r="E10" s="122"/>
      <c r="F10" s="122"/>
      <c r="G10" s="279"/>
      <c r="H10" s="280"/>
      <c r="I10" s="280"/>
      <c r="J10" s="280"/>
      <c r="K10" s="280"/>
      <c r="L10" s="280"/>
      <c r="M10" s="280"/>
      <c r="N10" s="280"/>
      <c r="O10" s="280"/>
      <c r="P10" s="280"/>
      <c r="Q10" s="281">
        <f>(Q7/G7)^0.1</f>
        <v>1.5820525379916193</v>
      </c>
      <c r="R10" s="122"/>
      <c r="S10" s="122"/>
      <c r="T10" s="122"/>
      <c r="U10" s="122"/>
      <c r="V10" s="122"/>
    </row>
    <row r="11" spans="1:45" s="102" customFormat="1" x14ac:dyDescent="0.15">
      <c r="A11" s="44" t="s">
        <v>262</v>
      </c>
      <c r="B11" s="44">
        <v>207</v>
      </c>
      <c r="C11" s="44">
        <v>236</v>
      </c>
      <c r="D11" s="44">
        <v>270</v>
      </c>
      <c r="E11" s="44">
        <f>D11*1.13</f>
        <v>305.09999999999997</v>
      </c>
      <c r="F11" s="44">
        <f t="shared" ref="F11:Q11" si="0">E11*1.13</f>
        <v>344.76299999999992</v>
      </c>
      <c r="G11" s="276">
        <f t="shared" si="0"/>
        <v>389.58218999999985</v>
      </c>
      <c r="H11" s="277">
        <f t="shared" si="0"/>
        <v>440.2278746999998</v>
      </c>
      <c r="I11" s="277">
        <f t="shared" si="0"/>
        <v>497.45749841099973</v>
      </c>
      <c r="J11" s="277">
        <f t="shared" si="0"/>
        <v>562.12697320442965</v>
      </c>
      <c r="K11" s="277">
        <f t="shared" si="0"/>
        <v>635.20347972100546</v>
      </c>
      <c r="L11" s="277">
        <f>K11*1.13</f>
        <v>717.77993208473606</v>
      </c>
      <c r="M11" s="277">
        <f t="shared" si="0"/>
        <v>811.09132325575172</v>
      </c>
      <c r="N11" s="277">
        <f t="shared" si="0"/>
        <v>916.5331952789993</v>
      </c>
      <c r="O11" s="277">
        <f t="shared" si="0"/>
        <v>1035.6825106652691</v>
      </c>
      <c r="P11" s="277">
        <f t="shared" si="0"/>
        <v>1170.321237051754</v>
      </c>
      <c r="Q11" s="278">
        <f t="shared" si="0"/>
        <v>1322.4629978684818</v>
      </c>
      <c r="R11" s="44"/>
      <c r="S11" s="44"/>
      <c r="T11" s="44"/>
      <c r="U11" s="44"/>
      <c r="V11" s="44"/>
      <c r="W11" s="44"/>
    </row>
    <row r="12" spans="1:45" s="102" customFormat="1" x14ac:dyDescent="0.15">
      <c r="A12" s="44" t="s">
        <v>263</v>
      </c>
      <c r="B12" s="44">
        <v>118</v>
      </c>
      <c r="C12" s="44">
        <v>154</v>
      </c>
      <c r="D12" s="44">
        <v>200</v>
      </c>
      <c r="E12" s="44">
        <f>D12*1.25</f>
        <v>250</v>
      </c>
      <c r="F12" s="44">
        <f t="shared" ref="F12:Q12" si="1">E12*1.25</f>
        <v>312.5</v>
      </c>
      <c r="G12" s="276">
        <f t="shared" si="1"/>
        <v>390.625</v>
      </c>
      <c r="H12" s="277">
        <f t="shared" si="1"/>
        <v>488.28125</v>
      </c>
      <c r="I12" s="277">
        <f t="shared" si="1"/>
        <v>610.3515625</v>
      </c>
      <c r="J12" s="277">
        <f t="shared" si="1"/>
        <v>762.939453125</v>
      </c>
      <c r="K12" s="277">
        <f t="shared" si="1"/>
        <v>953.67431640625</v>
      </c>
      <c r="L12" s="277">
        <f t="shared" si="1"/>
        <v>1192.0928955078125</v>
      </c>
      <c r="M12" s="277">
        <f t="shared" si="1"/>
        <v>1490.1161193847656</v>
      </c>
      <c r="N12" s="277">
        <f t="shared" si="1"/>
        <v>1862.645149230957</v>
      </c>
      <c r="O12" s="277">
        <f t="shared" si="1"/>
        <v>2328.3064365386963</v>
      </c>
      <c r="P12" s="277">
        <f t="shared" si="1"/>
        <v>2910.3830456733704</v>
      </c>
      <c r="Q12" s="278">
        <f t="shared" si="1"/>
        <v>3637.978807091713</v>
      </c>
      <c r="R12" s="44"/>
      <c r="S12" s="44"/>
      <c r="T12" s="44"/>
      <c r="U12" s="44"/>
      <c r="V12" s="44"/>
      <c r="W12" s="44"/>
    </row>
    <row r="13" spans="1:45" s="102" customFormat="1" ht="15" x14ac:dyDescent="0.2">
      <c r="A13" s="123" t="s">
        <v>205</v>
      </c>
      <c r="B13" s="124">
        <f>SUM(B11:B12)</f>
        <v>325</v>
      </c>
      <c r="C13" s="124">
        <f t="shared" ref="C13:Q13" si="2">SUM(C11:C12)</f>
        <v>390</v>
      </c>
      <c r="D13" s="124">
        <f t="shared" si="2"/>
        <v>470</v>
      </c>
      <c r="E13" s="124">
        <f t="shared" si="2"/>
        <v>555.09999999999991</v>
      </c>
      <c r="F13" s="124">
        <f t="shared" si="2"/>
        <v>657.26299999999992</v>
      </c>
      <c r="G13" s="282">
        <f t="shared" si="2"/>
        <v>780.20718999999985</v>
      </c>
      <c r="H13" s="283">
        <f t="shared" si="2"/>
        <v>928.5091246999998</v>
      </c>
      <c r="I13" s="283">
        <f t="shared" si="2"/>
        <v>1107.8090609109997</v>
      </c>
      <c r="J13" s="283">
        <f t="shared" si="2"/>
        <v>1325.0664263294298</v>
      </c>
      <c r="K13" s="283">
        <f t="shared" si="2"/>
        <v>1588.8777961272554</v>
      </c>
      <c r="L13" s="283">
        <f t="shared" si="2"/>
        <v>1909.8728275925487</v>
      </c>
      <c r="M13" s="283">
        <f t="shared" si="2"/>
        <v>2301.2074426405175</v>
      </c>
      <c r="N13" s="283">
        <f t="shared" si="2"/>
        <v>2779.1783445099563</v>
      </c>
      <c r="O13" s="283">
        <f t="shared" si="2"/>
        <v>3363.9889472039654</v>
      </c>
      <c r="P13" s="283">
        <f t="shared" si="2"/>
        <v>4080.7042827251244</v>
      </c>
      <c r="Q13" s="284">
        <f t="shared" si="2"/>
        <v>4960.4418049601945</v>
      </c>
      <c r="R13" s="124"/>
      <c r="S13" s="124"/>
      <c r="T13" s="124"/>
      <c r="U13" s="124"/>
      <c r="V13" s="124"/>
      <c r="W13" s="123" t="s">
        <v>42</v>
      </c>
    </row>
    <row r="14" spans="1:45" s="102" customFormat="1" x14ac:dyDescent="0.15">
      <c r="G14" s="285"/>
      <c r="H14" s="286"/>
      <c r="I14" s="286"/>
      <c r="J14" s="286"/>
      <c r="K14" s="286"/>
      <c r="L14" s="286"/>
      <c r="M14" s="286"/>
      <c r="N14" s="286"/>
      <c r="O14" s="286"/>
      <c r="P14" s="286"/>
      <c r="Q14" s="287"/>
    </row>
    <row r="15" spans="1:45" s="102" customFormat="1" x14ac:dyDescent="0.15">
      <c r="A15" s="45"/>
      <c r="B15" s="44"/>
      <c r="C15" s="44"/>
      <c r="D15" s="44"/>
      <c r="E15" s="44"/>
      <c r="F15" s="44"/>
      <c r="G15" s="276">
        <f>(G13+G18)/2</f>
        <v>809.81203499999992</v>
      </c>
      <c r="H15" s="277"/>
      <c r="I15" s="277"/>
      <c r="J15" s="277"/>
      <c r="K15" s="277"/>
      <c r="L15" s="277"/>
      <c r="M15" s="277"/>
      <c r="N15" s="277"/>
      <c r="O15" s="277"/>
      <c r="P15" s="277"/>
      <c r="Q15" s="278"/>
      <c r="R15" s="44"/>
      <c r="S15" s="44"/>
      <c r="T15" s="44"/>
      <c r="U15" s="44"/>
      <c r="V15" s="44"/>
      <c r="W15" s="45"/>
    </row>
    <row r="16" spans="1:45" s="45" customFormat="1" x14ac:dyDescent="0.15">
      <c r="A16" s="45" t="s">
        <v>264</v>
      </c>
      <c r="B16" s="44">
        <v>207</v>
      </c>
      <c r="C16" s="44">
        <v>236</v>
      </c>
      <c r="D16" s="44">
        <v>270</v>
      </c>
      <c r="E16" s="44">
        <f>D16*1.14</f>
        <v>307.79999999999995</v>
      </c>
      <c r="F16" s="44">
        <f>E16*1.14</f>
        <v>350.89199999999994</v>
      </c>
      <c r="G16" s="276">
        <f>F16*1.14</f>
        <v>400.0168799999999</v>
      </c>
      <c r="H16" s="277">
        <v>458</v>
      </c>
      <c r="I16" s="277">
        <f>H16*1.14</f>
        <v>522.12</v>
      </c>
      <c r="J16" s="277">
        <f>I16*1.14</f>
        <v>595.21679999999992</v>
      </c>
      <c r="K16" s="277">
        <f>J16*1.14</f>
        <v>678.54715199999987</v>
      </c>
      <c r="L16" s="277">
        <f>K16*1.14</f>
        <v>773.54375327999981</v>
      </c>
      <c r="M16" s="277">
        <f t="shared" ref="M16:Q16" si="3">L16*1.14</f>
        <v>881.83987873919966</v>
      </c>
      <c r="N16" s="277">
        <f t="shared" si="3"/>
        <v>1005.2974617626875</v>
      </c>
      <c r="O16" s="277">
        <f t="shared" si="3"/>
        <v>1146.0391064094636</v>
      </c>
      <c r="P16" s="277">
        <f t="shared" si="3"/>
        <v>1306.4845813067884</v>
      </c>
      <c r="Q16" s="278">
        <f t="shared" si="3"/>
        <v>1489.3924226897386</v>
      </c>
      <c r="R16" s="44"/>
      <c r="S16" s="44"/>
      <c r="T16" s="44"/>
      <c r="U16" s="44"/>
      <c r="V16" s="44"/>
    </row>
    <row r="17" spans="1:46" s="45" customFormat="1" x14ac:dyDescent="0.15">
      <c r="A17" s="45" t="s">
        <v>266</v>
      </c>
      <c r="B17" s="44">
        <v>118</v>
      </c>
      <c r="C17" s="44">
        <v>154</v>
      </c>
      <c r="D17" s="44">
        <v>200</v>
      </c>
      <c r="E17" s="44">
        <f>D17*1.3</f>
        <v>260</v>
      </c>
      <c r="F17" s="44">
        <f>E17*1.3</f>
        <v>338</v>
      </c>
      <c r="G17" s="276">
        <f>F17*1.3</f>
        <v>439.40000000000003</v>
      </c>
      <c r="H17" s="277">
        <v>585</v>
      </c>
      <c r="I17" s="277">
        <f>H17*1.3</f>
        <v>760.5</v>
      </c>
      <c r="J17" s="277">
        <f>I17*1.3</f>
        <v>988.65</v>
      </c>
      <c r="K17" s="277">
        <f>J17*1.3</f>
        <v>1285.2450000000001</v>
      </c>
      <c r="L17" s="277">
        <f>K17*1.3</f>
        <v>1670.8185000000003</v>
      </c>
      <c r="M17" s="277">
        <f t="shared" ref="M17:Q17" si="4">L17*1.3</f>
        <v>2172.0640500000004</v>
      </c>
      <c r="N17" s="277">
        <f t="shared" si="4"/>
        <v>2823.6832650000006</v>
      </c>
      <c r="O17" s="277">
        <f t="shared" si="4"/>
        <v>3670.7882445000009</v>
      </c>
      <c r="P17" s="277">
        <f t="shared" si="4"/>
        <v>4772.0247178500013</v>
      </c>
      <c r="Q17" s="278">
        <f t="shared" si="4"/>
        <v>6203.632133205002</v>
      </c>
      <c r="R17" s="44"/>
      <c r="S17" s="44"/>
      <c r="T17" s="44"/>
      <c r="U17" s="44"/>
      <c r="V17" s="44"/>
    </row>
    <row r="18" spans="1:46" s="216" customFormat="1" ht="15" x14ac:dyDescent="0.2">
      <c r="A18" s="128" t="s">
        <v>206</v>
      </c>
      <c r="B18" s="128">
        <f t="shared" ref="B18:Q18" si="5">SUM(B16:B17)</f>
        <v>325</v>
      </c>
      <c r="C18" s="128">
        <f t="shared" si="5"/>
        <v>390</v>
      </c>
      <c r="D18" s="128">
        <f t="shared" si="5"/>
        <v>470</v>
      </c>
      <c r="E18" s="128">
        <f t="shared" si="5"/>
        <v>567.79999999999995</v>
      </c>
      <c r="F18" s="128">
        <f t="shared" si="5"/>
        <v>688.89199999999994</v>
      </c>
      <c r="G18" s="288">
        <f t="shared" si="5"/>
        <v>839.41687999999999</v>
      </c>
      <c r="H18" s="134">
        <f t="shared" si="5"/>
        <v>1043</v>
      </c>
      <c r="I18" s="134">
        <f t="shared" si="5"/>
        <v>1282.6199999999999</v>
      </c>
      <c r="J18" s="134">
        <f t="shared" si="5"/>
        <v>1583.8667999999998</v>
      </c>
      <c r="K18" s="134">
        <f t="shared" si="5"/>
        <v>1963.792152</v>
      </c>
      <c r="L18" s="134">
        <f t="shared" si="5"/>
        <v>2444.36225328</v>
      </c>
      <c r="M18" s="134">
        <f t="shared" si="5"/>
        <v>3053.9039287392002</v>
      </c>
      <c r="N18" s="134">
        <f t="shared" si="5"/>
        <v>3828.9807267626879</v>
      </c>
      <c r="O18" s="134">
        <f t="shared" si="5"/>
        <v>4816.8273509094643</v>
      </c>
      <c r="P18" s="134">
        <f t="shared" si="5"/>
        <v>6078.5092991567899</v>
      </c>
      <c r="Q18" s="289">
        <f t="shared" si="5"/>
        <v>7693.0245558947408</v>
      </c>
      <c r="R18" s="128"/>
      <c r="S18" s="128"/>
      <c r="T18" s="128"/>
      <c r="U18" s="128"/>
      <c r="V18" s="128"/>
      <c r="W18" s="128" t="s">
        <v>42</v>
      </c>
    </row>
    <row r="19" spans="1:46" s="44" customFormat="1" x14ac:dyDescent="0.15">
      <c r="G19" s="276"/>
      <c r="H19" s="277"/>
      <c r="I19" s="277"/>
      <c r="J19" s="277"/>
      <c r="K19" s="277"/>
      <c r="L19" s="277"/>
      <c r="M19" s="277"/>
      <c r="N19" s="277"/>
      <c r="O19" s="277"/>
      <c r="P19" s="277"/>
      <c r="Q19" s="278"/>
    </row>
    <row r="20" spans="1:46" s="44" customFormat="1" x14ac:dyDescent="0.15">
      <c r="G20" s="276"/>
      <c r="H20" s="277"/>
      <c r="I20" s="277"/>
      <c r="J20" s="277"/>
      <c r="K20" s="277"/>
      <c r="L20" s="277"/>
      <c r="M20" s="277"/>
      <c r="N20" s="277"/>
      <c r="O20" s="277"/>
      <c r="P20" s="277"/>
      <c r="Q20" s="278"/>
    </row>
    <row r="21" spans="1:46" s="44" customFormat="1" x14ac:dyDescent="0.15">
      <c r="A21" s="44" t="s">
        <v>265</v>
      </c>
      <c r="B21" s="44">
        <v>207</v>
      </c>
      <c r="C21" s="44">
        <v>236</v>
      </c>
      <c r="D21" s="44">
        <v>270</v>
      </c>
      <c r="E21" s="44">
        <f>D21*1.15</f>
        <v>310.5</v>
      </c>
      <c r="F21" s="44">
        <f t="shared" ref="F21:Q21" si="6">E21*1.15</f>
        <v>357.07499999999999</v>
      </c>
      <c r="G21" s="276">
        <f t="shared" si="6"/>
        <v>410.63624999999996</v>
      </c>
      <c r="H21" s="277">
        <f t="shared" si="6"/>
        <v>472.23168749999991</v>
      </c>
      <c r="I21" s="277">
        <f t="shared" si="6"/>
        <v>543.06644062499981</v>
      </c>
      <c r="J21" s="277">
        <f t="shared" si="6"/>
        <v>624.52640671874974</v>
      </c>
      <c r="K21" s="277">
        <f t="shared" si="6"/>
        <v>718.20536772656214</v>
      </c>
      <c r="L21" s="277">
        <f t="shared" si="6"/>
        <v>825.9361728855464</v>
      </c>
      <c r="M21" s="277">
        <f t="shared" si="6"/>
        <v>949.82659881837833</v>
      </c>
      <c r="N21" s="277">
        <f t="shared" si="6"/>
        <v>1092.3005886411349</v>
      </c>
      <c r="O21" s="277">
        <f t="shared" si="6"/>
        <v>1256.1456769373051</v>
      </c>
      <c r="P21" s="277">
        <f t="shared" si="6"/>
        <v>1444.5675284779009</v>
      </c>
      <c r="Q21" s="278">
        <f t="shared" si="6"/>
        <v>1661.2526577495858</v>
      </c>
    </row>
    <row r="22" spans="1:46" s="44" customFormat="1" x14ac:dyDescent="0.15">
      <c r="A22" s="44" t="s">
        <v>267</v>
      </c>
      <c r="B22" s="44">
        <v>118</v>
      </c>
      <c r="C22" s="44">
        <v>154</v>
      </c>
      <c r="D22" s="44">
        <v>200</v>
      </c>
      <c r="E22" s="44">
        <f>D22*1.35</f>
        <v>270</v>
      </c>
      <c r="F22" s="44">
        <f t="shared" ref="F22:Q22" si="7">E22*1.35</f>
        <v>364.5</v>
      </c>
      <c r="G22" s="276">
        <f t="shared" si="7"/>
        <v>492.07500000000005</v>
      </c>
      <c r="H22" s="277">
        <f t="shared" si="7"/>
        <v>664.3012500000001</v>
      </c>
      <c r="I22" s="277">
        <f t="shared" si="7"/>
        <v>896.80668750000018</v>
      </c>
      <c r="J22" s="277">
        <f t="shared" si="7"/>
        <v>1210.6890281250003</v>
      </c>
      <c r="K22" s="277">
        <f t="shared" si="7"/>
        <v>1634.4301879687505</v>
      </c>
      <c r="L22" s="277">
        <f t="shared" si="7"/>
        <v>2206.4807537578131</v>
      </c>
      <c r="M22" s="277">
        <f t="shared" si="7"/>
        <v>2978.7490175730477</v>
      </c>
      <c r="N22" s="277">
        <f t="shared" si="7"/>
        <v>4021.3111737236145</v>
      </c>
      <c r="O22" s="277">
        <f t="shared" si="7"/>
        <v>5428.7700845268801</v>
      </c>
      <c r="P22" s="277">
        <f t="shared" si="7"/>
        <v>7328.8396141112889</v>
      </c>
      <c r="Q22" s="278">
        <f t="shared" si="7"/>
        <v>9893.9334790502398</v>
      </c>
    </row>
    <row r="23" spans="1:46" s="212" customFormat="1" ht="15" x14ac:dyDescent="0.2">
      <c r="A23" s="125" t="s">
        <v>207</v>
      </c>
      <c r="B23" s="125">
        <f t="shared" ref="B23:Q23" si="8">SUM(B21:B22)</f>
        <v>325</v>
      </c>
      <c r="C23" s="125">
        <f t="shared" si="8"/>
        <v>390</v>
      </c>
      <c r="D23" s="125">
        <f t="shared" si="8"/>
        <v>470</v>
      </c>
      <c r="E23" s="125">
        <f t="shared" si="8"/>
        <v>580.5</v>
      </c>
      <c r="F23" s="125">
        <f t="shared" si="8"/>
        <v>721.57500000000005</v>
      </c>
      <c r="G23" s="290">
        <f t="shared" si="8"/>
        <v>902.71125000000006</v>
      </c>
      <c r="H23" s="291">
        <f t="shared" si="8"/>
        <v>1136.5329375000001</v>
      </c>
      <c r="I23" s="291">
        <f t="shared" si="8"/>
        <v>1439.873128125</v>
      </c>
      <c r="J23" s="291">
        <f t="shared" si="8"/>
        <v>1835.21543484375</v>
      </c>
      <c r="K23" s="291">
        <f t="shared" si="8"/>
        <v>2352.6355556953126</v>
      </c>
      <c r="L23" s="291">
        <f t="shared" si="8"/>
        <v>3032.4169266433596</v>
      </c>
      <c r="M23" s="291">
        <f t="shared" si="8"/>
        <v>3928.5756163914261</v>
      </c>
      <c r="N23" s="291">
        <f t="shared" si="8"/>
        <v>5113.6117623647497</v>
      </c>
      <c r="O23" s="291">
        <f t="shared" si="8"/>
        <v>6684.9157614641854</v>
      </c>
      <c r="P23" s="291">
        <f t="shared" si="8"/>
        <v>8773.4071425891889</v>
      </c>
      <c r="Q23" s="292">
        <f t="shared" si="8"/>
        <v>11555.186136799826</v>
      </c>
      <c r="R23" s="125"/>
      <c r="S23" s="125"/>
      <c r="T23" s="125"/>
      <c r="U23" s="125"/>
      <c r="V23" s="125"/>
      <c r="W23" s="125" t="s">
        <v>42</v>
      </c>
    </row>
    <row r="24" spans="1:46" s="44" customFormat="1" x14ac:dyDescent="0.15">
      <c r="G24" s="276"/>
      <c r="H24" s="277"/>
      <c r="I24" s="277"/>
      <c r="J24" s="277"/>
      <c r="K24" s="277"/>
      <c r="L24" s="277"/>
      <c r="M24" s="277"/>
      <c r="N24" s="277"/>
      <c r="O24" s="277"/>
      <c r="P24" s="277"/>
      <c r="Q24" s="278"/>
    </row>
    <row r="25" spans="1:46" x14ac:dyDescent="0.15">
      <c r="B25" s="37">
        <v>2010</v>
      </c>
      <c r="C25" s="37">
        <v>2011</v>
      </c>
      <c r="D25" s="37">
        <v>2012</v>
      </c>
      <c r="E25" s="37">
        <v>2013</v>
      </c>
      <c r="F25" s="37">
        <v>2014</v>
      </c>
      <c r="G25" s="293">
        <v>2015</v>
      </c>
      <c r="H25" s="294">
        <v>2016</v>
      </c>
      <c r="I25" s="294">
        <v>2017</v>
      </c>
      <c r="J25" s="294">
        <v>2018</v>
      </c>
      <c r="K25" s="294">
        <v>2019</v>
      </c>
      <c r="L25" s="294">
        <v>2020</v>
      </c>
      <c r="M25" s="294">
        <v>2021</v>
      </c>
      <c r="N25" s="294">
        <v>2022</v>
      </c>
      <c r="O25" s="294">
        <v>2023</v>
      </c>
      <c r="P25" s="294">
        <v>2024</v>
      </c>
      <c r="Q25" s="295">
        <v>2025</v>
      </c>
      <c r="R25" s="37"/>
      <c r="S25" s="37"/>
      <c r="T25" s="37"/>
      <c r="U25" s="37"/>
      <c r="V25" s="37"/>
    </row>
    <row r="26" spans="1:46" ht="15" x14ac:dyDescent="0.2">
      <c r="A26" s="123" t="s">
        <v>208</v>
      </c>
      <c r="B26" s="124">
        <f>B5+B9+B13</f>
        <v>347.58823529411762</v>
      </c>
      <c r="C26" s="124">
        <f t="shared" ref="C26:P26" si="9">C5+C9+C13</f>
        <v>415.22823529411767</v>
      </c>
      <c r="D26" s="124">
        <f t="shared" si="9"/>
        <v>499.54823529411766</v>
      </c>
      <c r="E26" s="124">
        <f t="shared" si="9"/>
        <v>593.0482352941176</v>
      </c>
      <c r="F26" s="124">
        <f t="shared" si="9"/>
        <v>709.61123529411759</v>
      </c>
      <c r="G26" s="282">
        <f>G5+G9+G13</f>
        <v>855.35542529411748</v>
      </c>
      <c r="H26" s="283">
        <f t="shared" si="9"/>
        <v>1036.1574452625152</v>
      </c>
      <c r="I26" s="283">
        <f t="shared" si="9"/>
        <v>1261.2157169016605</v>
      </c>
      <c r="J26" s="283">
        <f t="shared" si="9"/>
        <v>1556.1666616235475</v>
      </c>
      <c r="K26" s="283">
        <f t="shared" si="9"/>
        <v>1943.1421914213731</v>
      </c>
      <c r="L26" s="283">
        <f>L5+L9+L13</f>
        <v>2458.7365956866665</v>
      </c>
      <c r="M26" s="283">
        <f t="shared" si="9"/>
        <v>3077.9039132287526</v>
      </c>
      <c r="N26" s="283">
        <f t="shared" si="9"/>
        <v>3857.0286378830015</v>
      </c>
      <c r="O26" s="283">
        <f t="shared" si="9"/>
        <v>4860.6414632977285</v>
      </c>
      <c r="P26" s="283">
        <f t="shared" si="9"/>
        <v>6161.1872645207886</v>
      </c>
      <c r="Q26" s="284">
        <f>Q5+Q9+Q13</f>
        <v>7856.0787649727336</v>
      </c>
      <c r="R26" s="124"/>
      <c r="S26" s="124"/>
      <c r="T26" s="124"/>
      <c r="U26" s="124"/>
      <c r="V26" s="124"/>
      <c r="AB26" s="34" t="s">
        <v>376</v>
      </c>
      <c r="AC26" s="34">
        <v>1.31</v>
      </c>
      <c r="AD26" s="34">
        <v>1.4</v>
      </c>
      <c r="AE26" s="34">
        <v>1.44</v>
      </c>
    </row>
    <row r="27" spans="1:46" ht="15" x14ac:dyDescent="0.2">
      <c r="A27" s="127" t="s">
        <v>215</v>
      </c>
      <c r="B27" s="128">
        <f>B6+B9+B18</f>
        <v>347.58823529411762</v>
      </c>
      <c r="C27" s="128">
        <f t="shared" ref="C27:Q27" si="10">C6+C9+C18</f>
        <v>415.22823529411767</v>
      </c>
      <c r="D27" s="128">
        <f t="shared" si="10"/>
        <v>499.54823529411766</v>
      </c>
      <c r="E27" s="128">
        <f t="shared" si="10"/>
        <v>605.74823529411765</v>
      </c>
      <c r="F27" s="128">
        <f t="shared" si="10"/>
        <v>741.24023529411761</v>
      </c>
      <c r="G27" s="288">
        <f>G6+G9+G18</f>
        <v>914.56511529411762</v>
      </c>
      <c r="H27" s="134">
        <f t="shared" si="10"/>
        <v>1150.6483205625154</v>
      </c>
      <c r="I27" s="134">
        <f t="shared" si="10"/>
        <v>1436.0266559906606</v>
      </c>
      <c r="J27" s="134">
        <f t="shared" si="10"/>
        <v>1814.9670352941175</v>
      </c>
      <c r="K27" s="134">
        <f t="shared" si="10"/>
        <v>2318.0565472941175</v>
      </c>
      <c r="L27" s="134">
        <f t="shared" si="10"/>
        <v>2993.2260213741179</v>
      </c>
      <c r="M27" s="134">
        <f t="shared" si="10"/>
        <v>3883.4003993274355</v>
      </c>
      <c r="N27" s="134">
        <f t="shared" si="10"/>
        <v>5057.0837796294045</v>
      </c>
      <c r="O27" s="134">
        <f t="shared" si="10"/>
        <v>6641.4050072051177</v>
      </c>
      <c r="P27" s="134">
        <f t="shared" si="10"/>
        <v>8796.4362625052327</v>
      </c>
      <c r="Q27" s="289">
        <f t="shared" si="10"/>
        <v>11749.681874040136</v>
      </c>
      <c r="R27" s="128"/>
      <c r="S27" s="128"/>
      <c r="T27" s="128"/>
      <c r="U27" s="128"/>
      <c r="V27" s="128"/>
      <c r="Z27" s="34">
        <v>1024</v>
      </c>
    </row>
    <row r="28" spans="1:46" ht="15" x14ac:dyDescent="0.2">
      <c r="A28" s="126" t="s">
        <v>214</v>
      </c>
      <c r="B28" s="125">
        <f>B7+B9+B23</f>
        <v>347.58823529411762</v>
      </c>
      <c r="C28" s="125">
        <f t="shared" ref="C28:Q28" si="11">C7+C9+C23</f>
        <v>415.22823529411767</v>
      </c>
      <c r="D28" s="125">
        <f t="shared" si="11"/>
        <v>499.54823529411766</v>
      </c>
      <c r="E28" s="125">
        <f t="shared" si="11"/>
        <v>618.44823529411769</v>
      </c>
      <c r="F28" s="125">
        <f t="shared" si="11"/>
        <v>773.92323529411772</v>
      </c>
      <c r="G28" s="290">
        <f t="shared" si="11"/>
        <v>977.85948529411769</v>
      </c>
      <c r="H28" s="291">
        <f t="shared" si="11"/>
        <v>1244.1812580625156</v>
      </c>
      <c r="I28" s="291">
        <f t="shared" si="11"/>
        <v>1593.2797841156607</v>
      </c>
      <c r="J28" s="291">
        <f t="shared" si="11"/>
        <v>2066.3156701378675</v>
      </c>
      <c r="K28" s="291">
        <f t="shared" si="11"/>
        <v>2706.8999509894302</v>
      </c>
      <c r="L28" s="291">
        <f t="shared" si="11"/>
        <v>3581.2806947374775</v>
      </c>
      <c r="M28" s="291">
        <f t="shared" si="11"/>
        <v>4798.2000869796611</v>
      </c>
      <c r="N28" s="291">
        <f t="shared" si="11"/>
        <v>6489.4211443453905</v>
      </c>
      <c r="O28" s="291">
        <f t="shared" si="11"/>
        <v>8871.0292562472623</v>
      </c>
      <c r="P28" s="291">
        <f t="shared" si="11"/>
        <v>12256.420640210175</v>
      </c>
      <c r="Q28" s="292">
        <f t="shared" si="11"/>
        <v>17113.658294509834</v>
      </c>
      <c r="R28" s="125"/>
      <c r="S28" s="125"/>
      <c r="T28" s="125"/>
      <c r="U28" s="125"/>
      <c r="V28" s="125"/>
    </row>
    <row r="29" spans="1:46" s="52" customFormat="1" ht="15" x14ac:dyDescent="0.2">
      <c r="A29" s="50"/>
      <c r="B29" s="51"/>
      <c r="C29" s="51"/>
      <c r="D29" s="51"/>
      <c r="E29" s="51"/>
      <c r="F29" s="51"/>
      <c r="G29" s="296"/>
      <c r="H29" s="297"/>
      <c r="I29" s="297"/>
      <c r="J29" s="297"/>
      <c r="K29" s="297"/>
      <c r="L29" s="297"/>
      <c r="M29" s="297"/>
      <c r="N29" s="297"/>
      <c r="O29" s="297"/>
      <c r="P29" s="297"/>
      <c r="Q29" s="298"/>
      <c r="R29" s="51"/>
      <c r="S29" s="51"/>
      <c r="T29" s="51"/>
      <c r="U29" s="51"/>
      <c r="V29" s="51"/>
    </row>
    <row r="30" spans="1:46" ht="18" x14ac:dyDescent="0.2">
      <c r="A30" s="34" t="s">
        <v>216</v>
      </c>
      <c r="B30" s="36">
        <f>Y30*$Z$27-B27</f>
        <v>1055.2917647058825</v>
      </c>
      <c r="C30" s="36">
        <f t="shared" ref="C30:P30" si="12">Z30*$Z$27-C27</f>
        <v>1427.9717647058824</v>
      </c>
      <c r="D30" s="36">
        <f t="shared" si="12"/>
        <v>2162.8517647058825</v>
      </c>
      <c r="E30" s="36">
        <f t="shared" si="12"/>
        <v>2568.6517647058827</v>
      </c>
      <c r="F30" s="36">
        <f t="shared" si="12"/>
        <v>3417.2237647058823</v>
      </c>
      <c r="G30" s="299">
        <f>AD30*$Z$27-G27</f>
        <v>4533.0227247058829</v>
      </c>
      <c r="H30" s="300">
        <f>AE30*$Z$27-H27</f>
        <v>5985.6917498374851</v>
      </c>
      <c r="I30" s="300">
        <f t="shared" si="12"/>
        <v>8554.8494425693389</v>
      </c>
      <c r="J30" s="300">
        <f t="shared" si="12"/>
        <v>12571.894546632282</v>
      </c>
      <c r="K30" s="300">
        <f>AH30*$Z$27-K27</f>
        <v>18399.0241306799</v>
      </c>
      <c r="L30" s="300">
        <f t="shared" si="12"/>
        <v>26839.370154908465</v>
      </c>
      <c r="M30" s="300">
        <f t="shared" si="12"/>
        <v>39075.538094519477</v>
      </c>
      <c r="N30" s="300">
        <f t="shared" si="12"/>
        <v>56803.787651510153</v>
      </c>
      <c r="O30" s="300">
        <f t="shared" si="12"/>
        <v>82438.249853635847</v>
      </c>
      <c r="P30" s="300">
        <f t="shared" si="12"/>
        <v>119478.26673710575</v>
      </c>
      <c r="Q30" s="301">
        <f>AN30*$Z$27-Q27</f>
        <v>172965.89044539965</v>
      </c>
      <c r="R30" s="36"/>
      <c r="S30" s="36"/>
      <c r="T30" s="36"/>
      <c r="U30" s="36"/>
      <c r="V30" s="36"/>
      <c r="X30" s="34" t="s">
        <v>141</v>
      </c>
      <c r="Y30" s="35">
        <v>1.37</v>
      </c>
      <c r="Z30" s="35">
        <v>1.8</v>
      </c>
      <c r="AA30" s="35">
        <v>2.6</v>
      </c>
      <c r="AB30" s="35">
        <v>3.1</v>
      </c>
      <c r="AC30" s="268">
        <f>AB30*AC26</f>
        <v>4.0609999999999999</v>
      </c>
      <c r="AD30" s="268">
        <f>AC30*AC26</f>
        <v>5.3199100000000001</v>
      </c>
      <c r="AE30" s="268">
        <f>AD30*AC26</f>
        <v>6.9690821000000005</v>
      </c>
      <c r="AF30" s="268">
        <f>AE30*AD26</f>
        <v>9.7567149400000002</v>
      </c>
      <c r="AG30" s="268">
        <f>AF30*AE26</f>
        <v>14.0496695136</v>
      </c>
      <c r="AH30" s="268">
        <f>AG30*AE26</f>
        <v>20.231524099584</v>
      </c>
      <c r="AI30" s="268">
        <f>AH30*AE26</f>
        <v>29.13339470340096</v>
      </c>
      <c r="AJ30" s="268">
        <f>AI30*AE26</f>
        <v>41.952088372897379</v>
      </c>
      <c r="AK30" s="268">
        <f>AJ30*AE26</f>
        <v>60.411007256972226</v>
      </c>
      <c r="AL30" s="268">
        <f>AK30*AE26</f>
        <v>86.991850450040005</v>
      </c>
      <c r="AM30" s="268">
        <f>AL30*AE26</f>
        <v>125.2682646480576</v>
      </c>
      <c r="AN30" s="526">
        <f>AM30*AE26</f>
        <v>180.38630109320292</v>
      </c>
      <c r="AO30" s="268"/>
      <c r="AP30" s="268"/>
      <c r="AQ30" s="268"/>
      <c r="AR30" s="268"/>
      <c r="AS30" s="268"/>
      <c r="AT30" s="35"/>
    </row>
    <row r="31" spans="1:46" x14ac:dyDescent="0.15">
      <c r="G31" s="302"/>
      <c r="H31" s="303"/>
      <c r="I31" s="303"/>
      <c r="J31" s="303"/>
      <c r="K31" s="303"/>
      <c r="L31" s="303">
        <f>(15/5)^0.2</f>
        <v>1.2457309396155174</v>
      </c>
      <c r="M31" s="303"/>
      <c r="N31" s="303"/>
      <c r="O31" s="303"/>
      <c r="P31" s="303"/>
      <c r="Q31" s="304">
        <f>(Q32/G32)^0.1</f>
        <v>1.4209516897653809</v>
      </c>
    </row>
    <row r="32" spans="1:46" x14ac:dyDescent="0.15">
      <c r="B32" s="36"/>
      <c r="C32" s="36"/>
      <c r="D32" s="36"/>
      <c r="E32" s="36"/>
      <c r="F32" s="36"/>
      <c r="G32" s="299">
        <f>G33/1024</f>
        <v>5.2620880371093754</v>
      </c>
      <c r="H32" s="299">
        <f t="shared" ref="H32:Q32" si="13">H33/1024</f>
        <v>6.8572746045898443</v>
      </c>
      <c r="I32" s="299">
        <f t="shared" si="13"/>
        <v>9.5860011322958982</v>
      </c>
      <c r="J32" s="299">
        <f t="shared" si="13"/>
        <v>13.796934773687333</v>
      </c>
      <c r="K32" s="299">
        <f t="shared" si="13"/>
        <v>19.865396798927023</v>
      </c>
      <c r="L32" s="299">
        <f t="shared" si="13"/>
        <v>28.611432373628059</v>
      </c>
      <c r="M32" s="299">
        <f t="shared" si="13"/>
        <v>41.165470710691629</v>
      </c>
      <c r="N32" s="299">
        <f t="shared" si="13"/>
        <v>59.239078407610499</v>
      </c>
      <c r="O32" s="299">
        <f t="shared" si="13"/>
        <v>85.252823551692941</v>
      </c>
      <c r="P32" s="299">
        <f t="shared" si="13"/>
        <v>122.69477929846342</v>
      </c>
      <c r="Q32" s="299">
        <f t="shared" si="13"/>
        <v>176.58395430700429</v>
      </c>
      <c r="R32" s="36"/>
      <c r="S32" s="36"/>
      <c r="T32" s="36"/>
      <c r="U32" s="36"/>
      <c r="V32" s="36"/>
      <c r="Y32" s="34" t="s">
        <v>272</v>
      </c>
    </row>
    <row r="33" spans="1:51" ht="15" x14ac:dyDescent="0.2">
      <c r="A33" s="123" t="s">
        <v>209</v>
      </c>
      <c r="B33" s="124">
        <f>B26+B30</f>
        <v>1402.88</v>
      </c>
      <c r="C33" s="124">
        <f>C26+C30</f>
        <v>1843.2</v>
      </c>
      <c r="D33" s="124">
        <f t="shared" ref="D33:P33" si="14">D26+D30</f>
        <v>2662.4</v>
      </c>
      <c r="E33" s="124">
        <f t="shared" si="14"/>
        <v>3161.7000000000003</v>
      </c>
      <c r="F33" s="124">
        <f t="shared" si="14"/>
        <v>4126.835</v>
      </c>
      <c r="G33" s="282">
        <f>G26+G30</f>
        <v>5388.3781500000005</v>
      </c>
      <c r="H33" s="283">
        <f t="shared" si="14"/>
        <v>7021.8491951000005</v>
      </c>
      <c r="I33" s="283">
        <f t="shared" si="14"/>
        <v>9816.0651594709998</v>
      </c>
      <c r="J33" s="283">
        <f t="shared" si="14"/>
        <v>14128.061208255829</v>
      </c>
      <c r="K33" s="283">
        <f t="shared" si="14"/>
        <v>20342.166322101271</v>
      </c>
      <c r="L33" s="283">
        <f>L26+L30</f>
        <v>29298.106750595132</v>
      </c>
      <c r="M33" s="283">
        <f t="shared" si="14"/>
        <v>42153.442007748228</v>
      </c>
      <c r="N33" s="283">
        <f t="shared" si="14"/>
        <v>60660.816289393151</v>
      </c>
      <c r="O33" s="283">
        <f t="shared" si="14"/>
        <v>87298.891316933572</v>
      </c>
      <c r="P33" s="283">
        <f t="shared" si="14"/>
        <v>125639.45400162654</v>
      </c>
      <c r="Q33" s="284">
        <f>Q26+Q30</f>
        <v>180821.96921037239</v>
      </c>
      <c r="R33" s="124"/>
      <c r="S33" s="124"/>
      <c r="T33" s="124"/>
      <c r="U33" s="124"/>
      <c r="V33" s="124"/>
      <c r="Y33" s="34">
        <v>2010</v>
      </c>
      <c r="Z33" s="34">
        <v>2011</v>
      </c>
      <c r="AA33" s="34">
        <v>2012</v>
      </c>
      <c r="AB33" s="34">
        <v>2013</v>
      </c>
      <c r="AC33" s="34">
        <v>2014</v>
      </c>
      <c r="AD33" s="34">
        <v>2015</v>
      </c>
      <c r="AE33" s="34">
        <v>2016</v>
      </c>
      <c r="AF33" s="34">
        <v>2017</v>
      </c>
      <c r="AG33" s="34">
        <v>2018</v>
      </c>
      <c r="AH33" s="34">
        <v>2019</v>
      </c>
      <c r="AI33" s="34">
        <v>2020</v>
      </c>
      <c r="AJ33" s="34">
        <v>2021</v>
      </c>
      <c r="AK33" s="34">
        <v>2022</v>
      </c>
      <c r="AL33" s="34">
        <v>2023</v>
      </c>
      <c r="AM33" s="34">
        <v>2024</v>
      </c>
      <c r="AN33" s="34">
        <v>2025</v>
      </c>
    </row>
    <row r="34" spans="1:51" s="37" customFormat="1" ht="15" x14ac:dyDescent="0.2">
      <c r="A34" s="127" t="s">
        <v>210</v>
      </c>
      <c r="B34" s="128">
        <f t="shared" ref="B34:Q34" si="15">B27+B30</f>
        <v>1402.88</v>
      </c>
      <c r="C34" s="128">
        <f t="shared" si="15"/>
        <v>1843.2</v>
      </c>
      <c r="D34" s="128">
        <f t="shared" si="15"/>
        <v>2662.4</v>
      </c>
      <c r="E34" s="128">
        <f t="shared" si="15"/>
        <v>3174.4000000000005</v>
      </c>
      <c r="F34" s="128">
        <f t="shared" si="15"/>
        <v>4158.4639999999999</v>
      </c>
      <c r="G34" s="288">
        <f>G27+G30</f>
        <v>5447.5878400000001</v>
      </c>
      <c r="H34" s="134">
        <f t="shared" si="15"/>
        <v>7136.3400704000005</v>
      </c>
      <c r="I34" s="134">
        <f t="shared" si="15"/>
        <v>9990.8760985600002</v>
      </c>
      <c r="J34" s="134">
        <f t="shared" si="15"/>
        <v>14386.8615819264</v>
      </c>
      <c r="K34" s="134">
        <f t="shared" si="15"/>
        <v>20717.080677974016</v>
      </c>
      <c r="L34" s="134">
        <f t="shared" si="15"/>
        <v>29832.596176282583</v>
      </c>
      <c r="M34" s="134">
        <f t="shared" si="15"/>
        <v>42958.938493846916</v>
      </c>
      <c r="N34" s="134">
        <f t="shared" si="15"/>
        <v>61860.87143113956</v>
      </c>
      <c r="O34" s="134">
        <f t="shared" si="15"/>
        <v>89079.654860840965</v>
      </c>
      <c r="P34" s="134">
        <f t="shared" si="15"/>
        <v>128274.70299961098</v>
      </c>
      <c r="Q34" s="289">
        <f t="shared" si="15"/>
        <v>184715.57231943979</v>
      </c>
      <c r="R34" s="128"/>
      <c r="S34" s="128"/>
      <c r="T34" s="128"/>
      <c r="U34" s="128"/>
      <c r="V34" s="128"/>
      <c r="X34" s="37" t="s">
        <v>273</v>
      </c>
      <c r="Y34" s="106" t="s">
        <v>255</v>
      </c>
    </row>
    <row r="35" spans="1:51" s="37" customFormat="1" ht="16" thickBot="1" x14ac:dyDescent="0.25">
      <c r="A35" s="126" t="s">
        <v>211</v>
      </c>
      <c r="B35" s="125">
        <f t="shared" ref="B35:Q35" si="16">B28+B30</f>
        <v>1402.88</v>
      </c>
      <c r="C35" s="125">
        <f t="shared" si="16"/>
        <v>1843.2</v>
      </c>
      <c r="D35" s="125">
        <f t="shared" si="16"/>
        <v>2662.4</v>
      </c>
      <c r="E35" s="125">
        <f t="shared" si="16"/>
        <v>3187.1000000000004</v>
      </c>
      <c r="F35" s="125">
        <f t="shared" si="16"/>
        <v>4191.1469999999999</v>
      </c>
      <c r="G35" s="305">
        <f>G28+G30</f>
        <v>5510.8822100000007</v>
      </c>
      <c r="H35" s="306">
        <f t="shared" si="16"/>
        <v>7229.8730079000006</v>
      </c>
      <c r="I35" s="306">
        <f t="shared" si="16"/>
        <v>10148.129226685</v>
      </c>
      <c r="J35" s="306">
        <f t="shared" si="16"/>
        <v>14638.210216770149</v>
      </c>
      <c r="K35" s="306">
        <f t="shared" si="16"/>
        <v>21105.924081669331</v>
      </c>
      <c r="L35" s="306">
        <f t="shared" si="16"/>
        <v>30420.650849645943</v>
      </c>
      <c r="M35" s="306">
        <f t="shared" si="16"/>
        <v>43873.738181499139</v>
      </c>
      <c r="N35" s="306">
        <f t="shared" si="16"/>
        <v>63293.208795855542</v>
      </c>
      <c r="O35" s="306">
        <f t="shared" si="16"/>
        <v>91309.279109883108</v>
      </c>
      <c r="P35" s="306">
        <f t="shared" si="16"/>
        <v>131734.68737731592</v>
      </c>
      <c r="Q35" s="307">
        <f t="shared" si="16"/>
        <v>190079.54873990949</v>
      </c>
      <c r="R35" s="125"/>
      <c r="S35" s="125"/>
      <c r="T35" s="125"/>
      <c r="U35" s="125"/>
      <c r="V35" s="125"/>
      <c r="X35" s="37" t="s">
        <v>274</v>
      </c>
    </row>
    <row r="36" spans="1:51" s="37" customFormat="1" x14ac:dyDescent="0.15">
      <c r="B36" s="96"/>
      <c r="C36" s="96"/>
      <c r="D36" s="96"/>
      <c r="E36" s="96"/>
      <c r="F36" s="96"/>
      <c r="G36" s="96">
        <f>G33*2^30*1/365/('Word population'!H4*1000000000)</f>
        <v>2.2526023661729808</v>
      </c>
      <c r="H36" s="96">
        <f>H33*2^30*1/365/('Word population'!I4*1000000000)</f>
        <v>2.9200848547488065</v>
      </c>
      <c r="I36" s="96">
        <f>I33*2^30*1/365/('Word population'!J4*1000000000)</f>
        <v>4.0606813460166977</v>
      </c>
      <c r="J36" s="96">
        <f>J33*2^30*1/365/('Word population'!K4*1000000000)</f>
        <v>5.8138195735915739</v>
      </c>
      <c r="K36" s="96">
        <f>K33*2^30*1/365/('Word population'!L4*1000000000)</f>
        <v>8.3270982136662326</v>
      </c>
      <c r="L36" s="96">
        <f>L33*2^30*1/365/('Word population'!M4*1000000000)</f>
        <v>11.930359959282326</v>
      </c>
      <c r="M36" s="96">
        <f>M33*2^30*1/365/('Word population'!N4*1000000000)</f>
        <v>17.075150362364472</v>
      </c>
      <c r="N36" s="96">
        <f>N33*2^30*1/365/('Word population'!O4*1000000000)</f>
        <v>24.443154260588376</v>
      </c>
      <c r="O36" s="96">
        <f>O33*2^30*1/365/('Word population'!P4*1000000000)</f>
        <v>34.992520914786986</v>
      </c>
      <c r="P36" s="96">
        <f>P33*2^30*1/365/('Word population'!Q4*1000000000)</f>
        <v>50.096807093080841</v>
      </c>
      <c r="Q36" s="96">
        <f>Q33*2^30*1/365/('Word population'!R4*1000000000)</f>
        <v>71.722051826920477</v>
      </c>
      <c r="R36" s="96"/>
      <c r="S36" s="96"/>
      <c r="T36" s="96"/>
      <c r="U36" s="96"/>
      <c r="V36" s="96"/>
    </row>
    <row r="37" spans="1:51" s="37" customFormat="1" x14ac:dyDescent="0.15">
      <c r="B37" s="96"/>
      <c r="C37" s="96"/>
      <c r="D37" s="96"/>
      <c r="E37" s="96"/>
      <c r="F37" s="96"/>
      <c r="G37" s="96">
        <f>S69</f>
        <v>2.0119828946892531</v>
      </c>
      <c r="H37" s="96">
        <f t="shared" ref="H37:L37" si="17">T69</f>
        <v>2.7679439209219963</v>
      </c>
      <c r="I37" s="96">
        <f t="shared" si="17"/>
        <v>3.6430059931966259</v>
      </c>
      <c r="J37" s="96">
        <f t="shared" si="17"/>
        <v>4.550956601935729</v>
      </c>
      <c r="K37" s="96">
        <f t="shared" si="17"/>
        <v>5.4073708188953153</v>
      </c>
      <c r="L37" s="96">
        <f t="shared" si="17"/>
        <v>6.379775223881019</v>
      </c>
      <c r="M37" s="96">
        <f t="shared" ref="M37" si="18">Y69</f>
        <v>8.0598433824037681</v>
      </c>
      <c r="N37" s="96">
        <f t="shared" ref="N37" si="19">Z69</f>
        <v>10.18234546974524</v>
      </c>
      <c r="O37" s="96">
        <f t="shared" ref="O37" si="20">AA69</f>
        <v>12.863793295487071</v>
      </c>
      <c r="P37" s="96">
        <f t="shared" ref="P37" si="21">AB69</f>
        <v>16.251381220633274</v>
      </c>
      <c r="Q37" s="96">
        <f t="shared" ref="Q37" si="22">AC69</f>
        <v>20.53106618799659</v>
      </c>
      <c r="R37" s="96"/>
      <c r="S37" s="96"/>
      <c r="T37" s="96"/>
      <c r="U37" s="96"/>
      <c r="V37" s="96"/>
    </row>
    <row r="38" spans="1:51" x14ac:dyDescent="0.15">
      <c r="G38" s="445">
        <f>G26*2^30*1/365/('Word population'!H4*1000000000)</f>
        <v>0.35757988791793044</v>
      </c>
      <c r="H38" s="445">
        <f>H26*2^30*1/365/('Word population'!I4*1000000000)</f>
        <v>0.4308932845150909</v>
      </c>
      <c r="I38" s="445">
        <f>I26*2^30*1/365/('Word population'!J4*1000000000)</f>
        <v>0.52173605734312867</v>
      </c>
      <c r="J38" s="445">
        <f>J26*2^30*1/365/('Word population'!K4*1000000000)</f>
        <v>0.64037606177914908</v>
      </c>
      <c r="K38" s="445">
        <f>K26*2^30*1/365/('Word population'!L4*1000000000)</f>
        <v>0.79542835383783217</v>
      </c>
      <c r="L38" s="445">
        <f>L26*2^30*1/365/('Word population'!M4*1000000000)</f>
        <v>1.0012118831195973</v>
      </c>
      <c r="M38" s="445">
        <f>M26*2^30*1/365/('Word population'!N4*1000000000)</f>
        <v>1.2467705984633639</v>
      </c>
      <c r="N38" s="445">
        <f>N26*2^30*1/365/('Word population'!O4*1000000000)</f>
        <v>1.5541819538581818</v>
      </c>
      <c r="O38" s="445">
        <f>O26*2^30*1/365/('Word population'!P4*1000000000)</f>
        <v>1.9483191080427222</v>
      </c>
      <c r="P38" s="445">
        <f>P26*2^30*1/365/('Word population'!Q4*1000000000)</f>
        <v>2.4566790130355747</v>
      </c>
      <c r="Q38" s="445">
        <f>Q26*2^30*1/365/('Word population'!R4*1000000000)</f>
        <v>3.116070966366971</v>
      </c>
    </row>
    <row r="39" spans="1:51" x14ac:dyDescent="0.15">
      <c r="G39" s="446">
        <f>(G5+G9)/G26</f>
        <v>8.7856150872343636E-2</v>
      </c>
      <c r="H39" s="446">
        <f>(H5+H9)/H26</f>
        <v>0.10389185644971374</v>
      </c>
      <c r="I39" s="446">
        <f t="shared" ref="I39:P39" si="23">(I5+I9)/I26</f>
        <v>0.12163395518692402</v>
      </c>
      <c r="J39" s="446">
        <f t="shared" si="23"/>
        <v>0.1485060957757641</v>
      </c>
      <c r="K39" s="446">
        <f t="shared" si="23"/>
        <v>0.18231521957483707</v>
      </c>
      <c r="L39" s="446">
        <f t="shared" si="23"/>
        <v>0.22322999912108649</v>
      </c>
      <c r="M39" s="446">
        <f t="shared" si="23"/>
        <v>0.25234591218069335</v>
      </c>
      <c r="N39" s="446">
        <f t="shared" si="23"/>
        <v>0.27945094386559766</v>
      </c>
      <c r="O39" s="446">
        <f t="shared" si="23"/>
        <v>0.30791255174751164</v>
      </c>
      <c r="P39" s="446">
        <f t="shared" si="23"/>
        <v>0.33767566095192891</v>
      </c>
      <c r="Q39" s="446">
        <f>(Q5+Q9)/Q26</f>
        <v>0.36858553059868521</v>
      </c>
      <c r="X39" s="34" t="s">
        <v>342</v>
      </c>
    </row>
    <row r="41" spans="1:51" x14ac:dyDescent="0.15">
      <c r="I41" s="34" t="s">
        <v>292</v>
      </c>
      <c r="J41" s="34" t="s">
        <v>293</v>
      </c>
      <c r="K41" s="34" t="s">
        <v>294</v>
      </c>
      <c r="L41" s="34" t="s">
        <v>295</v>
      </c>
    </row>
    <row r="42" spans="1:51" x14ac:dyDescent="0.15">
      <c r="I42" s="34" t="s">
        <v>298</v>
      </c>
      <c r="J42" s="34" t="s">
        <v>297</v>
      </c>
      <c r="K42" s="34" t="s">
        <v>296</v>
      </c>
      <c r="L42" s="34">
        <v>1</v>
      </c>
    </row>
    <row r="44" spans="1:51" x14ac:dyDescent="0.15">
      <c r="N44" s="36"/>
      <c r="O44" s="36"/>
      <c r="P44" s="36"/>
      <c r="Q44" s="36"/>
      <c r="R44" s="36"/>
      <c r="S44" s="36"/>
      <c r="T44" s="36"/>
      <c r="U44" s="36"/>
      <c r="V44" s="36"/>
      <c r="W44" s="36"/>
    </row>
    <row r="45" spans="1:51" x14ac:dyDescent="0.15">
      <c r="N45" s="36"/>
      <c r="O45" s="36"/>
      <c r="P45" s="36"/>
      <c r="Q45" s="36"/>
      <c r="R45" s="36"/>
      <c r="S45" s="36"/>
      <c r="T45" s="36"/>
      <c r="U45" s="36"/>
      <c r="V45" s="36"/>
      <c r="W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</row>
    <row r="46" spans="1:51" x14ac:dyDescent="0.15">
      <c r="N46" s="36"/>
      <c r="O46" s="36"/>
      <c r="P46" s="36"/>
      <c r="Q46" s="36"/>
      <c r="R46" s="36"/>
      <c r="S46" s="36"/>
      <c r="T46" s="36"/>
      <c r="U46" s="36"/>
      <c r="V46" s="36"/>
      <c r="W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</row>
    <row r="47" spans="1:51" x14ac:dyDescent="0.15">
      <c r="N47" s="36"/>
      <c r="O47" s="36"/>
      <c r="P47" s="36"/>
      <c r="Q47" s="36"/>
      <c r="R47" s="36"/>
      <c r="S47" s="36"/>
      <c r="T47" s="36"/>
      <c r="U47" s="36"/>
      <c r="V47" s="36"/>
      <c r="W47" s="36"/>
      <c r="AE47" s="34" t="s">
        <v>343</v>
      </c>
    </row>
    <row r="60" spans="2:2" x14ac:dyDescent="0.15">
      <c r="B60" s="34" t="s">
        <v>256</v>
      </c>
    </row>
    <row r="68" spans="19:29" x14ac:dyDescent="0.15">
      <c r="S68" s="34">
        <v>2015</v>
      </c>
      <c r="T68" s="34">
        <v>2016</v>
      </c>
      <c r="U68" s="34">
        <v>2017</v>
      </c>
      <c r="V68" s="34">
        <v>2018</v>
      </c>
      <c r="W68" s="34">
        <v>2019</v>
      </c>
      <c r="X68" s="34">
        <v>2020</v>
      </c>
      <c r="Y68" s="34">
        <v>2021</v>
      </c>
      <c r="Z68" s="34">
        <v>2022</v>
      </c>
      <c r="AA68" s="34">
        <v>2023</v>
      </c>
      <c r="AB68" s="34">
        <v>2024</v>
      </c>
      <c r="AC68" s="34">
        <v>2025</v>
      </c>
    </row>
    <row r="69" spans="19:29" x14ac:dyDescent="0.15">
      <c r="S69" s="34">
        <f>S70*2^40*1/365/('Word population'!H4*1000000000)</f>
        <v>2.0119828946892531</v>
      </c>
      <c r="T69" s="34">
        <f>T70*2^40*1/365/('Word population'!I4*1000000000)</f>
        <v>2.7679439209219963</v>
      </c>
      <c r="U69" s="34">
        <f>U70*2^40*1/365/('Word population'!J4*1000000000)</f>
        <v>3.6430059931966259</v>
      </c>
      <c r="V69" s="34">
        <f>V70*2^40*1/365/('Word population'!K4*1000000000)</f>
        <v>4.550956601935729</v>
      </c>
      <c r="W69" s="34">
        <f>W70*2^40*1/365/('Word population'!L4*1000000000)</f>
        <v>5.4073708188953153</v>
      </c>
      <c r="X69" s="34">
        <f>X70*2^40*1/365/('Word population'!M4*1000000000)</f>
        <v>6.379775223881019</v>
      </c>
      <c r="Y69" s="34">
        <f>Y70*2^40*1/365/('Word population'!N4*1000000000)</f>
        <v>8.0598433824037681</v>
      </c>
      <c r="Z69" s="34">
        <f>Z70*2^40*1/365/('Word population'!O4*1000000000)</f>
        <v>10.18234546974524</v>
      </c>
      <c r="AA69" s="34">
        <f>AA70*2^40*1/365/('Word population'!P4*1000000000)</f>
        <v>12.863793295487071</v>
      </c>
      <c r="AB69" s="34">
        <f>AB70*2^40*1/365/('Word population'!Q4*1000000000)</f>
        <v>16.251381220633274</v>
      </c>
      <c r="AC69" s="34">
        <f>AC70*2^40*1/365/('Word population'!R4*1000000000)</f>
        <v>20.53106618799659</v>
      </c>
    </row>
    <row r="70" spans="19:29" x14ac:dyDescent="0.15">
      <c r="S70" s="34">
        <v>4.7</v>
      </c>
      <c r="T70" s="34">
        <v>6.5</v>
      </c>
      <c r="U70" s="34">
        <v>8.6</v>
      </c>
      <c r="V70" s="34">
        <v>10.8</v>
      </c>
      <c r="W70" s="34">
        <v>12.9</v>
      </c>
      <c r="X70" s="34">
        <v>15.3</v>
      </c>
      <c r="Y70" s="34">
        <f>X70*1.27</f>
        <v>19.431000000000001</v>
      </c>
      <c r="Z70" s="34">
        <f t="shared" ref="Z70:AC70" si="24">Y70*1.27</f>
        <v>24.67737</v>
      </c>
      <c r="AA70" s="34">
        <f t="shared" si="24"/>
        <v>31.3402599</v>
      </c>
      <c r="AB70" s="34">
        <f t="shared" si="24"/>
        <v>39.802130073000001</v>
      </c>
      <c r="AC70" s="34">
        <f t="shared" si="24"/>
        <v>50.548705192710003</v>
      </c>
    </row>
    <row r="86" spans="7:16" x14ac:dyDescent="0.15">
      <c r="H86" s="108"/>
    </row>
    <row r="94" spans="7:16" x14ac:dyDescent="0.15">
      <c r="N94" s="36"/>
    </row>
    <row r="95" spans="7:16" x14ac:dyDescent="0.15">
      <c r="L95" s="36"/>
      <c r="M95" s="556"/>
      <c r="N95" s="36"/>
      <c r="P95" s="36"/>
    </row>
    <row r="96" spans="7:16" x14ac:dyDescent="0.15">
      <c r="G96" s="556"/>
      <c r="L96" s="36"/>
      <c r="M96" s="556"/>
      <c r="N96" s="36"/>
      <c r="P96" s="36"/>
    </row>
    <row r="97" spans="12:16" x14ac:dyDescent="0.15">
      <c r="N97" s="36"/>
      <c r="P97" s="36"/>
    </row>
    <row r="98" spans="12:16" x14ac:dyDescent="0.15">
      <c r="N98" s="36"/>
      <c r="P98" s="36"/>
    </row>
    <row r="99" spans="12:16" x14ac:dyDescent="0.15">
      <c r="L99" s="36"/>
      <c r="M99" s="556"/>
      <c r="N99" s="36"/>
      <c r="P99" s="36"/>
    </row>
    <row r="100" spans="12:16" x14ac:dyDescent="0.15">
      <c r="L100" s="36"/>
      <c r="M100" s="556"/>
      <c r="N100" s="36"/>
      <c r="P100" s="36"/>
    </row>
    <row r="101" spans="12:16" x14ac:dyDescent="0.15">
      <c r="N101" s="36"/>
      <c r="P101" s="36"/>
    </row>
    <row r="102" spans="12:16" x14ac:dyDescent="0.15">
      <c r="N102" s="36"/>
      <c r="P102" s="36"/>
    </row>
    <row r="103" spans="12:16" x14ac:dyDescent="0.15">
      <c r="L103" s="36"/>
      <c r="M103" s="556"/>
      <c r="N103" s="36"/>
      <c r="P103" s="36"/>
    </row>
    <row r="104" spans="12:16" x14ac:dyDescent="0.15">
      <c r="L104" s="36"/>
      <c r="M104" s="556"/>
      <c r="N104" s="36"/>
      <c r="P104" s="36"/>
    </row>
    <row r="119" spans="7:7" x14ac:dyDescent="0.15">
      <c r="G119" s="36"/>
    </row>
    <row r="120" spans="7:7" x14ac:dyDescent="0.15">
      <c r="G120" s="556"/>
    </row>
  </sheetData>
  <hyperlinks>
    <hyperlink ref="Y34" r:id="rId1"/>
  </hyperlinks>
  <pageMargins left="0.74803149606299213" right="0.74803149606299213" top="0.98425196850393704" bottom="0.98425196850393704" header="0.51181102362204722" footer="0.51181102362204722"/>
  <pageSetup orientation="portrait" r:id="rId2"/>
  <headerFooter alignWithMargins="0">
    <oddHeader>&amp;L&amp;G&amp;C&amp;F&amp;RSecurity Level</oddHeader>
    <oddFooter>&amp;L&amp;D&amp;CHuawei Proprietary - Restricted Distribution&amp;RPage&amp;Pof&amp;N</oddFooter>
  </headerFooter>
  <drawing r:id="rId3"/>
  <legacyDrawing r:id="rId4"/>
  <legacyDrawingHF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372"/>
  <sheetViews>
    <sheetView zoomScale="70" zoomScaleNormal="70" workbookViewId="0">
      <selection activeCell="L278" sqref="L278"/>
    </sheetView>
  </sheetViews>
  <sheetFormatPr baseColWidth="10" defaultColWidth="11" defaultRowHeight="13" x14ac:dyDescent="0.15"/>
  <cols>
    <col min="1" max="1" width="52.6640625" style="30" bestFit="1" customWidth="1"/>
    <col min="2" max="2" width="26.5" style="30" bestFit="1" customWidth="1"/>
    <col min="3" max="3" width="42.1640625" style="30" bestFit="1" customWidth="1"/>
    <col min="4" max="4" width="30.1640625" style="30" bestFit="1" customWidth="1"/>
    <col min="5" max="5" width="14" style="30" bestFit="1" customWidth="1"/>
    <col min="6" max="6" width="18.1640625" style="30" bestFit="1" customWidth="1"/>
    <col min="7" max="7" width="6.33203125" style="30" bestFit="1" customWidth="1"/>
    <col min="8" max="8" width="64.33203125" style="30" bestFit="1" customWidth="1"/>
    <col min="9" max="9" width="11.5" style="30" bestFit="1" customWidth="1"/>
    <col min="10" max="10" width="12.1640625" style="30" bestFit="1" customWidth="1"/>
    <col min="11" max="11" width="74" style="30" bestFit="1" customWidth="1"/>
    <col min="12" max="12" width="77.83203125" style="30" bestFit="1" customWidth="1"/>
    <col min="13" max="13" width="8.33203125" style="30" bestFit="1" customWidth="1"/>
    <col min="14" max="14" width="8.6640625" style="30" bestFit="1" customWidth="1"/>
    <col min="15" max="16" width="7.6640625" style="30" bestFit="1" customWidth="1"/>
    <col min="17" max="22" width="9" style="30" bestFit="1" customWidth="1"/>
    <col min="23" max="24" width="8.6640625" style="30" bestFit="1" customWidth="1"/>
    <col min="25" max="25" width="9" style="30" bestFit="1" customWidth="1"/>
    <col min="26" max="26" width="11.33203125" style="30" bestFit="1" customWidth="1"/>
    <col min="27" max="27" width="29" style="30" bestFit="1" customWidth="1"/>
    <col min="28" max="28" width="59.83203125" style="30" bestFit="1" customWidth="1"/>
    <col min="29" max="29" width="12.1640625" style="30" bestFit="1" customWidth="1"/>
    <col min="30" max="30" width="6.83203125" style="30" bestFit="1" customWidth="1"/>
    <col min="31" max="31" width="12.1640625" style="30" bestFit="1" customWidth="1"/>
    <col min="32" max="32" width="9.33203125" style="30" bestFit="1" customWidth="1"/>
    <col min="33" max="41" width="11" style="30"/>
    <col min="42" max="42" width="25.33203125" style="30" customWidth="1"/>
    <col min="43" max="16384" width="11" style="30"/>
  </cols>
  <sheetData>
    <row r="1" spans="1:27" s="62" customFormat="1" x14ac:dyDescent="0.15"/>
    <row r="2" spans="1:27" s="62" customFormat="1" x14ac:dyDescent="0.15">
      <c r="R2" s="528"/>
      <c r="S2" s="528"/>
      <c r="T2" s="528"/>
      <c r="U2" s="528"/>
      <c r="V2" s="528"/>
      <c r="W2" s="528"/>
      <c r="X2" s="528"/>
      <c r="Y2" s="528"/>
      <c r="Z2" s="528"/>
      <c r="AA2" s="528"/>
    </row>
    <row r="3" spans="1:27" s="62" customFormat="1" ht="32" x14ac:dyDescent="0.3">
      <c r="L3" s="117" t="s">
        <v>127</v>
      </c>
      <c r="R3" s="528"/>
      <c r="S3" s="528"/>
      <c r="T3" s="528"/>
      <c r="U3" s="528"/>
      <c r="V3" s="528"/>
      <c r="W3" s="528"/>
      <c r="X3" s="528"/>
      <c r="Y3" s="528"/>
      <c r="Z3" s="528"/>
      <c r="AA3" s="528"/>
    </row>
    <row r="4" spans="1:27" s="62" customFormat="1" x14ac:dyDescent="0.15">
      <c r="R4" s="528"/>
      <c r="S4" s="528"/>
      <c r="T4" s="528"/>
      <c r="U4" s="528"/>
      <c r="V4" s="528"/>
      <c r="W4" s="528"/>
      <c r="X4" s="528"/>
      <c r="Y4" s="528"/>
      <c r="Z4" s="528"/>
      <c r="AA4" s="528"/>
    </row>
    <row r="5" spans="1:27" s="29" customFormat="1" x14ac:dyDescent="0.15">
      <c r="A5" s="63"/>
      <c r="B5" s="63"/>
      <c r="C5" s="64"/>
      <c r="D5" s="62" t="s">
        <v>116</v>
      </c>
      <c r="E5" s="62">
        <v>2010</v>
      </c>
      <c r="F5" s="62">
        <v>2011</v>
      </c>
      <c r="G5" s="62">
        <v>2012</v>
      </c>
      <c r="H5" s="62">
        <v>2013</v>
      </c>
      <c r="I5" s="62">
        <v>2014</v>
      </c>
      <c r="J5" s="62">
        <v>2015</v>
      </c>
      <c r="K5" s="62">
        <v>2016</v>
      </c>
      <c r="L5" s="62">
        <v>2017</v>
      </c>
      <c r="M5" s="62">
        <v>2018</v>
      </c>
      <c r="N5" s="62">
        <v>2019</v>
      </c>
      <c r="O5" s="62">
        <v>2020</v>
      </c>
      <c r="P5" s="528">
        <v>2021</v>
      </c>
      <c r="Q5" s="528">
        <v>2022</v>
      </c>
      <c r="R5" s="528">
        <v>2023</v>
      </c>
      <c r="S5" s="528">
        <v>2024</v>
      </c>
      <c r="T5" s="528">
        <v>2025</v>
      </c>
      <c r="U5" s="528">
        <v>2026</v>
      </c>
      <c r="V5" s="528">
        <v>2027</v>
      </c>
      <c r="W5" s="528">
        <v>2028</v>
      </c>
      <c r="X5" s="528">
        <v>2029</v>
      </c>
      <c r="Y5" s="528">
        <v>2030</v>
      </c>
    </row>
    <row r="6" spans="1:27" x14ac:dyDescent="0.15">
      <c r="A6" s="65"/>
      <c r="B6" s="65"/>
      <c r="C6" s="47" t="s">
        <v>223</v>
      </c>
      <c r="D6" s="41"/>
      <c r="E6" s="46">
        <f xml:space="preserve"> $B$17*$E$29/(1-$B$17)</f>
        <v>1.5623529411764703</v>
      </c>
      <c r="F6" s="79">
        <f>$E$6</f>
        <v>1.5623529411764703</v>
      </c>
      <c r="G6" s="79">
        <f>$E$6</f>
        <v>1.5623529411764703</v>
      </c>
      <c r="H6" s="79">
        <f t="shared" ref="H6:N6" si="0">$E$6</f>
        <v>1.5623529411764703</v>
      </c>
      <c r="I6" s="79">
        <f t="shared" si="0"/>
        <v>1.5623529411764703</v>
      </c>
      <c r="J6" s="46">
        <f t="shared" si="0"/>
        <v>1.5623529411764703</v>
      </c>
      <c r="K6" s="79">
        <f t="shared" si="0"/>
        <v>1.5623529411764703</v>
      </c>
      <c r="L6" s="79">
        <f t="shared" si="0"/>
        <v>1.5623529411764703</v>
      </c>
      <c r="M6" s="61">
        <f t="shared" si="0"/>
        <v>1.5623529411764703</v>
      </c>
      <c r="N6" s="79">
        <f t="shared" si="0"/>
        <v>1.5623529411764703</v>
      </c>
      <c r="O6" s="79">
        <f>$E$6</f>
        <v>1.5623529411764703</v>
      </c>
      <c r="P6" s="79">
        <f t="shared" ref="P6:Y6" si="1">$E$6</f>
        <v>1.5623529411764703</v>
      </c>
      <c r="Q6" s="79">
        <f t="shared" si="1"/>
        <v>1.5623529411764703</v>
      </c>
      <c r="R6" s="79">
        <f t="shared" si="1"/>
        <v>1.5623529411764703</v>
      </c>
      <c r="S6" s="79">
        <f t="shared" si="1"/>
        <v>1.5623529411764703</v>
      </c>
      <c r="T6" s="79">
        <f t="shared" si="1"/>
        <v>1.5623529411764703</v>
      </c>
      <c r="U6" s="79">
        <f t="shared" si="1"/>
        <v>1.5623529411764703</v>
      </c>
      <c r="V6" s="79">
        <f t="shared" si="1"/>
        <v>1.5623529411764703</v>
      </c>
      <c r="W6" s="79">
        <f t="shared" si="1"/>
        <v>1.5623529411764703</v>
      </c>
      <c r="X6" s="79">
        <f t="shared" si="1"/>
        <v>1.5623529411764703</v>
      </c>
      <c r="Y6" s="79">
        <f t="shared" si="1"/>
        <v>1.5623529411764703</v>
      </c>
    </row>
    <row r="7" spans="1:27" x14ac:dyDescent="0.15">
      <c r="A7" s="41"/>
      <c r="B7" s="41"/>
      <c r="C7" s="47"/>
      <c r="D7" s="41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 spans="1:27" x14ac:dyDescent="0.15">
      <c r="C8" s="47" t="s">
        <v>222</v>
      </c>
      <c r="D8" s="41"/>
      <c r="E8" s="46">
        <f>E29*E$36</f>
        <v>0.15040000000000001</v>
      </c>
      <c r="F8" s="46">
        <f t="shared" ref="F8:N8" si="2">F29*F$36</f>
        <v>0.18527399999999999</v>
      </c>
      <c r="G8" s="46">
        <f>G29*G$36</f>
        <v>0.2254167</v>
      </c>
      <c r="H8" s="46">
        <f>H29*H$36</f>
        <v>0.292540784</v>
      </c>
      <c r="I8" s="46">
        <f>I29*I$36</f>
        <v>0.37372085155999996</v>
      </c>
      <c r="J8" s="454">
        <f>J29*J$36</f>
        <v>0.4579415148937</v>
      </c>
      <c r="K8" s="46">
        <f>K29*K$36</f>
        <v>0.52634043903314198</v>
      </c>
      <c r="L8" s="46">
        <f t="shared" si="2"/>
        <v>0.58153505804526606</v>
      </c>
      <c r="M8" s="46">
        <f t="shared" si="2"/>
        <v>0.6707425359494098</v>
      </c>
      <c r="N8" s="46">
        <f t="shared" si="2"/>
        <v>0.77363444096404932</v>
      </c>
      <c r="O8" s="46">
        <f>O29*O$36</f>
        <v>0.88352588799999565</v>
      </c>
      <c r="P8" s="46">
        <f>P29*P$36</f>
        <v>1.04697817728</v>
      </c>
      <c r="Q8" s="46">
        <f>$P$8</f>
        <v>1.04697817728</v>
      </c>
      <c r="R8" s="46">
        <f t="shared" ref="R8:Y8" si="3">$P$8</f>
        <v>1.04697817728</v>
      </c>
      <c r="S8" s="46">
        <f t="shared" si="3"/>
        <v>1.04697817728</v>
      </c>
      <c r="T8" s="46">
        <f>$P$8</f>
        <v>1.04697817728</v>
      </c>
      <c r="U8" s="46">
        <f t="shared" si="3"/>
        <v>1.04697817728</v>
      </c>
      <c r="V8" s="46">
        <f t="shared" si="3"/>
        <v>1.04697817728</v>
      </c>
      <c r="W8" s="46">
        <f t="shared" si="3"/>
        <v>1.04697817728</v>
      </c>
      <c r="X8" s="46">
        <f t="shared" si="3"/>
        <v>1.04697817728</v>
      </c>
      <c r="Y8" s="46">
        <f t="shared" si="3"/>
        <v>1.04697817728</v>
      </c>
      <c r="Z8" s="33" t="s">
        <v>126</v>
      </c>
      <c r="AA8" s="30" t="s">
        <v>144</v>
      </c>
    </row>
    <row r="9" spans="1:27" ht="15" x14ac:dyDescent="0.2">
      <c r="C9" s="41" t="s">
        <v>87</v>
      </c>
      <c r="D9" s="41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230">
        <f>P30*P$36</f>
        <v>0.92399999999999993</v>
      </c>
      <c r="Q9" s="230">
        <f>$P$9</f>
        <v>0.92399999999999993</v>
      </c>
      <c r="R9" s="230">
        <f t="shared" ref="R9:Y9" si="4">$P$9</f>
        <v>0.92399999999999993</v>
      </c>
      <c r="S9" s="230">
        <f t="shared" si="4"/>
        <v>0.92399999999999993</v>
      </c>
      <c r="T9" s="230">
        <f t="shared" si="4"/>
        <v>0.92399999999999993</v>
      </c>
      <c r="U9" s="230">
        <f t="shared" si="4"/>
        <v>0.92399999999999993</v>
      </c>
      <c r="V9" s="230">
        <f t="shared" si="4"/>
        <v>0.92399999999999993</v>
      </c>
      <c r="W9" s="230">
        <f t="shared" si="4"/>
        <v>0.92399999999999993</v>
      </c>
      <c r="X9" s="230">
        <f t="shared" si="4"/>
        <v>0.92399999999999993</v>
      </c>
      <c r="Y9" s="230">
        <f t="shared" si="4"/>
        <v>0.92399999999999993</v>
      </c>
      <c r="Z9" s="123" t="s">
        <v>133</v>
      </c>
    </row>
    <row r="10" spans="1:27" ht="15" x14ac:dyDescent="0.2">
      <c r="C10" s="41" t="s">
        <v>260</v>
      </c>
      <c r="D10" s="41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231">
        <f>P31*P$36</f>
        <v>0.99</v>
      </c>
      <c r="Q10" s="231">
        <f>$P$10</f>
        <v>0.99</v>
      </c>
      <c r="R10" s="231">
        <f t="shared" ref="R10:Y10" si="5">$P$10</f>
        <v>0.99</v>
      </c>
      <c r="S10" s="231">
        <f t="shared" si="5"/>
        <v>0.99</v>
      </c>
      <c r="T10" s="231">
        <f>$P$10</f>
        <v>0.99</v>
      </c>
      <c r="U10" s="231">
        <f t="shared" si="5"/>
        <v>0.99</v>
      </c>
      <c r="V10" s="231">
        <f t="shared" si="5"/>
        <v>0.99</v>
      </c>
      <c r="W10" s="231">
        <f t="shared" si="5"/>
        <v>0.99</v>
      </c>
      <c r="X10" s="231">
        <f t="shared" si="5"/>
        <v>0.99</v>
      </c>
      <c r="Y10" s="231">
        <f t="shared" si="5"/>
        <v>0.99</v>
      </c>
      <c r="Z10" s="127" t="s">
        <v>16</v>
      </c>
    </row>
    <row r="11" spans="1:27" ht="15" x14ac:dyDescent="0.2">
      <c r="C11" s="41" t="s">
        <v>98</v>
      </c>
      <c r="D11" s="41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232">
        <f>P32*P$36</f>
        <v>1.056</v>
      </c>
      <c r="Q11" s="232">
        <f>$P$11</f>
        <v>1.056</v>
      </c>
      <c r="R11" s="232">
        <f t="shared" ref="R11:Y11" si="6">$P$11</f>
        <v>1.056</v>
      </c>
      <c r="S11" s="232">
        <f t="shared" si="6"/>
        <v>1.056</v>
      </c>
      <c r="T11" s="232">
        <f t="shared" si="6"/>
        <v>1.056</v>
      </c>
      <c r="U11" s="232">
        <f t="shared" si="6"/>
        <v>1.056</v>
      </c>
      <c r="V11" s="232">
        <f t="shared" si="6"/>
        <v>1.056</v>
      </c>
      <c r="W11" s="232">
        <f t="shared" si="6"/>
        <v>1.056</v>
      </c>
      <c r="X11" s="232">
        <f t="shared" si="6"/>
        <v>1.056</v>
      </c>
      <c r="Y11" s="232">
        <f t="shared" si="6"/>
        <v>1.056</v>
      </c>
      <c r="Z11" s="126" t="s">
        <v>56</v>
      </c>
    </row>
    <row r="12" spans="1:27" x14ac:dyDescent="0.15">
      <c r="C12" s="41"/>
      <c r="D12" s="41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 spans="1:27" x14ac:dyDescent="0.15">
      <c r="A13" s="65" t="s">
        <v>137</v>
      </c>
      <c r="B13" s="66">
        <v>1.58</v>
      </c>
      <c r="C13" s="47" t="s">
        <v>221</v>
      </c>
      <c r="D13" s="41"/>
      <c r="E13" s="46">
        <f>E29*E$37</f>
        <v>0.16</v>
      </c>
      <c r="F13" s="46">
        <f>F29*F$37</f>
        <v>0.32400000000000001</v>
      </c>
      <c r="G13" s="46">
        <f t="shared" ref="G13:M13" si="7">G29*G$37</f>
        <v>0.57600000000000007</v>
      </c>
      <c r="H13" s="46">
        <f t="shared" si="7"/>
        <v>0.97599999999999998</v>
      </c>
      <c r="I13" s="46">
        <f t="shared" si="7"/>
        <v>1.3159999999999998</v>
      </c>
      <c r="J13" s="46">
        <f>J29*J$37</f>
        <v>1.645</v>
      </c>
      <c r="K13" s="46">
        <f t="shared" si="7"/>
        <v>2.0720000000000001</v>
      </c>
      <c r="L13" s="46">
        <f>L29*L$37</f>
        <v>2.2399999999999998</v>
      </c>
      <c r="M13" s="46">
        <f t="shared" si="7"/>
        <v>2.8313600000000001</v>
      </c>
      <c r="N13" s="46">
        <f>N29*N$37</f>
        <v>2.9357663999999999</v>
      </c>
      <c r="O13" s="46">
        <f>O29*O$37</f>
        <v>3.0923406080000007</v>
      </c>
      <c r="P13" s="61">
        <f>P29*P$37</f>
        <v>3.4899272576000002</v>
      </c>
      <c r="Q13" s="61">
        <f>$P$13</f>
        <v>3.4899272576000002</v>
      </c>
      <c r="R13" s="61">
        <f t="shared" ref="R13:X13" si="8">$P$13</f>
        <v>3.4899272576000002</v>
      </c>
      <c r="S13" s="61">
        <f t="shared" si="8"/>
        <v>3.4899272576000002</v>
      </c>
      <c r="T13" s="61">
        <f t="shared" si="8"/>
        <v>3.4899272576000002</v>
      </c>
      <c r="U13" s="61">
        <f t="shared" si="8"/>
        <v>3.4899272576000002</v>
      </c>
      <c r="V13" s="61">
        <f t="shared" si="8"/>
        <v>3.4899272576000002</v>
      </c>
      <c r="W13" s="61">
        <f t="shared" si="8"/>
        <v>3.4899272576000002</v>
      </c>
      <c r="X13" s="61">
        <f t="shared" si="8"/>
        <v>3.4899272576000002</v>
      </c>
      <c r="Y13" s="61">
        <f>$P$13</f>
        <v>3.4899272576000002</v>
      </c>
      <c r="Z13" s="33" t="s">
        <v>126</v>
      </c>
      <c r="AA13" s="30" t="s">
        <v>145</v>
      </c>
    </row>
    <row r="14" spans="1:27" ht="15" x14ac:dyDescent="0.2">
      <c r="A14" s="41" t="s">
        <v>134</v>
      </c>
      <c r="B14" s="41">
        <v>1.4</v>
      </c>
      <c r="C14" s="41" t="s">
        <v>87</v>
      </c>
      <c r="D14" s="41"/>
      <c r="E14" s="46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208">
        <f>P30*P$37</f>
        <v>3.08</v>
      </c>
      <c r="Q14" s="208">
        <f>$P$14</f>
        <v>3.08</v>
      </c>
      <c r="R14" s="208">
        <f t="shared" ref="R14:X14" si="9">$P$14</f>
        <v>3.08</v>
      </c>
      <c r="S14" s="208">
        <f t="shared" si="9"/>
        <v>3.08</v>
      </c>
      <c r="T14" s="208">
        <f t="shared" si="9"/>
        <v>3.08</v>
      </c>
      <c r="U14" s="208">
        <f t="shared" si="9"/>
        <v>3.08</v>
      </c>
      <c r="V14" s="208">
        <f t="shared" si="9"/>
        <v>3.08</v>
      </c>
      <c r="W14" s="208">
        <f t="shared" si="9"/>
        <v>3.08</v>
      </c>
      <c r="X14" s="208">
        <f t="shared" si="9"/>
        <v>3.08</v>
      </c>
      <c r="Y14" s="208">
        <f>$P$14</f>
        <v>3.08</v>
      </c>
      <c r="Z14" s="123" t="s">
        <v>133</v>
      </c>
    </row>
    <row r="15" spans="1:27" ht="15" x14ac:dyDescent="0.2">
      <c r="A15" s="41" t="s">
        <v>135</v>
      </c>
      <c r="B15" s="41">
        <v>1.5</v>
      </c>
      <c r="C15" s="41" t="s">
        <v>260</v>
      </c>
      <c r="D15" s="41"/>
      <c r="E15" s="46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206">
        <f>P31*P$37</f>
        <v>3.3000000000000003</v>
      </c>
      <c r="Q15" s="206">
        <f>$P$15</f>
        <v>3.3000000000000003</v>
      </c>
      <c r="R15" s="206">
        <f t="shared" ref="R15:X15" si="10">$P$15</f>
        <v>3.3000000000000003</v>
      </c>
      <c r="S15" s="206">
        <f>$P$15</f>
        <v>3.3000000000000003</v>
      </c>
      <c r="T15" s="206">
        <f>$P$15</f>
        <v>3.3000000000000003</v>
      </c>
      <c r="U15" s="206">
        <f t="shared" si="10"/>
        <v>3.3000000000000003</v>
      </c>
      <c r="V15" s="206">
        <f t="shared" si="10"/>
        <v>3.3000000000000003</v>
      </c>
      <c r="W15" s="206">
        <f t="shared" si="10"/>
        <v>3.3000000000000003</v>
      </c>
      <c r="X15" s="206">
        <f t="shared" si="10"/>
        <v>3.3000000000000003</v>
      </c>
      <c r="Y15" s="206">
        <f>$P$15</f>
        <v>3.3000000000000003</v>
      </c>
      <c r="Z15" s="127" t="s">
        <v>16</v>
      </c>
    </row>
    <row r="16" spans="1:27" ht="15" x14ac:dyDescent="0.2">
      <c r="A16" s="41" t="s">
        <v>136</v>
      </c>
      <c r="B16" s="41">
        <v>1.6</v>
      </c>
      <c r="C16" s="41" t="s">
        <v>98</v>
      </c>
      <c r="D16" s="41"/>
      <c r="E16" s="46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210">
        <f>P32*P$37</f>
        <v>3.5200000000000005</v>
      </c>
      <c r="Q16" s="210">
        <f>$P$16</f>
        <v>3.5200000000000005</v>
      </c>
      <c r="R16" s="210">
        <f t="shared" ref="R16:X16" si="11">$P$16</f>
        <v>3.5200000000000005</v>
      </c>
      <c r="S16" s="210">
        <f t="shared" si="11"/>
        <v>3.5200000000000005</v>
      </c>
      <c r="T16" s="210">
        <f t="shared" si="11"/>
        <v>3.5200000000000005</v>
      </c>
      <c r="U16" s="210">
        <f t="shared" si="11"/>
        <v>3.5200000000000005</v>
      </c>
      <c r="V16" s="210">
        <f t="shared" si="11"/>
        <v>3.5200000000000005</v>
      </c>
      <c r="W16" s="210">
        <f t="shared" si="11"/>
        <v>3.5200000000000005</v>
      </c>
      <c r="X16" s="210">
        <f t="shared" si="11"/>
        <v>3.5200000000000005</v>
      </c>
      <c r="Y16" s="210">
        <f>$P$16</f>
        <v>3.5200000000000005</v>
      </c>
      <c r="Z16" s="126" t="s">
        <v>56</v>
      </c>
    </row>
    <row r="17" spans="1:28" x14ac:dyDescent="0.15">
      <c r="A17" s="41" t="s">
        <v>48</v>
      </c>
      <c r="B17" s="69">
        <v>0.83</v>
      </c>
      <c r="C17" s="41"/>
      <c r="D17" s="41"/>
      <c r="E17" s="46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 spans="1:28" ht="26" x14ac:dyDescent="0.15">
      <c r="A18" s="41" t="s">
        <v>169</v>
      </c>
      <c r="C18" s="47" t="s">
        <v>220</v>
      </c>
      <c r="D18" s="41"/>
      <c r="E18" s="46">
        <f>E29*(E$38)</f>
        <v>9.5999999999999992E-3</v>
      </c>
      <c r="F18" s="46">
        <f t="shared" ref="F18:T21" si="12">F29*(F$38)</f>
        <v>3.2399999999999998E-2</v>
      </c>
      <c r="G18" s="46">
        <f t="shared" si="12"/>
        <v>9.9000000000000005E-2</v>
      </c>
      <c r="H18" s="46">
        <f>H29*(H$38)</f>
        <v>0.33600000000000002</v>
      </c>
      <c r="I18" s="61">
        <f t="shared" si="12"/>
        <v>1.1199999999999999</v>
      </c>
      <c r="J18" s="61">
        <f t="shared" si="12"/>
        <v>2.5850000000000004</v>
      </c>
      <c r="K18" s="61">
        <f t="shared" si="12"/>
        <v>4.8100000000000005</v>
      </c>
      <c r="L18" s="61">
        <f t="shared" si="12"/>
        <v>8.3999999999999986</v>
      </c>
      <c r="M18" s="79">
        <f t="shared" si="12"/>
        <v>14.156799999999999</v>
      </c>
      <c r="N18" s="79">
        <f t="shared" si="12"/>
        <v>24.1851232</v>
      </c>
      <c r="O18" s="79">
        <f t="shared" si="12"/>
        <v>39.758664960000004</v>
      </c>
      <c r="P18" s="79">
        <f t="shared" si="12"/>
        <v>63.516676088320004</v>
      </c>
      <c r="Q18" s="79">
        <f>Q29*(Q$38)</f>
        <v>88.22536107212801</v>
      </c>
      <c r="R18" s="79">
        <f t="shared" si="12"/>
        <v>130.68381608808963</v>
      </c>
      <c r="S18" s="79">
        <f t="shared" si="12"/>
        <v>178.94970549662406</v>
      </c>
      <c r="T18" s="79">
        <f>T29*(T$38)</f>
        <v>239.24199088702514</v>
      </c>
      <c r="U18" s="79">
        <f>$T$18</f>
        <v>239.24199088702514</v>
      </c>
      <c r="V18" s="79">
        <f>$T$18</f>
        <v>239.24199088702514</v>
      </c>
      <c r="W18" s="79">
        <f>$T$18</f>
        <v>239.24199088702514</v>
      </c>
      <c r="X18" s="79">
        <f>$T$18</f>
        <v>239.24199088702514</v>
      </c>
      <c r="Y18" s="79">
        <f>$T$18</f>
        <v>239.24199088702514</v>
      </c>
      <c r="Z18" s="33" t="s">
        <v>126</v>
      </c>
      <c r="AA18" s="30" t="s">
        <v>146</v>
      </c>
    </row>
    <row r="19" spans="1:28" ht="15" x14ac:dyDescent="0.2">
      <c r="C19" s="41" t="s">
        <v>87</v>
      </c>
      <c r="D19" s="41"/>
      <c r="E19" s="46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168">
        <f>P30*(P$38)</f>
        <v>56.055999999999997</v>
      </c>
      <c r="Q19" s="168">
        <f>Q30*(Q$38)</f>
        <v>68.99199999999999</v>
      </c>
      <c r="R19" s="168">
        <f t="shared" si="12"/>
        <v>90.551999999999964</v>
      </c>
      <c r="S19" s="168">
        <f t="shared" si="12"/>
        <v>109.86975999999996</v>
      </c>
      <c r="T19" s="168">
        <f t="shared" si="12"/>
        <v>130.15340799999996</v>
      </c>
      <c r="U19" s="168">
        <f>$T$19</f>
        <v>130.15340799999996</v>
      </c>
      <c r="V19" s="168">
        <f>$T$19</f>
        <v>130.15340799999996</v>
      </c>
      <c r="W19" s="168">
        <f>$T$19</f>
        <v>130.15340799999996</v>
      </c>
      <c r="X19" s="168">
        <f>$T$19</f>
        <v>130.15340799999996</v>
      </c>
      <c r="Y19" s="168">
        <f>$T$19</f>
        <v>130.15340799999996</v>
      </c>
      <c r="Z19" s="123" t="s">
        <v>133</v>
      </c>
    </row>
    <row r="20" spans="1:28" ht="15" x14ac:dyDescent="0.2">
      <c r="C20" s="41" t="s">
        <v>260</v>
      </c>
      <c r="D20" s="41"/>
      <c r="E20" s="46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169">
        <f>P31*(P$38)</f>
        <v>60.06</v>
      </c>
      <c r="Q20" s="169">
        <f>Q31*(Q$38)</f>
        <v>79.2</v>
      </c>
      <c r="R20" s="169">
        <f t="shared" si="12"/>
        <v>111.375</v>
      </c>
      <c r="S20" s="169">
        <f t="shared" si="12"/>
        <v>144.78749999999999</v>
      </c>
      <c r="T20" s="169">
        <f>T31*(T$38)</f>
        <v>183.76875000000001</v>
      </c>
      <c r="U20" s="169">
        <f>$T$20</f>
        <v>183.76875000000001</v>
      </c>
      <c r="V20" s="169">
        <f>$T$20</f>
        <v>183.76875000000001</v>
      </c>
      <c r="W20" s="169">
        <f>$T$20</f>
        <v>183.76875000000001</v>
      </c>
      <c r="X20" s="169">
        <f>$T$20</f>
        <v>183.76875000000001</v>
      </c>
      <c r="Y20" s="169">
        <f>$T$20</f>
        <v>183.76875000000001</v>
      </c>
      <c r="Z20" s="127" t="s">
        <v>16</v>
      </c>
    </row>
    <row r="21" spans="1:28" ht="15" x14ac:dyDescent="0.2">
      <c r="C21" s="41" t="s">
        <v>261</v>
      </c>
      <c r="D21" s="41"/>
      <c r="E21" s="46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170">
        <f>P32*(P$38)</f>
        <v>64.064000000000007</v>
      </c>
      <c r="Q21" s="170">
        <f>Q32*(Q$38)</f>
        <v>90.112000000000023</v>
      </c>
      <c r="R21" s="170">
        <f t="shared" si="12"/>
        <v>135.16800000000003</v>
      </c>
      <c r="S21" s="170">
        <f t="shared" si="12"/>
        <v>187.43296000000007</v>
      </c>
      <c r="T21" s="170">
        <f t="shared" si="12"/>
        <v>253.75539200000009</v>
      </c>
      <c r="U21" s="170">
        <f>$T$21</f>
        <v>253.75539200000009</v>
      </c>
      <c r="V21" s="170">
        <f>$T$21</f>
        <v>253.75539200000009</v>
      </c>
      <c r="W21" s="170">
        <f>$T$21</f>
        <v>253.75539200000009</v>
      </c>
      <c r="X21" s="170">
        <f>$T$21</f>
        <v>253.75539200000009</v>
      </c>
      <c r="Y21" s="170">
        <f>$T$21</f>
        <v>253.75539200000009</v>
      </c>
      <c r="Z21" s="126" t="s">
        <v>56</v>
      </c>
    </row>
    <row r="22" spans="1:28" x14ac:dyDescent="0.15">
      <c r="C22" s="41"/>
      <c r="D22" s="41"/>
      <c r="E22" s="46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AB22" s="30">
        <f>1.05/435</f>
        <v>2.413793103448276E-3</v>
      </c>
    </row>
    <row r="23" spans="1:28" x14ac:dyDescent="0.15">
      <c r="C23" s="47" t="s">
        <v>219</v>
      </c>
      <c r="D23" s="41"/>
      <c r="E23" s="46">
        <f t="shared" ref="E23:W23" si="13">E29*E$39</f>
        <v>8.8817841970012525E-18</v>
      </c>
      <c r="F23" s="79">
        <f t="shared" si="13"/>
        <v>-1.6739999999999657E-3</v>
      </c>
      <c r="G23" s="79">
        <f t="shared" si="13"/>
        <v>-4.167000000000046E-4</v>
      </c>
      <c r="H23" s="46">
        <f t="shared" si="13"/>
        <v>-4.5407839999999757E-3</v>
      </c>
      <c r="I23" s="46">
        <f t="shared" si="13"/>
        <v>-9.7208515600000212E-3</v>
      </c>
      <c r="J23" s="46">
        <f t="shared" si="13"/>
        <v>1.2058485106299944E-2</v>
      </c>
      <c r="K23" s="46">
        <f>K29*K$39</f>
        <v>-8.3404390331422336E-3</v>
      </c>
      <c r="L23" s="46">
        <f>L29*L$39</f>
        <v>-2.1535058045266807E-2</v>
      </c>
      <c r="M23" s="46">
        <f t="shared" si="13"/>
        <v>3.7097464050588294E-2</v>
      </c>
      <c r="N23" s="46">
        <f t="shared" si="13"/>
        <v>6.515595903595231E-2</v>
      </c>
      <c r="O23" s="46">
        <f>O29*O$39</f>
        <v>0.44176294400000532</v>
      </c>
      <c r="P23" s="46">
        <f>P29*P$39</f>
        <v>1.7449636287999939</v>
      </c>
      <c r="Q23" s="46">
        <f t="shared" si="13"/>
        <v>17.519434833151998</v>
      </c>
      <c r="R23" s="46">
        <f t="shared" si="13"/>
        <v>39.024366594483205</v>
      </c>
      <c r="S23" s="46">
        <f t="shared" si="13"/>
        <v>91.820628294071412</v>
      </c>
      <c r="T23" s="46">
        <f>T29*T$39</f>
        <v>191.20654165450418</v>
      </c>
      <c r="U23" s="79">
        <f t="shared" si="13"/>
        <v>443.49809568082162</v>
      </c>
      <c r="V23" s="79">
        <f t="shared" si="13"/>
        <v>842.11875104240312</v>
      </c>
      <c r="W23" s="79">
        <f t="shared" si="13"/>
        <v>1471.9393865137019</v>
      </c>
      <c r="X23" s="79">
        <f>X29*X$39</f>
        <v>2467.0559905583546</v>
      </c>
      <c r="Y23" s="79">
        <f>Y29*Y$39</f>
        <v>4039.340224948905</v>
      </c>
      <c r="Z23" s="33" t="s">
        <v>126</v>
      </c>
      <c r="AA23" s="30" t="s">
        <v>147</v>
      </c>
    </row>
    <row r="24" spans="1:28" ht="15" x14ac:dyDescent="0.2">
      <c r="C24" s="41" t="s">
        <v>87</v>
      </c>
      <c r="D24" s="41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168">
        <f t="shared" ref="P24:Y26" si="14">P30*P$39</f>
        <v>1.5399999999999945</v>
      </c>
      <c r="Q24" s="168">
        <f t="shared" si="14"/>
        <v>13.70015189873417</v>
      </c>
      <c r="R24" s="168">
        <f t="shared" si="14"/>
        <v>27.040337125460649</v>
      </c>
      <c r="S24" s="168">
        <f t="shared" si="14"/>
        <v>56.375115933952458</v>
      </c>
      <c r="T24" s="168">
        <f t="shared" si="14"/>
        <v>104.02096611869203</v>
      </c>
      <c r="U24" s="168">
        <f t="shared" si="14"/>
        <v>213.78677929504352</v>
      </c>
      <c r="V24" s="168">
        <f t="shared" si="14"/>
        <v>359.69414760826629</v>
      </c>
      <c r="W24" s="168">
        <f t="shared" si="14"/>
        <v>557.08428717896993</v>
      </c>
      <c r="X24" s="168">
        <f t="shared" si="14"/>
        <v>827.33412403685918</v>
      </c>
      <c r="Y24" s="168">
        <f t="shared" si="14"/>
        <v>1200.2820589559203</v>
      </c>
      <c r="Z24" s="123" t="s">
        <v>133</v>
      </c>
    </row>
    <row r="25" spans="1:28" ht="15" x14ac:dyDescent="0.2">
      <c r="C25" s="41" t="s">
        <v>88</v>
      </c>
      <c r="D25" s="4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169">
        <f t="shared" si="14"/>
        <v>1.6499999999999941</v>
      </c>
      <c r="Q25" s="169">
        <f t="shared" si="14"/>
        <v>15.727215189873414</v>
      </c>
      <c r="R25" s="169">
        <f t="shared" si="14"/>
        <v>33.258432142284882</v>
      </c>
      <c r="S25" s="169">
        <f>S31*S$39</f>
        <v>74.291707730017293</v>
      </c>
      <c r="T25" s="169">
        <f>T31*T$39</f>
        <v>146.87132062976326</v>
      </c>
      <c r="U25" s="169">
        <f t="shared" si="14"/>
        <v>323.41501958521832</v>
      </c>
      <c r="V25" s="169">
        <f t="shared" si="14"/>
        <v>583.00990783406803</v>
      </c>
      <c r="W25" s="169">
        <f t="shared" si="14"/>
        <v>967.44591724753298</v>
      </c>
      <c r="X25" s="169">
        <f t="shared" si="14"/>
        <v>1539.394561469177</v>
      </c>
      <c r="Y25" s="169">
        <f t="shared" si="14"/>
        <v>2392.8504044802312</v>
      </c>
      <c r="Z25" s="127" t="s">
        <v>16</v>
      </c>
    </row>
    <row r="26" spans="1:28" ht="15" x14ac:dyDescent="0.2">
      <c r="C26" s="41" t="s">
        <v>98</v>
      </c>
      <c r="D26" s="41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170">
        <f>P32*P$39</f>
        <v>1.7599999999999938</v>
      </c>
      <c r="Q26" s="170">
        <f t="shared" si="14"/>
        <v>17.894075949367085</v>
      </c>
      <c r="R26" s="170">
        <f t="shared" si="14"/>
        <v>40.363418682903387</v>
      </c>
      <c r="S26" s="170">
        <f t="shared" si="14"/>
        <v>96.173458919395841</v>
      </c>
      <c r="T26" s="170">
        <f t="shared" si="14"/>
        <v>202.80591526014774</v>
      </c>
      <c r="U26" s="170">
        <f t="shared" si="14"/>
        <v>476.35697261787124</v>
      </c>
      <c r="V26" s="170">
        <f>V32*V$39</f>
        <v>915.96103791176836</v>
      </c>
      <c r="W26" s="170">
        <f t="shared" si="14"/>
        <v>1621.2742497455886</v>
      </c>
      <c r="X26" s="170">
        <f t="shared" si="14"/>
        <v>2751.7467379086474</v>
      </c>
      <c r="Y26" s="170">
        <f t="shared" si="14"/>
        <v>4562.4990219861957</v>
      </c>
      <c r="Z26" s="126" t="s">
        <v>56</v>
      </c>
    </row>
    <row r="27" spans="1:28" x14ac:dyDescent="0.15"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</row>
    <row r="28" spans="1:28" x14ac:dyDescent="0.15"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r="29" spans="1:28" s="33" customFormat="1" x14ac:dyDescent="0.15">
      <c r="C29" s="66" t="s">
        <v>218</v>
      </c>
      <c r="D29" s="65"/>
      <c r="E29" s="65">
        <v>0.32</v>
      </c>
      <c r="F29" s="65">
        <v>0.54</v>
      </c>
      <c r="G29" s="67">
        <v>0.9</v>
      </c>
      <c r="H29" s="68">
        <v>1.6</v>
      </c>
      <c r="I29" s="68">
        <v>2.8</v>
      </c>
      <c r="J29" s="501">
        <v>4.7</v>
      </c>
      <c r="K29" s="67">
        <v>7.4</v>
      </c>
      <c r="L29" s="67">
        <v>11.2</v>
      </c>
      <c r="M29" s="33">
        <f>L29*$B$13</f>
        <v>17.695999999999998</v>
      </c>
      <c r="N29" s="98">
        <f>M29*$B$13</f>
        <v>27.959679999999999</v>
      </c>
      <c r="O29" s="98">
        <f>N29*$B$13</f>
        <v>44.176294400000003</v>
      </c>
      <c r="P29" s="98">
        <f>O29*$B$13</f>
        <v>69.798545152000003</v>
      </c>
      <c r="Q29" s="98">
        <f>P29*$B$13</f>
        <v>110.28170134016001</v>
      </c>
      <c r="R29" s="98">
        <f t="shared" ref="R29:W29" si="15">Q29*$B$13</f>
        <v>174.24508811745284</v>
      </c>
      <c r="S29" s="98">
        <f t="shared" si="15"/>
        <v>275.30723922557547</v>
      </c>
      <c r="T29" s="98">
        <f>S29*$B$13</f>
        <v>434.98543797640929</v>
      </c>
      <c r="U29" s="98">
        <f t="shared" si="15"/>
        <v>687.27699200272673</v>
      </c>
      <c r="V29" s="98">
        <f t="shared" si="15"/>
        <v>1085.8976473643083</v>
      </c>
      <c r="W29" s="98">
        <f t="shared" si="15"/>
        <v>1715.7182828356072</v>
      </c>
      <c r="X29" s="98">
        <f>W29*$B$13</f>
        <v>2710.8348868802595</v>
      </c>
      <c r="Y29" s="99">
        <f>X29*$B$13</f>
        <v>4283.11912127081</v>
      </c>
      <c r="Z29" s="33" t="s">
        <v>126</v>
      </c>
      <c r="AA29" s="33" t="s">
        <v>196</v>
      </c>
    </row>
    <row r="30" spans="1:28" s="33" customFormat="1" ht="15" x14ac:dyDescent="0.2">
      <c r="C30" s="66"/>
      <c r="D30" s="65"/>
      <c r="E30" s="65"/>
      <c r="F30" s="65"/>
      <c r="G30" s="67"/>
      <c r="H30" s="68"/>
      <c r="I30" s="68"/>
      <c r="J30" s="97"/>
      <c r="K30" s="67"/>
      <c r="L30" s="67"/>
      <c r="N30" s="98"/>
      <c r="O30" s="124">
        <v>44</v>
      </c>
      <c r="P30" s="124">
        <f>O30*$B$14</f>
        <v>61.599999999999994</v>
      </c>
      <c r="Q30" s="124">
        <f t="shared" ref="Q30:X30" si="16">P30*$B$14</f>
        <v>86.239999999999981</v>
      </c>
      <c r="R30" s="124">
        <f t="shared" si="16"/>
        <v>120.73599999999996</v>
      </c>
      <c r="S30" s="124">
        <f t="shared" si="16"/>
        <v>169.03039999999993</v>
      </c>
      <c r="T30" s="124">
        <f t="shared" si="16"/>
        <v>236.64255999999989</v>
      </c>
      <c r="U30" s="124">
        <f t="shared" si="16"/>
        <v>331.29958399999981</v>
      </c>
      <c r="V30" s="124">
        <f t="shared" si="16"/>
        <v>463.81941759999972</v>
      </c>
      <c r="W30" s="124">
        <f t="shared" si="16"/>
        <v>649.34718463999957</v>
      </c>
      <c r="X30" s="124">
        <f t="shared" si="16"/>
        <v>909.08605849599928</v>
      </c>
      <c r="Y30" s="124">
        <f>X30*$B$14</f>
        <v>1272.720481894399</v>
      </c>
      <c r="Z30" s="123" t="s">
        <v>133</v>
      </c>
    </row>
    <row r="31" spans="1:28" s="33" customFormat="1" ht="15" x14ac:dyDescent="0.2">
      <c r="C31" s="66"/>
      <c r="D31" s="65"/>
      <c r="E31" s="65"/>
      <c r="F31" s="65"/>
      <c r="G31" s="67"/>
      <c r="H31" s="68"/>
      <c r="I31" s="68"/>
      <c r="J31" s="97"/>
      <c r="K31" s="67"/>
      <c r="L31" s="67"/>
      <c r="N31" s="98"/>
      <c r="O31" s="128">
        <v>44</v>
      </c>
      <c r="P31" s="128">
        <f>O31*$B$15</f>
        <v>66</v>
      </c>
      <c r="Q31" s="128">
        <f t="shared" ref="Q31:Y31" si="17">P31*$B$15</f>
        <v>99</v>
      </c>
      <c r="R31" s="128">
        <f t="shared" si="17"/>
        <v>148.5</v>
      </c>
      <c r="S31" s="128">
        <f t="shared" si="17"/>
        <v>222.75</v>
      </c>
      <c r="T31" s="128">
        <f>S31*$B$15</f>
        <v>334.125</v>
      </c>
      <c r="U31" s="128">
        <f t="shared" si="17"/>
        <v>501.1875</v>
      </c>
      <c r="V31" s="128">
        <f t="shared" si="17"/>
        <v>751.78125</v>
      </c>
      <c r="W31" s="128">
        <f t="shared" si="17"/>
        <v>1127.671875</v>
      </c>
      <c r="X31" s="128">
        <f t="shared" si="17"/>
        <v>1691.5078125</v>
      </c>
      <c r="Y31" s="128">
        <f t="shared" si="17"/>
        <v>2537.26171875</v>
      </c>
      <c r="Z31" s="127" t="s">
        <v>16</v>
      </c>
    </row>
    <row r="32" spans="1:28" s="33" customFormat="1" ht="15" x14ac:dyDescent="0.2">
      <c r="C32" s="66"/>
      <c r="D32" s="65"/>
      <c r="E32" s="65"/>
      <c r="F32" s="65"/>
      <c r="G32" s="67"/>
      <c r="H32" s="68"/>
      <c r="I32" s="68"/>
      <c r="J32" s="97"/>
      <c r="K32" s="67"/>
      <c r="L32" s="67"/>
      <c r="N32" s="98"/>
      <c r="O32" s="125">
        <v>44</v>
      </c>
      <c r="P32" s="125">
        <f>O32*$B$16</f>
        <v>70.400000000000006</v>
      </c>
      <c r="Q32" s="125">
        <f t="shared" ref="Q32:X32" si="18">P32*$B$16</f>
        <v>112.64000000000001</v>
      </c>
      <c r="R32" s="125">
        <f t="shared" si="18"/>
        <v>180.22400000000005</v>
      </c>
      <c r="S32" s="125">
        <f t="shared" si="18"/>
        <v>288.35840000000007</v>
      </c>
      <c r="T32" s="125">
        <f t="shared" si="18"/>
        <v>461.37344000000013</v>
      </c>
      <c r="U32" s="125">
        <f t="shared" si="18"/>
        <v>738.19750400000021</v>
      </c>
      <c r="V32" s="125">
        <f t="shared" si="18"/>
        <v>1181.1160064000003</v>
      </c>
      <c r="W32" s="125">
        <f t="shared" si="18"/>
        <v>1889.7856102400006</v>
      </c>
      <c r="X32" s="125">
        <f t="shared" si="18"/>
        <v>3023.6569763840012</v>
      </c>
      <c r="Y32" s="125">
        <f>X32*$B$16</f>
        <v>4837.8511622144024</v>
      </c>
      <c r="Z32" s="126" t="s">
        <v>56</v>
      </c>
    </row>
    <row r="33" spans="1:27" s="33" customFormat="1" ht="15" x14ac:dyDescent="0.2">
      <c r="C33" s="66"/>
      <c r="D33" s="65"/>
      <c r="E33" s="65"/>
      <c r="F33" s="65"/>
      <c r="G33" s="67"/>
      <c r="H33" s="68"/>
      <c r="I33" s="68"/>
      <c r="J33" s="97"/>
      <c r="K33" s="67"/>
      <c r="L33" s="67"/>
      <c r="N33" s="98"/>
      <c r="O33" s="212"/>
      <c r="P33" s="212"/>
      <c r="Q33" s="212"/>
      <c r="R33" s="212"/>
      <c r="S33" s="212"/>
      <c r="T33" s="212"/>
      <c r="U33" s="212"/>
      <c r="V33" s="212"/>
      <c r="W33" s="212"/>
      <c r="X33" s="212"/>
      <c r="Y33" s="212"/>
      <c r="Z33" s="213"/>
    </row>
    <row r="34" spans="1:27" s="33" customFormat="1" ht="16" thickBot="1" x14ac:dyDescent="0.25">
      <c r="C34" s="66"/>
      <c r="D34" s="65"/>
      <c r="E34" s="65"/>
      <c r="F34" s="65"/>
      <c r="G34" s="67"/>
      <c r="H34" s="68"/>
      <c r="I34" s="68"/>
      <c r="J34" s="97"/>
      <c r="K34" s="67"/>
      <c r="L34" s="67"/>
      <c r="N34" s="98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3"/>
    </row>
    <row r="35" spans="1:27" x14ac:dyDescent="0.15">
      <c r="C35" s="113" t="s">
        <v>119</v>
      </c>
      <c r="E35" s="62">
        <v>2010</v>
      </c>
      <c r="F35" s="62">
        <v>2011</v>
      </c>
      <c r="G35" s="62">
        <v>2012</v>
      </c>
      <c r="H35" s="62">
        <v>2013</v>
      </c>
      <c r="I35" s="62">
        <v>2014</v>
      </c>
      <c r="J35" s="308">
        <v>2015</v>
      </c>
      <c r="K35" s="309">
        <v>2016</v>
      </c>
      <c r="L35" s="309">
        <v>2017</v>
      </c>
      <c r="M35" s="309">
        <v>2018</v>
      </c>
      <c r="N35" s="309">
        <v>2019</v>
      </c>
      <c r="O35" s="309">
        <v>2020</v>
      </c>
      <c r="P35" s="637">
        <v>2021</v>
      </c>
      <c r="Q35" s="637">
        <v>2022</v>
      </c>
      <c r="R35" s="637">
        <v>2023</v>
      </c>
      <c r="S35" s="637">
        <v>2024</v>
      </c>
      <c r="T35" s="638">
        <v>2025</v>
      </c>
      <c r="U35" s="528">
        <v>2026</v>
      </c>
      <c r="V35" s="528">
        <v>2027</v>
      </c>
      <c r="W35" s="528">
        <v>2028</v>
      </c>
      <c r="X35" s="528">
        <v>2029</v>
      </c>
      <c r="Y35" s="528">
        <v>2030</v>
      </c>
    </row>
    <row r="36" spans="1:27" x14ac:dyDescent="0.15">
      <c r="A36" s="41"/>
      <c r="B36" s="69"/>
      <c r="C36" s="30" t="s">
        <v>120</v>
      </c>
      <c r="E36" s="101">
        <v>0.47</v>
      </c>
      <c r="F36" s="101">
        <f>E36*0.73</f>
        <v>0.34309999999999996</v>
      </c>
      <c r="G36" s="101">
        <f t="shared" ref="G36:N36" si="19">F36*0.73</f>
        <v>0.25046299999999999</v>
      </c>
      <c r="H36" s="101">
        <f t="shared" si="19"/>
        <v>0.18283798999999998</v>
      </c>
      <c r="I36" s="101">
        <f t="shared" si="19"/>
        <v>0.13347173269999998</v>
      </c>
      <c r="J36" s="639">
        <f>I36*0.73</f>
        <v>9.743436487099999E-2</v>
      </c>
      <c r="K36" s="640">
        <f t="shared" si="19"/>
        <v>7.1127086355829997E-2</v>
      </c>
      <c r="L36" s="640">
        <f t="shared" si="19"/>
        <v>5.1922773039755898E-2</v>
      </c>
      <c r="M36" s="640">
        <f t="shared" si="19"/>
        <v>3.7903624319021806E-2</v>
      </c>
      <c r="N36" s="640">
        <f t="shared" si="19"/>
        <v>2.7669645752885916E-2</v>
      </c>
      <c r="O36" s="640">
        <v>1.99999999999999E-2</v>
      </c>
      <c r="P36" s="640">
        <v>1.4999999999999999E-2</v>
      </c>
      <c r="Q36" s="640">
        <f>Q8/Q29</f>
        <v>9.4936708860759479E-3</v>
      </c>
      <c r="R36" s="640">
        <f>R8/R29</f>
        <v>6.0086524595417386E-3</v>
      </c>
      <c r="S36" s="641">
        <f t="shared" ref="S36:Y36" si="20">S8/S29</f>
        <v>3.8029445946466704E-3</v>
      </c>
      <c r="T36" s="642">
        <f>T8/T29</f>
        <v>2.406926958637133E-3</v>
      </c>
      <c r="U36" s="233">
        <f t="shared" si="20"/>
        <v>1.5233714928083119E-3</v>
      </c>
      <c r="V36" s="233">
        <f t="shared" si="20"/>
        <v>9.6415917266348835E-4</v>
      </c>
      <c r="W36" s="233">
        <f t="shared" si="20"/>
        <v>6.1022732447056226E-4</v>
      </c>
      <c r="X36" s="233">
        <f t="shared" si="20"/>
        <v>3.8621982561427989E-4</v>
      </c>
      <c r="Y36" s="233">
        <f t="shared" si="20"/>
        <v>2.4444292760397463E-4</v>
      </c>
      <c r="Z36" s="30" t="s">
        <v>144</v>
      </c>
    </row>
    <row r="37" spans="1:27" x14ac:dyDescent="0.15">
      <c r="A37" s="41"/>
      <c r="B37" s="69"/>
      <c r="C37" s="41" t="s">
        <v>121</v>
      </c>
      <c r="D37" s="41"/>
      <c r="E37" s="100">
        <v>0.5</v>
      </c>
      <c r="F37" s="100">
        <v>0.6</v>
      </c>
      <c r="G37" s="100">
        <v>0.64</v>
      </c>
      <c r="H37" s="100">
        <v>0.61</v>
      </c>
      <c r="I37" s="100">
        <v>0.47</v>
      </c>
      <c r="J37" s="643">
        <v>0.35</v>
      </c>
      <c r="K37" s="644">
        <f>J37*0.8</f>
        <v>0.27999999999999997</v>
      </c>
      <c r="L37" s="644">
        <v>0.2</v>
      </c>
      <c r="M37" s="644">
        <f>L37*0.8</f>
        <v>0.16000000000000003</v>
      </c>
      <c r="N37" s="644">
        <v>0.105</v>
      </c>
      <c r="O37" s="644">
        <v>7.0000000000000007E-2</v>
      </c>
      <c r="P37" s="645">
        <v>0.05</v>
      </c>
      <c r="Q37" s="646">
        <f>Q13/Q29</f>
        <v>3.164556962025316E-2</v>
      </c>
      <c r="R37" s="646">
        <f t="shared" ref="R37:X37" si="21">R13/R29</f>
        <v>2.0028841531805796E-2</v>
      </c>
      <c r="S37" s="647">
        <f t="shared" si="21"/>
        <v>1.2676481982155569E-2</v>
      </c>
      <c r="T37" s="648">
        <f>T13/T29</f>
        <v>8.0230898621237775E-3</v>
      </c>
      <c r="U37" s="500">
        <f>U13/U29</f>
        <v>5.077904976027706E-3</v>
      </c>
      <c r="V37" s="500">
        <f t="shared" si="21"/>
        <v>3.2138639088782951E-3</v>
      </c>
      <c r="W37" s="500">
        <f t="shared" si="21"/>
        <v>2.034091081568541E-3</v>
      </c>
      <c r="X37" s="500">
        <f t="shared" si="21"/>
        <v>1.2873994187142664E-3</v>
      </c>
      <c r="Y37" s="237">
        <f>Y13/Y29</f>
        <v>8.1480975867991544E-4</v>
      </c>
      <c r="Z37" s="30" t="s">
        <v>145</v>
      </c>
    </row>
    <row r="38" spans="1:27" x14ac:dyDescent="0.15">
      <c r="A38" s="41"/>
      <c r="B38" s="69"/>
      <c r="C38" s="41" t="s">
        <v>122</v>
      </c>
      <c r="D38" s="41"/>
      <c r="E38" s="100">
        <v>0.03</v>
      </c>
      <c r="F38" s="100">
        <v>0.06</v>
      </c>
      <c r="G38" s="100">
        <v>0.11</v>
      </c>
      <c r="H38" s="101">
        <v>0.21</v>
      </c>
      <c r="I38" s="236">
        <v>0.4</v>
      </c>
      <c r="J38" s="649">
        <v>0.55000000000000004</v>
      </c>
      <c r="K38" s="644">
        <v>0.65</v>
      </c>
      <c r="L38" s="650">
        <v>0.75</v>
      </c>
      <c r="M38" s="650">
        <v>0.8</v>
      </c>
      <c r="N38" s="650">
        <v>0.86499999999999999</v>
      </c>
      <c r="O38" s="650">
        <v>0.9</v>
      </c>
      <c r="P38" s="650">
        <v>0.91</v>
      </c>
      <c r="Q38" s="650">
        <v>0.8</v>
      </c>
      <c r="R38" s="650">
        <v>0.75</v>
      </c>
      <c r="S38" s="650">
        <v>0.65</v>
      </c>
      <c r="T38" s="651">
        <v>0.55000000000000004</v>
      </c>
      <c r="U38" s="101">
        <f>U18/U29</f>
        <v>0.34810126582278483</v>
      </c>
      <c r="V38" s="101">
        <f>V18/V29</f>
        <v>0.22031725684986378</v>
      </c>
      <c r="W38" s="101">
        <f>W18/W29</f>
        <v>0.13944130180371125</v>
      </c>
      <c r="X38" s="101">
        <f>X18/X29</f>
        <v>8.8253988483361551E-2</v>
      </c>
      <c r="Y38" s="101">
        <f>Y18/Y29</f>
        <v>5.5856954736304781E-2</v>
      </c>
      <c r="Z38" s="30" t="s">
        <v>146</v>
      </c>
    </row>
    <row r="39" spans="1:27" ht="14" thickBot="1" x14ac:dyDescent="0.2">
      <c r="A39" s="41"/>
      <c r="B39" s="69"/>
      <c r="C39" s="41" t="s">
        <v>123</v>
      </c>
      <c r="D39" s="41"/>
      <c r="E39" s="100">
        <f>1-E36-E37-E38</f>
        <v>2.7755575615628914E-17</v>
      </c>
      <c r="F39" s="100">
        <f t="shared" ref="F39:X39" si="22">1-F36-F37-F38</f>
        <v>-3.0999999999999361E-3</v>
      </c>
      <c r="G39" s="100">
        <f t="shared" si="22"/>
        <v>-4.6300000000000507E-4</v>
      </c>
      <c r="H39" s="100">
        <f t="shared" si="22"/>
        <v>-2.8379899999999847E-3</v>
      </c>
      <c r="I39" s="100">
        <f t="shared" si="22"/>
        <v>-3.4717327000000076E-3</v>
      </c>
      <c r="J39" s="652">
        <f t="shared" si="22"/>
        <v>2.5656351289999879E-3</v>
      </c>
      <c r="K39" s="653">
        <f t="shared" si="22"/>
        <v>-1.1270863558300315E-3</v>
      </c>
      <c r="L39" s="653">
        <f>1-L36-L37-L38</f>
        <v>-1.922773039755965E-3</v>
      </c>
      <c r="M39" s="653">
        <f t="shared" si="22"/>
        <v>2.0963756809780909E-3</v>
      </c>
      <c r="N39" s="653">
        <f>1-N36-N37-N38</f>
        <v>2.3303542471141414E-3</v>
      </c>
      <c r="O39" s="653">
        <f>1-O36-O37-O38</f>
        <v>1.000000000000012E-2</v>
      </c>
      <c r="P39" s="653">
        <f>1-P36-P37-P38</f>
        <v>2.4999999999999911E-2</v>
      </c>
      <c r="Q39" s="653">
        <f t="shared" si="22"/>
        <v>0.15886075949367084</v>
      </c>
      <c r="R39" s="653">
        <f t="shared" si="22"/>
        <v>0.22396250600865242</v>
      </c>
      <c r="S39" s="653">
        <f t="shared" si="22"/>
        <v>0.33352057342319774</v>
      </c>
      <c r="T39" s="654">
        <f t="shared" si="22"/>
        <v>0.43956998317923912</v>
      </c>
      <c r="U39" s="100">
        <f t="shared" si="22"/>
        <v>0.64529745770837921</v>
      </c>
      <c r="V39" s="100">
        <f t="shared" si="22"/>
        <v>0.77550472006859439</v>
      </c>
      <c r="W39" s="100">
        <f t="shared" si="22"/>
        <v>0.85791437979024965</v>
      </c>
      <c r="X39" s="100">
        <f t="shared" si="22"/>
        <v>0.91007239227230996</v>
      </c>
      <c r="Y39" s="100">
        <f>1-Y36-Y37-Y38</f>
        <v>0.94308379257741137</v>
      </c>
      <c r="Z39" s="30" t="s">
        <v>147</v>
      </c>
    </row>
    <row r="40" spans="1:27" x14ac:dyDescent="0.15">
      <c r="A40" s="41"/>
      <c r="B40" s="69"/>
      <c r="C40" s="47"/>
      <c r="D40" s="41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AA40" s="30">
        <f>0.23/100*435</f>
        <v>1.0004999999999999</v>
      </c>
    </row>
    <row r="41" spans="1:27" x14ac:dyDescent="0.15">
      <c r="A41" s="41"/>
      <c r="B41" s="69"/>
      <c r="C41" s="47" t="s">
        <v>117</v>
      </c>
      <c r="D41" s="41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</row>
    <row r="42" spans="1:27" x14ac:dyDescent="0.15">
      <c r="A42" s="41"/>
      <c r="B42" s="69"/>
      <c r="C42" s="47"/>
      <c r="D42" s="41"/>
      <c r="E42" s="62">
        <v>2010</v>
      </c>
      <c r="F42" s="62">
        <v>2011</v>
      </c>
      <c r="G42" s="62">
        <v>2012</v>
      </c>
      <c r="H42" s="62">
        <v>2013</v>
      </c>
      <c r="I42" s="62">
        <v>2014</v>
      </c>
      <c r="J42" s="62">
        <v>2015</v>
      </c>
      <c r="K42" s="62">
        <v>2016</v>
      </c>
      <c r="L42" s="62">
        <v>2017</v>
      </c>
      <c r="M42" s="62">
        <v>2018</v>
      </c>
      <c r="N42" s="62">
        <v>2019</v>
      </c>
      <c r="O42" s="62">
        <v>2020</v>
      </c>
      <c r="P42" s="528">
        <v>2021</v>
      </c>
      <c r="Q42" s="528">
        <v>2022</v>
      </c>
      <c r="R42" s="528">
        <v>2023</v>
      </c>
      <c r="S42" s="528">
        <v>2024</v>
      </c>
      <c r="T42" s="528">
        <v>2025</v>
      </c>
      <c r="U42" s="528">
        <v>2026</v>
      </c>
      <c r="V42" s="528">
        <v>2027</v>
      </c>
      <c r="W42" s="528">
        <v>2028</v>
      </c>
      <c r="X42" s="528">
        <v>2029</v>
      </c>
      <c r="Y42" s="528">
        <v>2030</v>
      </c>
    </row>
    <row r="43" spans="1:27" x14ac:dyDescent="0.15">
      <c r="A43" s="41"/>
      <c r="B43" s="69"/>
      <c r="C43" s="41" t="s">
        <v>118</v>
      </c>
      <c r="D43" s="41"/>
      <c r="E43" s="100">
        <f>E6/SUM(E6:E23)</f>
        <v>0.83</v>
      </c>
      <c r="F43" s="100">
        <f>F6/SUM(F6:F23)</f>
        <v>0.74314493564633455</v>
      </c>
      <c r="G43" s="100">
        <f t="shared" ref="G43:N43" si="23">G6/SUM(G6:G23)</f>
        <v>0.63449593884376476</v>
      </c>
      <c r="H43" s="100">
        <f>H6/SUM(H6:H23)</f>
        <v>0.49404761904761896</v>
      </c>
      <c r="I43" s="100">
        <f>I6/SUM(I6:I23)</f>
        <v>0.35814455231930958</v>
      </c>
      <c r="J43" s="100">
        <f>J6/SUM(J6:J23)</f>
        <v>0.24948337403719703</v>
      </c>
      <c r="K43" s="100">
        <f t="shared" si="23"/>
        <v>0.1743239695458125</v>
      </c>
      <c r="L43" s="100">
        <f t="shared" si="23"/>
        <v>0.12241887905604719</v>
      </c>
      <c r="M43" s="100">
        <f t="shared" si="23"/>
        <v>8.1125989639331431E-2</v>
      </c>
      <c r="N43" s="100">
        <f t="shared" si="23"/>
        <v>5.2921590606226372E-2</v>
      </c>
      <c r="O43" s="100">
        <f>O6/SUM(O6:O23)</f>
        <v>3.4158267285922847E-2</v>
      </c>
      <c r="P43" s="100">
        <f>P6/(P6+P8+P13+P18+P23)</f>
        <v>2.189368383700124E-2</v>
      </c>
      <c r="Q43" s="100">
        <f t="shared" ref="Q43:X43" si="24">Q6/(Q6+Q8+Q13+Q18+Q23)</f>
        <v>1.3969029924885169E-2</v>
      </c>
      <c r="R43" s="100">
        <f t="shared" si="24"/>
        <v>8.8867281826566571E-3</v>
      </c>
      <c r="S43" s="100">
        <f t="shared" si="24"/>
        <v>5.6429199355178825E-3</v>
      </c>
      <c r="T43" s="497">
        <f t="shared" si="24"/>
        <v>3.5788817941159188E-3</v>
      </c>
      <c r="U43" s="100">
        <f t="shared" si="24"/>
        <v>2.2680948070753753E-3</v>
      </c>
      <c r="V43" s="100">
        <f t="shared" si="24"/>
        <v>1.4366992263969071E-3</v>
      </c>
      <c r="W43" s="100">
        <f t="shared" si="24"/>
        <v>9.0978312375237711E-4</v>
      </c>
      <c r="X43" s="100">
        <f t="shared" si="24"/>
        <v>5.7600447244199522E-4</v>
      </c>
      <c r="Y43" s="100">
        <f>Y6/(Y6+Y8+Y13+Y18+Y23)</f>
        <v>3.6463689321592077E-4</v>
      </c>
      <c r="Z43" s="30" t="s">
        <v>148</v>
      </c>
    </row>
    <row r="44" spans="1:27" x14ac:dyDescent="0.15">
      <c r="A44" s="41"/>
      <c r="B44" s="69"/>
      <c r="C44" s="30" t="s">
        <v>120</v>
      </c>
      <c r="D44" s="41"/>
      <c r="E44" s="100">
        <f>E8/SUM(E6:E23)</f>
        <v>7.9900000000000013E-2</v>
      </c>
      <c r="F44" s="100">
        <f t="shared" ref="F44:O44" si="25">F8/SUM(F6:F23)</f>
        <v>8.8126972579742599E-2</v>
      </c>
      <c r="G44" s="100">
        <f t="shared" si="25"/>
        <v>9.1545243669374096E-2</v>
      </c>
      <c r="H44" s="100">
        <f>H8/SUM(H6:H23)</f>
        <v>9.2507316369047618E-2</v>
      </c>
      <c r="I44" s="100">
        <f>I8/SUM(I6:I23)</f>
        <v>8.5669558744875945E-2</v>
      </c>
      <c r="J44" s="100">
        <f t="shared" si="25"/>
        <v>7.3126110775811576E-2</v>
      </c>
      <c r="K44" s="100">
        <f t="shared" si="25"/>
        <v>5.8727930320053905E-2</v>
      </c>
      <c r="L44" s="100">
        <f t="shared" si="25"/>
        <v>4.5566445366747442E-2</v>
      </c>
      <c r="M44" s="100">
        <f t="shared" si="25"/>
        <v>3.4828655285223734E-2</v>
      </c>
      <c r="N44" s="100">
        <f t="shared" si="25"/>
        <v>2.6205324088132375E-2</v>
      </c>
      <c r="O44" s="100">
        <f t="shared" si="25"/>
        <v>1.9316834654281446E-2</v>
      </c>
      <c r="P44" s="100">
        <f>P8/(P6+P8+P13+P18+P23)</f>
        <v>1.467159474244498E-2</v>
      </c>
      <c r="Q44" s="100">
        <f t="shared" ref="Q44:Y44" si="26">Q8/(Q6+Q8+Q13+Q18+Q23)</f>
        <v>9.3610535133713431E-3</v>
      </c>
      <c r="R44" s="100">
        <f t="shared" si="26"/>
        <v>5.95525519838974E-3</v>
      </c>
      <c r="S44" s="100">
        <f t="shared" si="26"/>
        <v>3.7814848827798686E-3</v>
      </c>
      <c r="T44" s="497">
        <f>T8/(T6+T8+T13+T18+T23)</f>
        <v>2.3983128515650998E-3</v>
      </c>
      <c r="U44" s="100">
        <f t="shared" si="26"/>
        <v>1.5199163418362265E-3</v>
      </c>
      <c r="V44" s="100">
        <f t="shared" si="26"/>
        <v>9.6277396592599933E-4</v>
      </c>
      <c r="W44" s="100">
        <f t="shared" si="26"/>
        <v>6.0967214994910642E-4</v>
      </c>
      <c r="X44" s="100">
        <f t="shared" si="26"/>
        <v>3.8599736126738028E-4</v>
      </c>
      <c r="Y44" s="100">
        <f t="shared" si="26"/>
        <v>2.443537946942845E-4</v>
      </c>
      <c r="Z44" s="30" t="s">
        <v>144</v>
      </c>
    </row>
    <row r="45" spans="1:27" x14ac:dyDescent="0.15">
      <c r="A45" s="41"/>
      <c r="B45" s="69"/>
      <c r="C45" s="41" t="s">
        <v>121</v>
      </c>
      <c r="D45" s="41"/>
      <c r="E45" s="100">
        <f>E13/SUM(E6:E23)</f>
        <v>8.5000000000000006E-2</v>
      </c>
      <c r="F45" s="100">
        <f t="shared" ref="F45:O45" si="27">F13/SUM(F6:F23)</f>
        <v>0.15411303861219924</v>
      </c>
      <c r="G45" s="100">
        <f t="shared" si="27"/>
        <v>0.23392259913999047</v>
      </c>
      <c r="H45" s="100">
        <f>H13/SUM(H6:H23)</f>
        <v>0.30863095238095239</v>
      </c>
      <c r="I45" s="100">
        <f t="shared" si="27"/>
        <v>0.3016720604099245</v>
      </c>
      <c r="J45" s="100">
        <f t="shared" si="27"/>
        <v>0.26268081908698104</v>
      </c>
      <c r="K45" s="100">
        <f t="shared" si="27"/>
        <v>0.23118928852717249</v>
      </c>
      <c r="L45" s="100">
        <f t="shared" si="27"/>
        <v>0.17551622418879056</v>
      </c>
      <c r="M45" s="100">
        <f t="shared" si="27"/>
        <v>0.14701984165770698</v>
      </c>
      <c r="N45" s="100">
        <f t="shared" si="27"/>
        <v>9.9443232986346219E-2</v>
      </c>
      <c r="O45" s="100">
        <f t="shared" si="27"/>
        <v>6.7608921289985413E-2</v>
      </c>
      <c r="P45" s="100">
        <f>P13/(P6+P8+P13+P18+P23)</f>
        <v>4.8905315808149941E-2</v>
      </c>
      <c r="Q45" s="100">
        <f t="shared" ref="Q45:Y45" si="28">Q13/(Q6+Q8+Q13+Q18+Q23)</f>
        <v>3.1203511711237815E-2</v>
      </c>
      <c r="R45" s="100">
        <f t="shared" si="28"/>
        <v>1.9850850661299133E-2</v>
      </c>
      <c r="S45" s="100">
        <f t="shared" si="28"/>
        <v>1.260494960926623E-2</v>
      </c>
      <c r="T45" s="497">
        <f t="shared" si="28"/>
        <v>7.9943761718836662E-3</v>
      </c>
      <c r="U45" s="100">
        <f t="shared" si="28"/>
        <v>5.0663878061207555E-3</v>
      </c>
      <c r="V45" s="100">
        <f t="shared" si="28"/>
        <v>3.2092465530866648E-3</v>
      </c>
      <c r="W45" s="100">
        <f t="shared" si="28"/>
        <v>2.0322404998303549E-3</v>
      </c>
      <c r="X45" s="100">
        <f t="shared" si="28"/>
        <v>1.2866578708912678E-3</v>
      </c>
      <c r="Y45" s="100">
        <f t="shared" si="28"/>
        <v>8.1451264898094828E-4</v>
      </c>
      <c r="Z45" s="30" t="s">
        <v>145</v>
      </c>
    </row>
    <row r="46" spans="1:27" x14ac:dyDescent="0.15">
      <c r="A46" s="41"/>
      <c r="B46" s="69"/>
      <c r="C46" s="41" t="s">
        <v>122</v>
      </c>
      <c r="D46" s="41"/>
      <c r="E46" s="100">
        <f>E18/SUM(E6:E23)</f>
        <v>5.1000000000000004E-3</v>
      </c>
      <c r="F46" s="100">
        <f t="shared" ref="F46:O46" si="29">F18/SUM(F6:F23)</f>
        <v>1.5411303861219923E-2</v>
      </c>
      <c r="G46" s="100">
        <f t="shared" si="29"/>
        <v>4.0205446727185859E-2</v>
      </c>
      <c r="H46" s="100">
        <f>H18/SUM(H6:H23)</f>
        <v>0.10625000000000001</v>
      </c>
      <c r="I46" s="100">
        <f>I18/SUM(I6:I23)</f>
        <v>0.2567421790722762</v>
      </c>
      <c r="J46" s="100">
        <f t="shared" si="29"/>
        <v>0.41278414427954174</v>
      </c>
      <c r="K46" s="100">
        <f t="shared" si="29"/>
        <v>0.53668941979522189</v>
      </c>
      <c r="L46" s="100">
        <f t="shared" si="29"/>
        <v>0.6581858407079646</v>
      </c>
      <c r="M46" s="100">
        <f t="shared" si="29"/>
        <v>0.73509920828853481</v>
      </c>
      <c r="N46" s="100">
        <f t="shared" si="29"/>
        <v>0.81922282412561409</v>
      </c>
      <c r="O46" s="100">
        <f t="shared" si="29"/>
        <v>0.86925755944266947</v>
      </c>
      <c r="P46" s="100">
        <f>P18/(P6+P8+P13+P18+P23)</f>
        <v>0.8900767477083289</v>
      </c>
      <c r="Q46" s="100">
        <f t="shared" ref="Q46:Y46" si="30">Q18/(Q6+Q8+Q13+Q18+Q23)</f>
        <v>0.78882477606009194</v>
      </c>
      <c r="R46" s="100">
        <f t="shared" si="30"/>
        <v>0.74333495386300752</v>
      </c>
      <c r="S46" s="100">
        <f t="shared" si="30"/>
        <v>0.64633210204191338</v>
      </c>
      <c r="T46" s="100">
        <f t="shared" si="30"/>
        <v>0.54803161501323627</v>
      </c>
      <c r="U46" s="100">
        <f t="shared" si="30"/>
        <v>0.34731173914943575</v>
      </c>
      <c r="V46" s="100">
        <f t="shared" si="30"/>
        <v>0.22000072721738573</v>
      </c>
      <c r="W46" s="100">
        <f t="shared" si="30"/>
        <v>0.1393144404605762</v>
      </c>
      <c r="X46" s="100">
        <f t="shared" si="30"/>
        <v>8.8203153791284294E-2</v>
      </c>
      <c r="Y46" s="100">
        <f t="shared" si="30"/>
        <v>5.5836587229865224E-2</v>
      </c>
      <c r="Z46" s="30" t="s">
        <v>146</v>
      </c>
    </row>
    <row r="47" spans="1:27" x14ac:dyDescent="0.15">
      <c r="A47" s="41"/>
      <c r="B47" s="69"/>
      <c r="C47" s="41" t="s">
        <v>123</v>
      </c>
      <c r="D47" s="41"/>
      <c r="E47" s="100">
        <f>E23/SUM(E6:E23)</f>
        <v>4.7184478546569156E-18</v>
      </c>
      <c r="F47" s="100">
        <f t="shared" ref="F47:O47" si="31">F23/SUM(F6:F23)</f>
        <v>-7.9625069949634635E-4</v>
      </c>
      <c r="G47" s="100">
        <f t="shared" si="31"/>
        <v>-1.6922838031533871E-4</v>
      </c>
      <c r="H47" s="100">
        <f t="shared" si="31"/>
        <v>-1.4358877976190401E-3</v>
      </c>
      <c r="I47" s="100">
        <f t="shared" si="31"/>
        <v>-2.2283505463861972E-3</v>
      </c>
      <c r="J47" s="100">
        <f t="shared" si="31"/>
        <v>1.9255518204687118E-3</v>
      </c>
      <c r="K47" s="100">
        <f t="shared" si="31"/>
        <v>-9.306081882608162E-4</v>
      </c>
      <c r="L47" s="100">
        <f t="shared" si="31"/>
        <v>-1.6873893195498515E-3</v>
      </c>
      <c r="M47" s="100">
        <f t="shared" si="31"/>
        <v>1.9263051292029161E-3</v>
      </c>
      <c r="N47" s="100">
        <f>N23/SUM(N6:N23)</f>
        <v>2.2070281936808853E-3</v>
      </c>
      <c r="O47" s="100">
        <f t="shared" si="31"/>
        <v>9.6584173271408863E-3</v>
      </c>
      <c r="P47" s="100">
        <f>P23/(P6+P8+P13+P18+P23)</f>
        <v>2.4452657904074884E-2</v>
      </c>
      <c r="Q47" s="100">
        <f t="shared" ref="Q47:Y47" si="32">Q23/(Q6+Q8+Q13+Q18+Q23)</f>
        <v>0.15664162879041379</v>
      </c>
      <c r="R47" s="100">
        <f t="shared" si="32"/>
        <v>0.22197221209464693</v>
      </c>
      <c r="S47" s="100">
        <f t="shared" si="32"/>
        <v>0.33163854353052263</v>
      </c>
      <c r="T47" s="100">
        <f t="shared" si="32"/>
        <v>0.43799681416919906</v>
      </c>
      <c r="U47" s="100">
        <f t="shared" si="32"/>
        <v>0.64383386189553182</v>
      </c>
      <c r="V47" s="100">
        <f t="shared" si="32"/>
        <v>0.77439055303720472</v>
      </c>
      <c r="W47" s="100">
        <f t="shared" si="32"/>
        <v>0.85713386376589196</v>
      </c>
      <c r="X47" s="100">
        <f t="shared" si="32"/>
        <v>0.90954818650411517</v>
      </c>
      <c r="Y47" s="100">
        <f t="shared" si="32"/>
        <v>0.94273990943324359</v>
      </c>
      <c r="Z47" s="30" t="s">
        <v>147</v>
      </c>
    </row>
    <row r="48" spans="1:27" x14ac:dyDescent="0.15">
      <c r="A48" s="41"/>
      <c r="B48" s="69"/>
      <c r="C48" s="47"/>
      <c r="D48" s="43"/>
      <c r="E48" s="41"/>
      <c r="F48" s="41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</row>
    <row r="49" spans="1:27" x14ac:dyDescent="0.15">
      <c r="A49" s="41"/>
      <c r="B49" s="69"/>
      <c r="C49" s="47"/>
      <c r="D49" s="43"/>
      <c r="E49" s="41"/>
      <c r="F49" s="41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</row>
    <row r="50" spans="1:27" x14ac:dyDescent="0.15">
      <c r="A50" s="41"/>
      <c r="B50" s="69"/>
    </row>
    <row r="51" spans="1:27" x14ac:dyDescent="0.15">
      <c r="A51" s="41"/>
      <c r="B51" s="69"/>
      <c r="C51" s="47"/>
      <c r="D51" s="43"/>
      <c r="E51" s="41"/>
      <c r="F51" s="41"/>
      <c r="G51" s="100"/>
      <c r="H51" s="100"/>
      <c r="I51" s="100"/>
      <c r="J51" s="100"/>
      <c r="K51" s="100"/>
      <c r="L51" s="100"/>
      <c r="M51" s="100"/>
      <c r="N51" s="100"/>
      <c r="O51" s="101"/>
      <c r="P51" s="101"/>
      <c r="Q51" s="100"/>
      <c r="R51" s="100"/>
      <c r="S51" s="100"/>
      <c r="T51" s="101"/>
      <c r="U51" s="101"/>
      <c r="V51" s="100"/>
      <c r="W51" s="100"/>
      <c r="X51" s="101"/>
      <c r="Y51" s="101"/>
      <c r="Z51" s="101"/>
      <c r="AA51" s="101"/>
    </row>
    <row r="52" spans="1:27" x14ac:dyDescent="0.15">
      <c r="A52" s="41"/>
      <c r="B52" s="69"/>
      <c r="C52" s="47"/>
      <c r="D52" s="43"/>
      <c r="E52" s="41"/>
      <c r="F52" s="41"/>
      <c r="G52" s="100"/>
      <c r="H52" s="100"/>
      <c r="I52" s="100"/>
      <c r="J52" s="101"/>
      <c r="K52" s="101"/>
      <c r="L52" s="100"/>
      <c r="M52" s="100"/>
      <c r="N52" s="101"/>
      <c r="O52" s="101"/>
      <c r="P52" s="101"/>
      <c r="Q52" s="100"/>
      <c r="R52" s="100"/>
      <c r="S52" s="100"/>
      <c r="T52" s="101"/>
      <c r="U52" s="101"/>
      <c r="V52" s="100"/>
      <c r="W52" s="100"/>
      <c r="X52" s="101"/>
      <c r="Y52" s="101"/>
      <c r="Z52" s="101"/>
      <c r="AA52" s="101"/>
    </row>
    <row r="53" spans="1:27" x14ac:dyDescent="0.15">
      <c r="A53" s="41"/>
      <c r="B53" s="69"/>
      <c r="C53" s="47"/>
      <c r="D53" s="43"/>
      <c r="E53" s="41"/>
      <c r="F53" s="41"/>
      <c r="G53" s="100"/>
      <c r="H53" s="100"/>
      <c r="I53" s="100"/>
      <c r="J53" s="101"/>
      <c r="K53" s="101"/>
      <c r="L53" s="100"/>
      <c r="M53" s="100"/>
      <c r="N53" s="101"/>
      <c r="O53" s="101"/>
      <c r="P53" s="101"/>
      <c r="Q53" s="100"/>
      <c r="R53" s="100"/>
      <c r="S53" s="100"/>
      <c r="T53" s="101"/>
      <c r="U53" s="101"/>
      <c r="V53" s="100"/>
      <c r="W53" s="100"/>
      <c r="X53" s="101"/>
      <c r="Y53" s="101"/>
      <c r="Z53" s="101"/>
      <c r="AA53" s="101"/>
    </row>
    <row r="54" spans="1:27" x14ac:dyDescent="0.15">
      <c r="A54" s="41"/>
      <c r="B54" s="69"/>
      <c r="C54" s="47"/>
      <c r="D54" s="43"/>
      <c r="E54" s="41"/>
      <c r="F54" s="62">
        <v>2010</v>
      </c>
      <c r="G54" s="62">
        <v>2011</v>
      </c>
      <c r="H54" s="62">
        <v>2012</v>
      </c>
      <c r="I54" s="62">
        <v>2013</v>
      </c>
      <c r="J54" s="62">
        <v>2014</v>
      </c>
      <c r="K54" s="62">
        <v>2015</v>
      </c>
      <c r="L54" s="62">
        <v>2016</v>
      </c>
      <c r="M54" s="62">
        <v>2017</v>
      </c>
      <c r="N54" s="62">
        <v>2018</v>
      </c>
      <c r="O54" s="62">
        <v>2019</v>
      </c>
      <c r="P54" s="62">
        <v>2020</v>
      </c>
      <c r="Q54" s="528">
        <v>2021</v>
      </c>
      <c r="R54" s="528">
        <v>2022</v>
      </c>
      <c r="S54" s="528">
        <v>2023</v>
      </c>
      <c r="T54" s="528">
        <v>2024</v>
      </c>
      <c r="U54" s="528">
        <v>2025</v>
      </c>
      <c r="V54" s="528">
        <v>2026</v>
      </c>
      <c r="W54" s="528">
        <v>2027</v>
      </c>
      <c r="X54" s="528">
        <v>2028</v>
      </c>
      <c r="Y54" s="528">
        <v>2029</v>
      </c>
      <c r="Z54" s="528">
        <v>2030</v>
      </c>
    </row>
    <row r="55" spans="1:27" x14ac:dyDescent="0.15">
      <c r="A55" s="30" t="s">
        <v>41</v>
      </c>
      <c r="C55" s="47" t="s">
        <v>224</v>
      </c>
      <c r="D55" s="70" t="s">
        <v>40</v>
      </c>
      <c r="E55" s="41"/>
      <c r="F55" s="118">
        <f>E6*12</f>
        <v>18.748235294117642</v>
      </c>
      <c r="G55" s="118">
        <f t="shared" ref="G55:Y55" si="33">F6*12</f>
        <v>18.748235294117642</v>
      </c>
      <c r="H55" s="118">
        <f t="shared" si="33"/>
        <v>18.748235294117642</v>
      </c>
      <c r="I55" s="118">
        <f t="shared" si="33"/>
        <v>18.748235294117642</v>
      </c>
      <c r="J55" s="118">
        <f t="shared" si="33"/>
        <v>18.748235294117642</v>
      </c>
      <c r="K55" s="499">
        <f>J6*12</f>
        <v>18.748235294117642</v>
      </c>
      <c r="L55" s="118">
        <f t="shared" si="33"/>
        <v>18.748235294117642</v>
      </c>
      <c r="M55" s="118">
        <f>L6*12</f>
        <v>18.748235294117642</v>
      </c>
      <c r="N55" s="118">
        <f>M6*12</f>
        <v>18.748235294117642</v>
      </c>
      <c r="O55" s="118">
        <f>N6*12</f>
        <v>18.748235294117642</v>
      </c>
      <c r="P55" s="118">
        <f t="shared" si="33"/>
        <v>18.748235294117642</v>
      </c>
      <c r="Q55" s="118">
        <f t="shared" si="33"/>
        <v>18.748235294117642</v>
      </c>
      <c r="R55" s="118">
        <f t="shared" si="33"/>
        <v>18.748235294117642</v>
      </c>
      <c r="S55" s="118">
        <f t="shared" si="33"/>
        <v>18.748235294117642</v>
      </c>
      <c r="T55" s="118">
        <f t="shared" si="33"/>
        <v>18.748235294117642</v>
      </c>
      <c r="U55" s="118">
        <f t="shared" si="33"/>
        <v>18.748235294117642</v>
      </c>
      <c r="V55" s="118">
        <f t="shared" si="33"/>
        <v>18.748235294117642</v>
      </c>
      <c r="W55" s="118">
        <f t="shared" si="33"/>
        <v>18.748235294117642</v>
      </c>
      <c r="X55" s="118">
        <f t="shared" si="33"/>
        <v>18.748235294117642</v>
      </c>
      <c r="Y55" s="118">
        <f t="shared" si="33"/>
        <v>18.748235294117642</v>
      </c>
      <c r="Z55" s="118">
        <f>Y6*12</f>
        <v>18.748235294117642</v>
      </c>
      <c r="AA55" s="47" t="s">
        <v>45</v>
      </c>
    </row>
    <row r="56" spans="1:27" x14ac:dyDescent="0.15">
      <c r="C56" s="47"/>
      <c r="D56" s="70"/>
      <c r="E56" s="41"/>
      <c r="F56" s="118"/>
      <c r="G56" s="118"/>
      <c r="H56" s="118"/>
      <c r="I56" s="118"/>
      <c r="J56" s="118"/>
      <c r="K56" s="499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47"/>
    </row>
    <row r="57" spans="1:27" x14ac:dyDescent="0.15">
      <c r="A57" s="30" t="s">
        <v>41</v>
      </c>
      <c r="C57" s="47" t="s">
        <v>225</v>
      </c>
      <c r="D57" s="70" t="s">
        <v>40</v>
      </c>
      <c r="E57" s="41"/>
      <c r="F57" s="118">
        <f>E8*12</f>
        <v>1.8048000000000002</v>
      </c>
      <c r="G57" s="118">
        <f>F8*12</f>
        <v>2.2232880000000002</v>
      </c>
      <c r="H57" s="118">
        <f>G8*12</f>
        <v>2.7050003999999999</v>
      </c>
      <c r="I57" s="118">
        <f t="shared" ref="I57:N57" si="34">H8*12</f>
        <v>3.5104894079999998</v>
      </c>
      <c r="J57" s="118">
        <f>I8*12</f>
        <v>4.4846502187199997</v>
      </c>
      <c r="K57" s="499">
        <f>J8*12</f>
        <v>5.4952981787243997</v>
      </c>
      <c r="L57" s="118">
        <f t="shared" si="34"/>
        <v>6.3160852683977033</v>
      </c>
      <c r="M57" s="118">
        <f t="shared" si="34"/>
        <v>6.9784206965431927</v>
      </c>
      <c r="N57" s="118">
        <f t="shared" si="34"/>
        <v>8.0489104313929172</v>
      </c>
      <c r="O57" s="118">
        <f>N8*12</f>
        <v>9.2836132915685923</v>
      </c>
      <c r="P57" s="118">
        <f>O8*12</f>
        <v>10.602310655999947</v>
      </c>
      <c r="Q57" s="118">
        <f>P8*12</f>
        <v>12.563738127360001</v>
      </c>
      <c r="R57" s="118">
        <f t="shared" ref="R57:Y57" si="35">Q8*12</f>
        <v>12.563738127360001</v>
      </c>
      <c r="S57" s="118">
        <f t="shared" si="35"/>
        <v>12.563738127360001</v>
      </c>
      <c r="T57" s="118">
        <f t="shared" si="35"/>
        <v>12.563738127360001</v>
      </c>
      <c r="U57" s="118">
        <f>T8*12</f>
        <v>12.563738127360001</v>
      </c>
      <c r="V57" s="118">
        <f t="shared" si="35"/>
        <v>12.563738127360001</v>
      </c>
      <c r="W57" s="118">
        <f t="shared" si="35"/>
        <v>12.563738127360001</v>
      </c>
      <c r="X57" s="118">
        <f t="shared" si="35"/>
        <v>12.563738127360001</v>
      </c>
      <c r="Y57" s="118">
        <f t="shared" si="35"/>
        <v>12.563738127360001</v>
      </c>
      <c r="Z57" s="118">
        <f>Y8*12</f>
        <v>12.563738127360001</v>
      </c>
      <c r="AA57" s="47" t="s">
        <v>104</v>
      </c>
    </row>
    <row r="58" spans="1:27" ht="15" x14ac:dyDescent="0.2">
      <c r="C58" s="65" t="s">
        <v>55</v>
      </c>
      <c r="D58" s="70"/>
      <c r="E58" s="41"/>
      <c r="F58" s="118"/>
      <c r="G58" s="118"/>
      <c r="H58" s="118"/>
      <c r="I58" s="118"/>
      <c r="J58" s="118"/>
      <c r="K58" s="499"/>
      <c r="L58" s="118"/>
      <c r="M58" s="118"/>
      <c r="N58" s="118"/>
      <c r="O58" s="118"/>
      <c r="P58" s="118"/>
      <c r="Q58" s="168">
        <f t="shared" ref="Q58:Z59" si="36">P9*12</f>
        <v>11.087999999999999</v>
      </c>
      <c r="R58" s="168">
        <f t="shared" si="36"/>
        <v>11.087999999999999</v>
      </c>
      <c r="S58" s="168">
        <f t="shared" si="36"/>
        <v>11.087999999999999</v>
      </c>
      <c r="T58" s="168">
        <f t="shared" si="36"/>
        <v>11.087999999999999</v>
      </c>
      <c r="U58" s="168">
        <f t="shared" si="36"/>
        <v>11.087999999999999</v>
      </c>
      <c r="V58" s="168">
        <f t="shared" si="36"/>
        <v>11.087999999999999</v>
      </c>
      <c r="W58" s="168">
        <f t="shared" si="36"/>
        <v>11.087999999999999</v>
      </c>
      <c r="X58" s="168">
        <f t="shared" si="36"/>
        <v>11.087999999999999</v>
      </c>
      <c r="Y58" s="168">
        <f t="shared" si="36"/>
        <v>11.087999999999999</v>
      </c>
      <c r="Z58" s="168">
        <f t="shared" si="36"/>
        <v>11.087999999999999</v>
      </c>
      <c r="AA58" s="47"/>
    </row>
    <row r="59" spans="1:27" ht="15" x14ac:dyDescent="0.2">
      <c r="C59" s="65" t="s">
        <v>16</v>
      </c>
      <c r="D59" s="70"/>
      <c r="E59" s="41"/>
      <c r="F59" s="118"/>
      <c r="G59" s="118"/>
      <c r="H59" s="118"/>
      <c r="I59" s="118"/>
      <c r="J59" s="118"/>
      <c r="K59" s="499"/>
      <c r="L59" s="118"/>
      <c r="M59" s="118"/>
      <c r="N59" s="118"/>
      <c r="O59" s="118"/>
      <c r="P59" s="118"/>
      <c r="Q59" s="231">
        <f>P10*12</f>
        <v>11.879999999999999</v>
      </c>
      <c r="R59" s="231">
        <f t="shared" si="36"/>
        <v>11.879999999999999</v>
      </c>
      <c r="S59" s="231">
        <f t="shared" si="36"/>
        <v>11.879999999999999</v>
      </c>
      <c r="T59" s="231">
        <f>S10*12</f>
        <v>11.879999999999999</v>
      </c>
      <c r="U59" s="231">
        <f>T10*12</f>
        <v>11.879999999999999</v>
      </c>
      <c r="V59" s="231">
        <f>U10*12</f>
        <v>11.879999999999999</v>
      </c>
      <c r="W59" s="231">
        <f t="shared" si="36"/>
        <v>11.879999999999999</v>
      </c>
      <c r="X59" s="231">
        <f t="shared" si="36"/>
        <v>11.879999999999999</v>
      </c>
      <c r="Y59" s="231">
        <f t="shared" si="36"/>
        <v>11.879999999999999</v>
      </c>
      <c r="Z59" s="231">
        <f t="shared" si="36"/>
        <v>11.879999999999999</v>
      </c>
      <c r="AA59" s="47"/>
    </row>
    <row r="60" spans="1:27" ht="15" x14ac:dyDescent="0.2">
      <c r="C60" s="65" t="s">
        <v>56</v>
      </c>
      <c r="D60" s="70"/>
      <c r="E60" s="41"/>
      <c r="F60" s="118"/>
      <c r="G60" s="118"/>
      <c r="H60" s="118"/>
      <c r="I60" s="118"/>
      <c r="J60" s="118"/>
      <c r="K60" s="499"/>
      <c r="L60" s="118"/>
      <c r="M60" s="118"/>
      <c r="N60" s="118"/>
      <c r="O60" s="118"/>
      <c r="P60" s="118"/>
      <c r="Q60" s="170">
        <f t="shared" ref="Q60:Z60" si="37">P11*12</f>
        <v>12.672000000000001</v>
      </c>
      <c r="R60" s="170">
        <f t="shared" si="37"/>
        <v>12.672000000000001</v>
      </c>
      <c r="S60" s="170">
        <f t="shared" si="37"/>
        <v>12.672000000000001</v>
      </c>
      <c r="T60" s="170">
        <f t="shared" si="37"/>
        <v>12.672000000000001</v>
      </c>
      <c r="U60" s="170">
        <f t="shared" si="37"/>
        <v>12.672000000000001</v>
      </c>
      <c r="V60" s="170">
        <f t="shared" si="37"/>
        <v>12.672000000000001</v>
      </c>
      <c r="W60" s="170">
        <f t="shared" si="37"/>
        <v>12.672000000000001</v>
      </c>
      <c r="X60" s="170">
        <f t="shared" si="37"/>
        <v>12.672000000000001</v>
      </c>
      <c r="Y60" s="170">
        <f t="shared" si="37"/>
        <v>12.672000000000001</v>
      </c>
      <c r="Z60" s="170">
        <f t="shared" si="37"/>
        <v>12.672000000000001</v>
      </c>
      <c r="AA60" s="47"/>
    </row>
    <row r="61" spans="1:27" x14ac:dyDescent="0.15">
      <c r="C61" s="65"/>
      <c r="D61" s="70"/>
      <c r="E61" s="41"/>
      <c r="F61" s="118"/>
      <c r="G61" s="118"/>
      <c r="H61" s="118"/>
      <c r="I61" s="118"/>
      <c r="J61" s="118"/>
      <c r="K61" s="499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47"/>
    </row>
    <row r="62" spans="1:27" x14ac:dyDescent="0.15">
      <c r="C62" s="47" t="s">
        <v>226</v>
      </c>
      <c r="D62" s="70" t="s">
        <v>40</v>
      </c>
      <c r="E62" s="41"/>
      <c r="F62" s="118">
        <f>E13*12</f>
        <v>1.92</v>
      </c>
      <c r="G62" s="118">
        <f>F13*12</f>
        <v>3.8879999999999999</v>
      </c>
      <c r="H62" s="118">
        <f t="shared" ref="H62:Z62" si="38">G13*12</f>
        <v>6.9120000000000008</v>
      </c>
      <c r="I62" s="118">
        <f t="shared" si="38"/>
        <v>11.712</v>
      </c>
      <c r="J62" s="118">
        <f t="shared" si="38"/>
        <v>15.791999999999998</v>
      </c>
      <c r="K62" s="499">
        <f>J13*12</f>
        <v>19.740000000000002</v>
      </c>
      <c r="L62" s="118">
        <f t="shared" si="38"/>
        <v>24.864000000000001</v>
      </c>
      <c r="M62" s="118">
        <f>L13*12</f>
        <v>26.879999999999995</v>
      </c>
      <c r="N62" s="118">
        <f t="shared" si="38"/>
        <v>33.976320000000001</v>
      </c>
      <c r="O62" s="118">
        <f>N13*12</f>
        <v>35.229196799999997</v>
      </c>
      <c r="P62" s="118">
        <f t="shared" si="38"/>
        <v>37.108087296000008</v>
      </c>
      <c r="Q62" s="118">
        <f>P13*12</f>
        <v>41.879127091200004</v>
      </c>
      <c r="R62" s="118">
        <f t="shared" si="38"/>
        <v>41.879127091200004</v>
      </c>
      <c r="S62" s="118">
        <f t="shared" si="38"/>
        <v>41.879127091200004</v>
      </c>
      <c r="T62" s="118">
        <f t="shared" si="38"/>
        <v>41.879127091200004</v>
      </c>
      <c r="U62" s="118">
        <f t="shared" si="38"/>
        <v>41.879127091200004</v>
      </c>
      <c r="V62" s="118">
        <f t="shared" si="38"/>
        <v>41.879127091200004</v>
      </c>
      <c r="W62" s="118">
        <f t="shared" si="38"/>
        <v>41.879127091200004</v>
      </c>
      <c r="X62" s="118">
        <f t="shared" si="38"/>
        <v>41.879127091200004</v>
      </c>
      <c r="Y62" s="118">
        <f t="shared" si="38"/>
        <v>41.879127091200004</v>
      </c>
      <c r="Z62" s="118">
        <f t="shared" si="38"/>
        <v>41.879127091200004</v>
      </c>
      <c r="AA62" s="47" t="s">
        <v>103</v>
      </c>
    </row>
    <row r="63" spans="1:27" ht="15" x14ac:dyDescent="0.2">
      <c r="C63" s="65" t="s">
        <v>55</v>
      </c>
      <c r="D63" s="70"/>
      <c r="E63" s="41"/>
      <c r="F63" s="118"/>
      <c r="G63" s="118"/>
      <c r="H63" s="118"/>
      <c r="I63" s="118"/>
      <c r="J63" s="118"/>
      <c r="K63" s="499"/>
      <c r="L63" s="118"/>
      <c r="M63" s="118"/>
      <c r="N63" s="118"/>
      <c r="O63" s="118"/>
      <c r="P63" s="118"/>
      <c r="Q63" s="168">
        <f t="shared" ref="Q63:Z65" si="39">P14*12</f>
        <v>36.96</v>
      </c>
      <c r="R63" s="168">
        <f t="shared" si="39"/>
        <v>36.96</v>
      </c>
      <c r="S63" s="168">
        <f t="shared" si="39"/>
        <v>36.96</v>
      </c>
      <c r="T63" s="168">
        <f t="shared" si="39"/>
        <v>36.96</v>
      </c>
      <c r="U63" s="168">
        <f t="shared" si="39"/>
        <v>36.96</v>
      </c>
      <c r="V63" s="168">
        <f t="shared" si="39"/>
        <v>36.96</v>
      </c>
      <c r="W63" s="168">
        <f t="shared" si="39"/>
        <v>36.96</v>
      </c>
      <c r="X63" s="168">
        <f t="shared" si="39"/>
        <v>36.96</v>
      </c>
      <c r="Y63" s="168">
        <f t="shared" si="39"/>
        <v>36.96</v>
      </c>
      <c r="Z63" s="168">
        <f t="shared" si="39"/>
        <v>36.96</v>
      </c>
      <c r="AA63" s="47"/>
    </row>
    <row r="64" spans="1:27" ht="15" x14ac:dyDescent="0.2">
      <c r="C64" s="65" t="s">
        <v>16</v>
      </c>
      <c r="D64" s="70"/>
      <c r="E64" s="41"/>
      <c r="F64" s="118"/>
      <c r="G64" s="118"/>
      <c r="H64" s="118"/>
      <c r="I64" s="118"/>
      <c r="J64" s="118"/>
      <c r="K64" s="499"/>
      <c r="L64" s="118"/>
      <c r="M64" s="118"/>
      <c r="N64" s="118"/>
      <c r="O64" s="118"/>
      <c r="P64" s="118"/>
      <c r="Q64" s="169">
        <f t="shared" si="39"/>
        <v>39.6</v>
      </c>
      <c r="R64" s="169">
        <f t="shared" si="39"/>
        <v>39.6</v>
      </c>
      <c r="S64" s="169">
        <f t="shared" si="39"/>
        <v>39.6</v>
      </c>
      <c r="T64" s="169">
        <f t="shared" si="39"/>
        <v>39.6</v>
      </c>
      <c r="U64" s="169">
        <f>T15*12</f>
        <v>39.6</v>
      </c>
      <c r="V64" s="169">
        <f t="shared" si="39"/>
        <v>39.6</v>
      </c>
      <c r="W64" s="169">
        <f t="shared" si="39"/>
        <v>39.6</v>
      </c>
      <c r="X64" s="169">
        <f t="shared" si="39"/>
        <v>39.6</v>
      </c>
      <c r="Y64" s="169">
        <f t="shared" si="39"/>
        <v>39.6</v>
      </c>
      <c r="Z64" s="169">
        <f t="shared" si="39"/>
        <v>39.6</v>
      </c>
      <c r="AA64" s="47"/>
    </row>
    <row r="65" spans="1:31" ht="15" x14ac:dyDescent="0.2">
      <c r="C65" s="65" t="s">
        <v>56</v>
      </c>
      <c r="D65" s="70"/>
      <c r="E65" s="41"/>
      <c r="F65" s="118"/>
      <c r="G65" s="118"/>
      <c r="H65" s="118"/>
      <c r="I65" s="118"/>
      <c r="J65" s="118"/>
      <c r="K65" s="499"/>
      <c r="L65" s="118"/>
      <c r="M65" s="118"/>
      <c r="N65" s="118"/>
      <c r="O65" s="118"/>
      <c r="P65" s="118"/>
      <c r="Q65" s="170">
        <f t="shared" si="39"/>
        <v>42.240000000000009</v>
      </c>
      <c r="R65" s="170">
        <f t="shared" si="39"/>
        <v>42.240000000000009</v>
      </c>
      <c r="S65" s="170">
        <f t="shared" si="39"/>
        <v>42.240000000000009</v>
      </c>
      <c r="T65" s="170">
        <f t="shared" si="39"/>
        <v>42.240000000000009</v>
      </c>
      <c r="U65" s="170">
        <f t="shared" si="39"/>
        <v>42.240000000000009</v>
      </c>
      <c r="V65" s="170">
        <f t="shared" si="39"/>
        <v>42.240000000000009</v>
      </c>
      <c r="W65" s="170">
        <f t="shared" si="39"/>
        <v>42.240000000000009</v>
      </c>
      <c r="X65" s="170">
        <f t="shared" si="39"/>
        <v>42.240000000000009</v>
      </c>
      <c r="Y65" s="170">
        <f t="shared" si="39"/>
        <v>42.240000000000009</v>
      </c>
      <c r="Z65" s="170">
        <f>Y16*12</f>
        <v>42.240000000000009</v>
      </c>
      <c r="AA65" s="47"/>
    </row>
    <row r="66" spans="1:31" x14ac:dyDescent="0.15">
      <c r="C66" s="65"/>
      <c r="D66" s="70"/>
      <c r="E66" s="41"/>
      <c r="F66" s="118"/>
      <c r="G66" s="118"/>
      <c r="H66" s="118"/>
      <c r="I66" s="118"/>
      <c r="J66" s="118"/>
      <c r="K66" s="499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47"/>
    </row>
    <row r="67" spans="1:31" x14ac:dyDescent="0.15">
      <c r="A67" s="30" t="s">
        <v>41</v>
      </c>
      <c r="C67" s="47" t="s">
        <v>227</v>
      </c>
      <c r="D67" s="70" t="s">
        <v>40</v>
      </c>
      <c r="E67" s="41"/>
      <c r="F67" s="118">
        <f>E18*12</f>
        <v>0.1152</v>
      </c>
      <c r="G67" s="118">
        <f t="shared" ref="G67:O67" si="40">F18*12</f>
        <v>0.38879999999999998</v>
      </c>
      <c r="H67" s="118">
        <f t="shared" si="40"/>
        <v>1.1880000000000002</v>
      </c>
      <c r="I67" s="118">
        <f t="shared" si="40"/>
        <v>4.032</v>
      </c>
      <c r="J67" s="118">
        <f t="shared" si="40"/>
        <v>13.439999999999998</v>
      </c>
      <c r="K67" s="499">
        <f>J18*12</f>
        <v>31.020000000000003</v>
      </c>
      <c r="L67" s="118">
        <f t="shared" si="40"/>
        <v>57.720000000000006</v>
      </c>
      <c r="M67" s="118">
        <f t="shared" si="40"/>
        <v>100.79999999999998</v>
      </c>
      <c r="N67" s="118">
        <f t="shared" si="40"/>
        <v>169.88159999999999</v>
      </c>
      <c r="O67" s="118">
        <f t="shared" si="40"/>
        <v>290.22147840000002</v>
      </c>
      <c r="P67" s="118">
        <f>O18*12</f>
        <v>477.10397952000005</v>
      </c>
      <c r="Q67" s="118">
        <f t="shared" ref="Q67:Z69" si="41">P18*12</f>
        <v>762.20011305984008</v>
      </c>
      <c r="R67" s="118">
        <f t="shared" si="41"/>
        <v>1058.7043328655361</v>
      </c>
      <c r="S67" s="118">
        <f t="shared" si="41"/>
        <v>1568.2057930570754</v>
      </c>
      <c r="T67" s="118">
        <f t="shared" si="41"/>
        <v>2147.3964659594885</v>
      </c>
      <c r="U67" s="118">
        <f>T18*12</f>
        <v>2870.9038906443016</v>
      </c>
      <c r="V67" s="118">
        <f t="shared" si="41"/>
        <v>2870.9038906443016</v>
      </c>
      <c r="W67" s="118">
        <f t="shared" si="41"/>
        <v>2870.9038906443016</v>
      </c>
      <c r="X67" s="118">
        <f t="shared" si="41"/>
        <v>2870.9038906443016</v>
      </c>
      <c r="Y67" s="118">
        <f t="shared" si="41"/>
        <v>2870.9038906443016</v>
      </c>
      <c r="Z67" s="118">
        <f t="shared" si="41"/>
        <v>2870.9038906443016</v>
      </c>
      <c r="AA67" s="47" t="s">
        <v>57</v>
      </c>
    </row>
    <row r="68" spans="1:31" ht="15" x14ac:dyDescent="0.2">
      <c r="C68" s="65" t="s">
        <v>55</v>
      </c>
      <c r="D68" s="70"/>
      <c r="E68" s="41"/>
      <c r="F68" s="118"/>
      <c r="G68" s="118"/>
      <c r="H68" s="118"/>
      <c r="I68" s="118"/>
      <c r="J68" s="118"/>
      <c r="K68" s="499"/>
      <c r="L68" s="118"/>
      <c r="M68" s="118"/>
      <c r="N68" s="118"/>
      <c r="O68" s="118"/>
      <c r="P68" s="118"/>
      <c r="Q68" s="168">
        <f>P19*12</f>
        <v>672.67200000000003</v>
      </c>
      <c r="R68" s="168">
        <f t="shared" si="41"/>
        <v>827.90399999999988</v>
      </c>
      <c r="S68" s="168">
        <f t="shared" si="41"/>
        <v>1086.6239999999996</v>
      </c>
      <c r="T68" s="168">
        <f t="shared" si="41"/>
        <v>1318.4371199999996</v>
      </c>
      <c r="U68" s="168">
        <f t="shared" si="41"/>
        <v>1561.8408959999995</v>
      </c>
      <c r="V68" s="168">
        <f t="shared" si="41"/>
        <v>1561.8408959999995</v>
      </c>
      <c r="W68" s="168">
        <f t="shared" si="41"/>
        <v>1561.8408959999995</v>
      </c>
      <c r="X68" s="168">
        <f t="shared" si="41"/>
        <v>1561.8408959999995</v>
      </c>
      <c r="Y68" s="168">
        <f t="shared" si="41"/>
        <v>1561.8408959999995</v>
      </c>
      <c r="Z68" s="168">
        <f t="shared" si="41"/>
        <v>1561.8408959999995</v>
      </c>
      <c r="AA68" s="47"/>
    </row>
    <row r="69" spans="1:31" ht="15" x14ac:dyDescent="0.2">
      <c r="C69" s="65" t="s">
        <v>16</v>
      </c>
      <c r="D69" s="70"/>
      <c r="E69" s="41"/>
      <c r="F69" s="118"/>
      <c r="G69" s="118"/>
      <c r="H69" s="118"/>
      <c r="I69" s="118"/>
      <c r="J69" s="118"/>
      <c r="K69" s="499"/>
      <c r="L69" s="118"/>
      <c r="M69" s="118"/>
      <c r="N69" s="118"/>
      <c r="O69" s="118"/>
      <c r="P69" s="118"/>
      <c r="Q69" s="169">
        <f>P20*12</f>
        <v>720.72</v>
      </c>
      <c r="R69" s="169">
        <f t="shared" si="41"/>
        <v>950.40000000000009</v>
      </c>
      <c r="S69" s="169">
        <f t="shared" si="41"/>
        <v>1336.5</v>
      </c>
      <c r="T69" s="169">
        <f t="shared" si="41"/>
        <v>1737.4499999999998</v>
      </c>
      <c r="U69" s="169">
        <f>T20*12</f>
        <v>2205.2250000000004</v>
      </c>
      <c r="V69" s="169">
        <f>U20*12</f>
        <v>2205.2250000000004</v>
      </c>
      <c r="W69" s="169">
        <f t="shared" si="41"/>
        <v>2205.2250000000004</v>
      </c>
      <c r="X69" s="169">
        <f t="shared" si="41"/>
        <v>2205.2250000000004</v>
      </c>
      <c r="Y69" s="169">
        <f t="shared" si="41"/>
        <v>2205.2250000000004</v>
      </c>
      <c r="Z69" s="169">
        <f t="shared" si="41"/>
        <v>2205.2250000000004</v>
      </c>
      <c r="AA69" s="47"/>
    </row>
    <row r="70" spans="1:31" ht="15" x14ac:dyDescent="0.2">
      <c r="C70" s="65" t="s">
        <v>56</v>
      </c>
      <c r="D70" s="70"/>
      <c r="E70" s="41"/>
      <c r="F70" s="118"/>
      <c r="G70" s="118"/>
      <c r="H70" s="118"/>
      <c r="I70" s="118"/>
      <c r="J70" s="118"/>
      <c r="K70" s="499"/>
      <c r="L70" s="118"/>
      <c r="M70" s="118"/>
      <c r="N70" s="118"/>
      <c r="O70" s="118"/>
      <c r="P70" s="118"/>
      <c r="Q70" s="170">
        <f t="shared" ref="Q70:Z70" si="42">P21*12</f>
        <v>768.76800000000003</v>
      </c>
      <c r="R70" s="170">
        <f t="shared" si="42"/>
        <v>1081.3440000000003</v>
      </c>
      <c r="S70" s="170">
        <f t="shared" si="42"/>
        <v>1622.0160000000005</v>
      </c>
      <c r="T70" s="170">
        <f t="shared" si="42"/>
        <v>2249.1955200000007</v>
      </c>
      <c r="U70" s="170">
        <f t="shared" si="42"/>
        <v>3045.0647040000013</v>
      </c>
      <c r="V70" s="170">
        <f t="shared" si="42"/>
        <v>3045.0647040000013</v>
      </c>
      <c r="W70" s="170">
        <f t="shared" si="42"/>
        <v>3045.0647040000013</v>
      </c>
      <c r="X70" s="170">
        <f t="shared" si="42"/>
        <v>3045.0647040000013</v>
      </c>
      <c r="Y70" s="170">
        <f t="shared" si="42"/>
        <v>3045.0647040000013</v>
      </c>
      <c r="Z70" s="170">
        <f t="shared" si="42"/>
        <v>3045.0647040000013</v>
      </c>
      <c r="AA70" s="47"/>
    </row>
    <row r="71" spans="1:31" x14ac:dyDescent="0.15">
      <c r="C71" s="65"/>
      <c r="D71" s="70"/>
      <c r="E71" s="41"/>
      <c r="F71" s="118"/>
      <c r="G71" s="118"/>
      <c r="H71" s="118"/>
      <c r="I71" s="118"/>
      <c r="J71" s="118"/>
      <c r="K71" s="499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47"/>
    </row>
    <row r="72" spans="1:31" x14ac:dyDescent="0.15">
      <c r="A72" s="41"/>
      <c r="C72" s="47" t="s">
        <v>228</v>
      </c>
      <c r="D72" s="70" t="s">
        <v>40</v>
      </c>
      <c r="E72" s="41"/>
      <c r="F72" s="79">
        <f t="shared" ref="F72:X75" si="43">E23*12</f>
        <v>1.0658141036401502E-16</v>
      </c>
      <c r="G72" s="79">
        <f t="shared" si="43"/>
        <v>-2.0087999999999589E-2</v>
      </c>
      <c r="H72" s="79">
        <f t="shared" si="43"/>
        <v>-5.000400000000055E-3</v>
      </c>
      <c r="I72" s="79">
        <f t="shared" si="43"/>
        <v>-5.4489407999999712E-2</v>
      </c>
      <c r="J72" s="79">
        <f t="shared" si="43"/>
        <v>-0.11665021872000025</v>
      </c>
      <c r="K72" s="46">
        <f>J23*12</f>
        <v>0.14470182127559933</v>
      </c>
      <c r="L72" s="46">
        <f>K23*12</f>
        <v>-0.1000852683977068</v>
      </c>
      <c r="M72" s="46">
        <f t="shared" ref="M72" si="44">L23*12</f>
        <v>-0.25842069654320166</v>
      </c>
      <c r="N72" s="46">
        <f t="shared" si="43"/>
        <v>0.44516956860705953</v>
      </c>
      <c r="O72" s="79">
        <f t="shared" si="43"/>
        <v>0.78187150843142772</v>
      </c>
      <c r="P72" s="79">
        <f t="shared" si="43"/>
        <v>5.3011553280000641</v>
      </c>
      <c r="Q72" s="79">
        <f t="shared" si="43"/>
        <v>20.939563545599928</v>
      </c>
      <c r="R72" s="79">
        <f t="shared" si="43"/>
        <v>210.23321799782397</v>
      </c>
      <c r="S72" s="79">
        <f t="shared" si="43"/>
        <v>468.29239913379843</v>
      </c>
      <c r="T72" s="79">
        <f t="shared" si="43"/>
        <v>1101.8475395288569</v>
      </c>
      <c r="U72" s="79">
        <f>T23*12</f>
        <v>2294.4784998540499</v>
      </c>
      <c r="V72" s="79">
        <f t="shared" si="43"/>
        <v>5321.977148169859</v>
      </c>
      <c r="W72" s="79">
        <f t="shared" si="43"/>
        <v>10105.425012508837</v>
      </c>
      <c r="X72" s="79">
        <f t="shared" si="43"/>
        <v>17663.272638164424</v>
      </c>
      <c r="Y72" s="79">
        <f>X23*12</f>
        <v>29604.671886700256</v>
      </c>
      <c r="Z72" s="79">
        <f>Y23*12</f>
        <v>48472.082699386861</v>
      </c>
      <c r="AA72" s="47" t="s">
        <v>58</v>
      </c>
    </row>
    <row r="73" spans="1:31" ht="15" x14ac:dyDescent="0.2">
      <c r="A73" s="41"/>
      <c r="C73" s="65" t="s">
        <v>55</v>
      </c>
      <c r="D73" s="41"/>
      <c r="E73" s="41"/>
      <c r="F73" s="79"/>
      <c r="G73" s="79"/>
      <c r="H73" s="79"/>
      <c r="I73" s="79"/>
      <c r="J73" s="79"/>
      <c r="K73" s="46"/>
      <c r="L73" s="79"/>
      <c r="M73" s="79"/>
      <c r="N73" s="79"/>
      <c r="O73" s="79"/>
      <c r="P73" s="79"/>
      <c r="Q73" s="168">
        <f t="shared" si="43"/>
        <v>18.479999999999933</v>
      </c>
      <c r="R73" s="168">
        <f t="shared" si="43"/>
        <v>164.40182278481004</v>
      </c>
      <c r="S73" s="168">
        <f t="shared" si="43"/>
        <v>324.48404550552777</v>
      </c>
      <c r="T73" s="168">
        <f t="shared" si="43"/>
        <v>676.50139120742949</v>
      </c>
      <c r="U73" s="168">
        <f t="shared" si="43"/>
        <v>1248.2515934243042</v>
      </c>
      <c r="V73" s="168">
        <f t="shared" si="43"/>
        <v>2565.4413515405222</v>
      </c>
      <c r="W73" s="168">
        <f t="shared" si="43"/>
        <v>4316.3297712991953</v>
      </c>
      <c r="X73" s="168">
        <f t="shared" si="43"/>
        <v>6685.0114461476387</v>
      </c>
      <c r="Y73" s="168">
        <f t="shared" ref="Y73:Y75" si="45">X24*12</f>
        <v>9928.0094884423106</v>
      </c>
      <c r="Z73" s="168">
        <f>Y24*12</f>
        <v>14403.384707471043</v>
      </c>
      <c r="AA73" s="47"/>
    </row>
    <row r="74" spans="1:31" ht="15" x14ac:dyDescent="0.2">
      <c r="A74" s="41"/>
      <c r="C74" s="65" t="s">
        <v>16</v>
      </c>
      <c r="D74" s="41"/>
      <c r="E74" s="41"/>
      <c r="F74" s="79"/>
      <c r="G74" s="79"/>
      <c r="H74" s="79"/>
      <c r="I74" s="79"/>
      <c r="J74" s="79"/>
      <c r="K74" s="46"/>
      <c r="L74" s="79"/>
      <c r="M74" s="79"/>
      <c r="N74" s="79"/>
      <c r="O74" s="79"/>
      <c r="P74" s="79"/>
      <c r="Q74" s="169">
        <f t="shared" si="43"/>
        <v>19.79999999999993</v>
      </c>
      <c r="R74" s="169">
        <f t="shared" si="43"/>
        <v>188.72658227848098</v>
      </c>
      <c r="S74" s="169">
        <f t="shared" si="43"/>
        <v>399.10118570741861</v>
      </c>
      <c r="T74" s="169">
        <f t="shared" si="43"/>
        <v>891.50049276020752</v>
      </c>
      <c r="U74" s="169">
        <f t="shared" si="43"/>
        <v>1762.4558475571591</v>
      </c>
      <c r="V74" s="169">
        <f t="shared" si="43"/>
        <v>3880.98023502262</v>
      </c>
      <c r="W74" s="169">
        <f t="shared" si="43"/>
        <v>6996.1188940088159</v>
      </c>
      <c r="X74" s="169">
        <f t="shared" si="43"/>
        <v>11609.351006970395</v>
      </c>
      <c r="Y74" s="169">
        <f t="shared" si="45"/>
        <v>18472.734737630126</v>
      </c>
      <c r="Z74" s="169">
        <f>Y25*12</f>
        <v>28714.204853762774</v>
      </c>
      <c r="AA74" s="47"/>
    </row>
    <row r="75" spans="1:31" ht="15" x14ac:dyDescent="0.2">
      <c r="A75" s="41"/>
      <c r="C75" s="65" t="s">
        <v>56</v>
      </c>
      <c r="D75" s="41"/>
      <c r="E75" s="41"/>
      <c r="F75" s="79"/>
      <c r="G75" s="79"/>
      <c r="H75" s="79"/>
      <c r="I75" s="79"/>
      <c r="J75" s="79"/>
      <c r="K75" s="46"/>
      <c r="L75" s="79"/>
      <c r="M75" s="79"/>
      <c r="N75" s="79"/>
      <c r="O75" s="79"/>
      <c r="P75" s="79"/>
      <c r="Q75" s="170">
        <f>P26*12</f>
        <v>21.119999999999926</v>
      </c>
      <c r="R75" s="170">
        <f t="shared" si="43"/>
        <v>214.72891139240502</v>
      </c>
      <c r="S75" s="170">
        <f t="shared" si="43"/>
        <v>484.36102419484064</v>
      </c>
      <c r="T75" s="170">
        <f t="shared" si="43"/>
        <v>1154.0815070327501</v>
      </c>
      <c r="U75" s="170">
        <f t="shared" si="43"/>
        <v>2433.6709831217731</v>
      </c>
      <c r="V75" s="170">
        <f t="shared" si="43"/>
        <v>5716.2836714144551</v>
      </c>
      <c r="W75" s="170">
        <f t="shared" si="43"/>
        <v>10991.53245494122</v>
      </c>
      <c r="X75" s="170">
        <f t="shared" si="43"/>
        <v>19455.290996947064</v>
      </c>
      <c r="Y75" s="170">
        <f t="shared" si="45"/>
        <v>33020.960854903766</v>
      </c>
      <c r="Z75" s="170">
        <f>Y26*12</f>
        <v>54749.988263834348</v>
      </c>
      <c r="AA75" s="47"/>
    </row>
    <row r="76" spans="1:31" x14ac:dyDescent="0.15">
      <c r="A76" s="41"/>
      <c r="C76" s="47"/>
      <c r="D76" s="41"/>
      <c r="E76" s="41"/>
      <c r="F76" s="41"/>
      <c r="G76" s="41"/>
      <c r="H76" s="41"/>
      <c r="I76" s="41"/>
      <c r="J76" s="41"/>
      <c r="K76" s="46"/>
      <c r="L76" s="41"/>
      <c r="M76" s="4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30" t="s">
        <v>149</v>
      </c>
      <c r="AB76" s="81">
        <f>Z77/2^10</f>
        <v>15.656271326919102</v>
      </c>
      <c r="AC76" s="30" t="s">
        <v>125</v>
      </c>
    </row>
    <row r="77" spans="1:31" ht="15" x14ac:dyDescent="0.2">
      <c r="A77" s="41"/>
      <c r="D77" s="41"/>
      <c r="E77" s="41"/>
      <c r="F77" s="79">
        <f>SUM(F55:F72)</f>
        <v>22.588235294117645</v>
      </c>
      <c r="G77" s="79">
        <f t="shared" ref="G77:P77" si="46">SUM(G55:G72)</f>
        <v>25.228235294117642</v>
      </c>
      <c r="H77" s="79">
        <f t="shared" si="46"/>
        <v>29.548235294117642</v>
      </c>
      <c r="I77" s="79">
        <f t="shared" si="46"/>
        <v>37.94823529411763</v>
      </c>
      <c r="J77" s="79">
        <f t="shared" si="46"/>
        <v>52.348235294117643</v>
      </c>
      <c r="K77" s="46">
        <f t="shared" si="46"/>
        <v>75.14823529411764</v>
      </c>
      <c r="L77" s="79">
        <f t="shared" si="46"/>
        <v>107.54823529411765</v>
      </c>
      <c r="M77" s="79">
        <f t="shared" si="46"/>
        <v>153.1482352941176</v>
      </c>
      <c r="N77" s="79">
        <f t="shared" si="46"/>
        <v>231.10023529411762</v>
      </c>
      <c r="O77" s="79">
        <f t="shared" si="46"/>
        <v>354.26439529411766</v>
      </c>
      <c r="P77" s="79">
        <f t="shared" si="46"/>
        <v>548.86376809411775</v>
      </c>
      <c r="Q77" s="61">
        <f>Q55+Q58+Q63+Q68+Q73</f>
        <v>757.94823529411758</v>
      </c>
      <c r="R77" s="61">
        <f t="shared" ref="R77:Y77" si="47">R55+R58+R63+R68+R73</f>
        <v>1059.1020580789275</v>
      </c>
      <c r="S77" s="61">
        <f t="shared" si="47"/>
        <v>1477.904280799645</v>
      </c>
      <c r="T77" s="61">
        <f t="shared" si="47"/>
        <v>2061.7347465015469</v>
      </c>
      <c r="U77" s="61">
        <f>U55+U58+U63+U68+U73</f>
        <v>2876.8887247184211</v>
      </c>
      <c r="V77" s="61">
        <f t="shared" si="47"/>
        <v>4194.0784828346395</v>
      </c>
      <c r="W77" s="61">
        <f t="shared" si="47"/>
        <v>5944.9669025933126</v>
      </c>
      <c r="X77" s="61">
        <f t="shared" si="47"/>
        <v>8313.6485774417561</v>
      </c>
      <c r="Y77" s="61">
        <f t="shared" si="47"/>
        <v>11556.646619736428</v>
      </c>
      <c r="Z77" s="61">
        <f>Z55+Z58+Z63+Z68+Z73</f>
        <v>16032.02183876516</v>
      </c>
      <c r="AA77" s="208" t="s">
        <v>132</v>
      </c>
      <c r="AB77" s="168">
        <f>Z55+Z58+Z63+Z68+Z73</f>
        <v>16032.02183876516</v>
      </c>
      <c r="AC77" s="209" t="s">
        <v>55</v>
      </c>
      <c r="AD77" s="124">
        <f>AB77/2^10</f>
        <v>15.656271326919102</v>
      </c>
      <c r="AE77" s="123" t="s">
        <v>125</v>
      </c>
    </row>
    <row r="78" spans="1:31" ht="15" x14ac:dyDescent="0.2">
      <c r="A78" s="41"/>
      <c r="Q78" s="61">
        <f>Q55+Q59+Q64+Q69+Q74</f>
        <v>810.74823529411765</v>
      </c>
      <c r="R78" s="61">
        <f t="shared" ref="R78:Y78" si="48">R55+R59+R64+R69+R74</f>
        <v>1209.3548175725987</v>
      </c>
      <c r="S78" s="61">
        <f t="shared" si="48"/>
        <v>1805.8294210015363</v>
      </c>
      <c r="T78" s="61">
        <f t="shared" si="48"/>
        <v>2699.1787280543249</v>
      </c>
      <c r="U78" s="61">
        <f t="shared" si="48"/>
        <v>4037.9090828512772</v>
      </c>
      <c r="V78" s="61">
        <f t="shared" si="48"/>
        <v>6156.4334703167378</v>
      </c>
      <c r="W78" s="61">
        <f t="shared" si="48"/>
        <v>9271.5721293029346</v>
      </c>
      <c r="X78" s="61">
        <f t="shared" si="48"/>
        <v>13884.804242264512</v>
      </c>
      <c r="Y78" s="61">
        <f t="shared" si="48"/>
        <v>20748.187972924243</v>
      </c>
      <c r="Z78" s="61">
        <f>Z55+Z59+Z64+Z69+Z74</f>
        <v>30989.658089056891</v>
      </c>
      <c r="AA78" s="206" t="s">
        <v>132</v>
      </c>
      <c r="AB78" s="169">
        <f>Z55+Z59+Z64+Z69+Z74</f>
        <v>30989.658089056891</v>
      </c>
      <c r="AC78" s="207" t="s">
        <v>16</v>
      </c>
      <c r="AD78" s="128">
        <f>AB78/2^10</f>
        <v>30.26333797759462</v>
      </c>
      <c r="AE78" s="127" t="s">
        <v>125</v>
      </c>
    </row>
    <row r="79" spans="1:31" ht="15" x14ac:dyDescent="0.2">
      <c r="A79" s="41"/>
      <c r="Q79" s="61">
        <f>Q55+Q65+Q70+Q75</f>
        <v>850.87623529411758</v>
      </c>
      <c r="R79" s="61">
        <f t="shared" ref="R79:Z79" si="49">R55+R65+R70+R75</f>
        <v>1357.061146686523</v>
      </c>
      <c r="S79" s="61">
        <f t="shared" si="49"/>
        <v>2167.3652594889591</v>
      </c>
      <c r="T79" s="61">
        <f t="shared" si="49"/>
        <v>3464.2652623268687</v>
      </c>
      <c r="U79" s="61">
        <f t="shared" si="49"/>
        <v>5539.723922415892</v>
      </c>
      <c r="V79" s="61">
        <f t="shared" si="49"/>
        <v>8822.3366107085749</v>
      </c>
      <c r="W79" s="61">
        <f t="shared" si="49"/>
        <v>14097.585394235339</v>
      </c>
      <c r="X79" s="61">
        <f t="shared" si="49"/>
        <v>22561.343936241181</v>
      </c>
      <c r="Y79" s="61">
        <f t="shared" si="49"/>
        <v>36127.013794197883</v>
      </c>
      <c r="Z79" s="61">
        <f t="shared" si="49"/>
        <v>57856.041203128465</v>
      </c>
      <c r="AA79" s="210" t="s">
        <v>132</v>
      </c>
      <c r="AB79" s="170">
        <f>Z55+Z59+Z65+Z70+Z75</f>
        <v>57867.92120312847</v>
      </c>
      <c r="AC79" s="211" t="s">
        <v>56</v>
      </c>
      <c r="AD79" s="125">
        <f>AB79/2^10</f>
        <v>56.511641799930146</v>
      </c>
      <c r="AE79" s="126" t="s">
        <v>125</v>
      </c>
    </row>
    <row r="80" spans="1:31" x14ac:dyDescent="0.15">
      <c r="A80" s="41"/>
      <c r="F80" s="62">
        <v>2010</v>
      </c>
      <c r="G80" s="62">
        <v>2011</v>
      </c>
      <c r="H80" s="62">
        <v>2012</v>
      </c>
      <c r="I80" s="62">
        <v>2013</v>
      </c>
      <c r="J80" s="62">
        <v>2014</v>
      </c>
      <c r="K80" s="62">
        <v>2015</v>
      </c>
      <c r="L80" s="62">
        <v>2016</v>
      </c>
      <c r="M80" s="62">
        <v>2017</v>
      </c>
      <c r="N80" s="62">
        <v>2018</v>
      </c>
      <c r="O80" s="62">
        <v>2019</v>
      </c>
      <c r="P80" s="62">
        <v>2020</v>
      </c>
      <c r="Q80" s="528">
        <v>2021</v>
      </c>
      <c r="R80" s="528">
        <v>2022</v>
      </c>
      <c r="S80" s="528">
        <v>2023</v>
      </c>
      <c r="T80" s="528">
        <v>2024</v>
      </c>
      <c r="U80" s="528">
        <v>2025</v>
      </c>
      <c r="V80" s="528">
        <v>2026</v>
      </c>
      <c r="W80" s="528">
        <v>2027</v>
      </c>
      <c r="X80" s="528">
        <v>2028</v>
      </c>
      <c r="Y80" s="528">
        <v>2029</v>
      </c>
      <c r="Z80" s="528">
        <v>2030</v>
      </c>
    </row>
    <row r="81" spans="1:32" ht="15" x14ac:dyDescent="0.2">
      <c r="A81" s="41"/>
      <c r="C81" s="47" t="s">
        <v>275</v>
      </c>
      <c r="D81" s="41"/>
      <c r="E81" s="41" t="s">
        <v>43</v>
      </c>
      <c r="F81" s="230">
        <f t="shared" ref="F81:Y81" si="50">G104/F77</f>
        <v>5.9630500000000008</v>
      </c>
      <c r="G81" s="230">
        <f t="shared" si="50"/>
        <v>4.9905306808897594</v>
      </c>
      <c r="H81" s="230">
        <f>I104/H77</f>
        <v>3.9257997291806013</v>
      </c>
      <c r="I81" s="230">
        <f t="shared" si="50"/>
        <v>2.5210573544989585</v>
      </c>
      <c r="J81" s="230">
        <f t="shared" si="50"/>
        <v>1.5045879395179995</v>
      </c>
      <c r="K81" s="230">
        <f>L104/K77</f>
        <v>0.85790838890442611</v>
      </c>
      <c r="L81" s="230">
        <f t="shared" si="50"/>
        <v>0.48613404711913871</v>
      </c>
      <c r="M81" s="230">
        <f t="shared" si="50"/>
        <v>0.26956002578176425</v>
      </c>
      <c r="N81" s="230">
        <f t="shared" si="50"/>
        <v>0.15131767366657151</v>
      </c>
      <c r="O81" s="230">
        <f t="shared" si="50"/>
        <v>8.3419223166088949E-2</v>
      </c>
      <c r="P81" s="256">
        <f t="shared" si="50"/>
        <v>4.6861111716934883E-2</v>
      </c>
      <c r="Q81" s="240">
        <f t="shared" si="50"/>
        <v>2.7770971560740283E-2</v>
      </c>
      <c r="R81" s="240">
        <f t="shared" si="50"/>
        <v>2.1032099183392695E-2</v>
      </c>
      <c r="S81" s="240">
        <f t="shared" si="50"/>
        <v>1.6687995223920647E-2</v>
      </c>
      <c r="T81" s="240">
        <f t="shared" si="50"/>
        <v>1.2932544240612283E-2</v>
      </c>
      <c r="U81" s="240">
        <f t="shared" si="50"/>
        <v>1.0006688138302121E-2</v>
      </c>
      <c r="V81" s="240">
        <f t="shared" si="50"/>
        <v>6.8640200482784743E-3</v>
      </c>
      <c r="W81" s="240">
        <f t="shared" si="50"/>
        <v>4.9061072629597328E-3</v>
      </c>
      <c r="X81" s="240">
        <f t="shared" si="50"/>
        <v>3.6138861342451009E-3</v>
      </c>
      <c r="Y81" s="240">
        <f t="shared" si="50"/>
        <v>2.7327163449947897E-3</v>
      </c>
      <c r="Z81" s="240">
        <f>AA104/Z77</f>
        <v>2.1198659590257432E-3</v>
      </c>
      <c r="AA81" s="123" t="s">
        <v>43</v>
      </c>
      <c r="AB81" s="34"/>
      <c r="AC81" s="209" t="s">
        <v>55</v>
      </c>
      <c r="AD81" s="34"/>
      <c r="AE81" s="34"/>
    </row>
    <row r="82" spans="1:32" ht="15" x14ac:dyDescent="0.2">
      <c r="A82" s="41"/>
      <c r="C82" s="47" t="s">
        <v>244</v>
      </c>
      <c r="D82" s="41"/>
      <c r="E82" s="41" t="s">
        <v>43</v>
      </c>
      <c r="F82" s="231">
        <f t="shared" ref="F82:P82" si="51">G128/F77</f>
        <v>9.01586</v>
      </c>
      <c r="G82" s="231">
        <f t="shared" si="51"/>
        <v>7.9377670252602126</v>
      </c>
      <c r="H82" s="231">
        <f t="shared" si="51"/>
        <v>6.6542847068198752</v>
      </c>
      <c r="I82" s="231">
        <f t="shared" si="51"/>
        <v>3.7203916532757404</v>
      </c>
      <c r="J82" s="231">
        <f t="shared" si="51"/>
        <v>2.4820616519401648</v>
      </c>
      <c r="K82" s="231">
        <f>L128/K77</f>
        <v>1.5768620723360434</v>
      </c>
      <c r="L82" s="231">
        <f t="shared" si="51"/>
        <v>0.98763716161133619</v>
      </c>
      <c r="M82" s="231">
        <f t="shared" si="51"/>
        <v>0.60543210042925533</v>
      </c>
      <c r="N82" s="231">
        <f t="shared" si="51"/>
        <v>0.37322940537477933</v>
      </c>
      <c r="O82" s="231">
        <f t="shared" si="51"/>
        <v>0.22657275833292523</v>
      </c>
      <c r="P82" s="231">
        <f t="shared" si="51"/>
        <v>0.13937672811861573</v>
      </c>
      <c r="Q82" s="241">
        <f t="shared" ref="Q82:Y82" si="52">R128/Q78</f>
        <v>9.4320684222969756E-2</v>
      </c>
      <c r="R82" s="241">
        <f t="shared" si="52"/>
        <v>6.9737227140995728E-2</v>
      </c>
      <c r="S82" s="241">
        <f t="shared" si="52"/>
        <v>5.4804292009618075E-2</v>
      </c>
      <c r="T82" s="241">
        <f t="shared" si="52"/>
        <v>4.2794631314484549E-2</v>
      </c>
      <c r="U82" s="241">
        <f t="shared" si="52"/>
        <v>3.3808071661504395E-2</v>
      </c>
      <c r="V82" s="241">
        <f t="shared" si="52"/>
        <v>2.2549926518746616E-2</v>
      </c>
      <c r="W82" s="241">
        <f t="shared" si="52"/>
        <v>1.5704267971127311E-2</v>
      </c>
      <c r="X82" s="241">
        <f t="shared" si="52"/>
        <v>1.1445104716735209E-2</v>
      </c>
      <c r="Y82" s="241">
        <f t="shared" si="52"/>
        <v>8.7657244436674161E-3</v>
      </c>
      <c r="Z82" s="241">
        <f>AA128/Z78</f>
        <v>7.0723086473424238E-3</v>
      </c>
      <c r="AA82" s="127" t="s">
        <v>43</v>
      </c>
      <c r="AB82" s="34"/>
      <c r="AC82" s="207" t="s">
        <v>16</v>
      </c>
      <c r="AD82" s="34"/>
      <c r="AE82" s="34"/>
    </row>
    <row r="83" spans="1:32" ht="15" x14ac:dyDescent="0.2">
      <c r="A83" s="41"/>
      <c r="C83" s="47"/>
      <c r="D83" s="41"/>
      <c r="E83" s="41" t="s">
        <v>43</v>
      </c>
      <c r="F83" s="232">
        <f t="shared" ref="F83:P83" si="53">G151/F77</f>
        <v>15.120486999999999</v>
      </c>
      <c r="G83" s="232">
        <f t="shared" si="53"/>
        <v>13.765032635458867</v>
      </c>
      <c r="H83" s="232">
        <f t="shared" si="53"/>
        <v>12.076686238775205</v>
      </c>
      <c r="I83" s="232">
        <f t="shared" si="53"/>
        <v>9.5924520848882437</v>
      </c>
      <c r="J83" s="232">
        <f t="shared" si="53"/>
        <v>7.179257460558115</v>
      </c>
      <c r="K83" s="232">
        <f t="shared" si="53"/>
        <v>5.1851403311400039</v>
      </c>
      <c r="L83" s="232">
        <f t="shared" si="53"/>
        <v>3.7401354984018789</v>
      </c>
      <c r="M83" s="232">
        <f t="shared" si="53"/>
        <v>2.6850059199162097</v>
      </c>
      <c r="N83" s="232">
        <f t="shared" si="53"/>
        <v>1.9374991115992177</v>
      </c>
      <c r="O83" s="232">
        <f t="shared" si="53"/>
        <v>1.4032388102437483</v>
      </c>
      <c r="P83" s="232">
        <f t="shared" si="53"/>
        <v>1.0381809170392504</v>
      </c>
      <c r="Q83" s="242">
        <f t="shared" ref="Q83:Y83" si="54">R151/Q79</f>
        <v>0.80863402815691909</v>
      </c>
      <c r="R83" s="242">
        <f t="shared" si="54"/>
        <v>0.59266284587590246</v>
      </c>
      <c r="S83" s="242">
        <f t="shared" si="54"/>
        <v>0.46544145590676766</v>
      </c>
      <c r="T83" s="242">
        <f t="shared" si="54"/>
        <v>0.35870191515478134</v>
      </c>
      <c r="U83" s="242">
        <f t="shared" si="54"/>
        <v>0.27798328922296045</v>
      </c>
      <c r="V83" s="242">
        <f t="shared" si="54"/>
        <v>0.17957684472348823</v>
      </c>
      <c r="W83" s="242">
        <f t="shared" si="54"/>
        <v>0.11990075054145483</v>
      </c>
      <c r="X83" s="242">
        <f t="shared" si="54"/>
        <v>8.3689015215450469E-2</v>
      </c>
      <c r="Y83" s="242">
        <f t="shared" si="54"/>
        <v>6.1550563084388783E-2</v>
      </c>
      <c r="Z83" s="242">
        <f>AA151/Z79</f>
        <v>4.7819342470731871E-2</v>
      </c>
      <c r="AA83" s="126" t="s">
        <v>43</v>
      </c>
      <c r="AB83" s="34"/>
      <c r="AC83" s="211" t="s">
        <v>56</v>
      </c>
      <c r="AD83" s="34"/>
      <c r="AE83" s="34"/>
    </row>
    <row r="84" spans="1:32" x14ac:dyDescent="0.15">
      <c r="A84" s="41"/>
      <c r="C84" s="47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34"/>
      <c r="AB84" s="34"/>
      <c r="AC84" s="34"/>
      <c r="AD84" s="34"/>
      <c r="AE84" s="34"/>
    </row>
    <row r="85" spans="1:32" x14ac:dyDescent="0.15">
      <c r="A85" s="41"/>
      <c r="C85" s="47"/>
      <c r="D85" s="43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34"/>
      <c r="AC85" s="34"/>
      <c r="AD85" s="34"/>
      <c r="AE85" s="34"/>
      <c r="AF85" s="34"/>
    </row>
    <row r="86" spans="1:32" x14ac:dyDescent="0.15">
      <c r="A86" s="41"/>
      <c r="C86" s="47"/>
      <c r="D86" s="43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34"/>
      <c r="AC86" s="34"/>
      <c r="AD86" s="34"/>
      <c r="AE86" s="34"/>
      <c r="AF86" s="34"/>
    </row>
    <row r="87" spans="1:32" x14ac:dyDescent="0.15">
      <c r="A87" s="41"/>
      <c r="C87" s="47"/>
      <c r="D87" s="43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34"/>
      <c r="AC87" s="34"/>
      <c r="AD87" s="34"/>
      <c r="AE87" s="34"/>
      <c r="AF87" s="34"/>
    </row>
    <row r="88" spans="1:32" x14ac:dyDescent="0.15">
      <c r="A88" s="41"/>
      <c r="C88" s="47"/>
      <c r="D88" s="43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34"/>
      <c r="AC88" s="34"/>
      <c r="AD88" s="34"/>
      <c r="AE88" s="34"/>
      <c r="AF88" s="34"/>
    </row>
    <row r="89" spans="1:32" x14ac:dyDescent="0.15">
      <c r="A89" s="41"/>
      <c r="C89" s="47"/>
      <c r="D89" s="43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</row>
    <row r="90" spans="1:32" ht="32" x14ac:dyDescent="0.3">
      <c r="A90" s="41"/>
      <c r="C90" s="47"/>
      <c r="D90" s="43"/>
      <c r="E90" s="41"/>
      <c r="F90" s="41"/>
      <c r="G90" s="41"/>
      <c r="H90" s="117" t="s">
        <v>128</v>
      </c>
      <c r="I90" s="41"/>
      <c r="J90" s="41"/>
      <c r="K90" s="41"/>
      <c r="L90" s="41"/>
      <c r="M90" s="41"/>
      <c r="N90" s="4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5"/>
    </row>
    <row r="91" spans="1:32" x14ac:dyDescent="0.15">
      <c r="A91" s="41"/>
      <c r="C91" s="47"/>
      <c r="D91" s="43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5"/>
    </row>
    <row r="92" spans="1:32" x14ac:dyDescent="0.15">
      <c r="A92" s="41"/>
      <c r="C92" s="47"/>
      <c r="D92" s="43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</row>
    <row r="93" spans="1:32" x14ac:dyDescent="0.15">
      <c r="A93" s="41"/>
      <c r="B93" s="41"/>
      <c r="C93" s="41"/>
      <c r="D93" s="43"/>
      <c r="E93" s="41" t="s">
        <v>14</v>
      </c>
      <c r="F93" s="41" t="s">
        <v>14</v>
      </c>
      <c r="G93" s="41"/>
      <c r="H93" s="41"/>
      <c r="I93" s="61"/>
      <c r="J93" s="61"/>
      <c r="K93" s="61"/>
      <c r="L93" s="61"/>
      <c r="M93" s="61"/>
      <c r="N93" s="71"/>
      <c r="O93" s="71"/>
      <c r="P93" s="71"/>
      <c r="Q93" s="71"/>
      <c r="R93" s="61"/>
      <c r="AB93" s="30" t="s">
        <v>43</v>
      </c>
    </row>
    <row r="94" spans="1:32" s="49" customFormat="1" ht="12" customHeight="1" x14ac:dyDescent="0.15">
      <c r="A94" s="41" t="s">
        <v>129</v>
      </c>
      <c r="B94" s="46"/>
      <c r="C94" s="47" t="s">
        <v>229</v>
      </c>
      <c r="D94" s="48"/>
      <c r="E94" s="46" t="s">
        <v>90</v>
      </c>
      <c r="F94" s="46"/>
      <c r="G94" s="81">
        <f>F55*$C$105</f>
        <v>93.741176470588215</v>
      </c>
      <c r="H94" s="238">
        <f>G55*$C$105*0.85</f>
        <v>79.679999999999978</v>
      </c>
      <c r="I94" s="81">
        <f t="shared" ref="I94:Z94" si="55">H55*$C$105*F$108</f>
        <v>65.618823529411742</v>
      </c>
      <c r="J94" s="81">
        <f t="shared" si="55"/>
        <v>45.933176470588222</v>
      </c>
      <c r="K94" s="81">
        <f>J55*$C$105*H$108</f>
        <v>32.153223529411747</v>
      </c>
      <c r="L94" s="81">
        <f t="shared" si="55"/>
        <v>22.507256470588224</v>
      </c>
      <c r="M94" s="81">
        <f t="shared" si="55"/>
        <v>15.755079529411756</v>
      </c>
      <c r="N94" s="81">
        <f t="shared" si="55"/>
        <v>11.028555670588227</v>
      </c>
      <c r="O94" s="81">
        <f t="shared" si="55"/>
        <v>7.7199889694117596</v>
      </c>
      <c r="P94" s="81">
        <f t="shared" si="55"/>
        <v>5.4039922785882313</v>
      </c>
      <c r="Q94" s="81">
        <f t="shared" si="55"/>
        <v>3.7827945950117621</v>
      </c>
      <c r="R94" s="81">
        <f t="shared" si="55"/>
        <v>2.6479562165082333</v>
      </c>
      <c r="S94" s="81">
        <f t="shared" si="55"/>
        <v>2.5155584056828215</v>
      </c>
      <c r="T94" s="81">
        <f t="shared" si="55"/>
        <v>2.3897804853986804</v>
      </c>
      <c r="U94" s="81">
        <f t="shared" si="55"/>
        <v>2.2702914611287461</v>
      </c>
      <c r="V94" s="81">
        <f t="shared" si="55"/>
        <v>2.1567768880723088</v>
      </c>
      <c r="W94" s="81">
        <f t="shared" si="55"/>
        <v>2.0489380436686933</v>
      </c>
      <c r="X94" s="81">
        <f t="shared" si="55"/>
        <v>1.9464911414852586</v>
      </c>
      <c r="Y94" s="81">
        <f t="shared" si="55"/>
        <v>1.8491665844109957</v>
      </c>
      <c r="Z94" s="81">
        <f t="shared" si="55"/>
        <v>1.7567082551904456</v>
      </c>
      <c r="AA94" s="81">
        <f>Z55*$C$105*X$108</f>
        <v>1.6688728424309234</v>
      </c>
      <c r="AB94" s="239"/>
      <c r="AC94" s="49" t="s">
        <v>197</v>
      </c>
    </row>
    <row r="95" spans="1:32" s="49" customFormat="1" ht="22.5" customHeight="1" x14ac:dyDescent="0.15">
      <c r="A95" s="46"/>
      <c r="B95" s="46"/>
      <c r="C95" s="47" t="s">
        <v>105</v>
      </c>
      <c r="D95" s="48"/>
      <c r="E95" s="46" t="s">
        <v>90</v>
      </c>
      <c r="F95" s="46"/>
      <c r="G95" s="81">
        <f>F57*$C$106</f>
        <v>36.096000000000004</v>
      </c>
      <c r="H95" s="81">
        <f>G57*$C$106*0.85</f>
        <v>37.795895999999999</v>
      </c>
      <c r="I95" s="81">
        <f t="shared" ref="I95:AA96" si="56">H57*$C$106*F$108</f>
        <v>37.870005599999992</v>
      </c>
      <c r="J95" s="81">
        <f t="shared" si="56"/>
        <v>34.40279619839999</v>
      </c>
      <c r="K95" s="81">
        <f>J57*$C$106*H$108</f>
        <v>30.764700500419188</v>
      </c>
      <c r="L95" s="81">
        <f t="shared" si="56"/>
        <v>26.388421854234561</v>
      </c>
      <c r="M95" s="81">
        <f t="shared" si="56"/>
        <v>21.230889021192034</v>
      </c>
      <c r="N95" s="81">
        <f t="shared" si="56"/>
        <v>16.420084330552196</v>
      </c>
      <c r="O95" s="81">
        <f t="shared" si="56"/>
        <v>13.257247686801229</v>
      </c>
      <c r="P95" s="81">
        <f t="shared" si="56"/>
        <v>10.703636637369577</v>
      </c>
      <c r="Q95" s="81">
        <f t="shared" si="56"/>
        <v>8.5568295500826768</v>
      </c>
      <c r="R95" s="81">
        <f t="shared" si="56"/>
        <v>7.0978901117936157</v>
      </c>
      <c r="S95" s="81">
        <f t="shared" si="56"/>
        <v>6.7429956062039347</v>
      </c>
      <c r="T95" s="81">
        <f t="shared" si="56"/>
        <v>6.4058458258937376</v>
      </c>
      <c r="U95" s="81">
        <f t="shared" si="56"/>
        <v>6.0855535345990504</v>
      </c>
      <c r="V95" s="81">
        <f t="shared" si="56"/>
        <v>5.7812758578690975</v>
      </c>
      <c r="W95" s="81">
        <f t="shared" si="56"/>
        <v>5.4922120649756421</v>
      </c>
      <c r="X95" s="81">
        <f t="shared" si="56"/>
        <v>5.2176014617268605</v>
      </c>
      <c r="Y95" s="81">
        <f t="shared" si="56"/>
        <v>4.956721388640517</v>
      </c>
      <c r="Z95" s="81">
        <f t="shared" si="56"/>
        <v>4.7088853192084912</v>
      </c>
      <c r="AA95" s="81">
        <f t="shared" si="56"/>
        <v>4.4734410532480657</v>
      </c>
      <c r="AB95" s="239"/>
    </row>
    <row r="96" spans="1:32" s="49" customFormat="1" ht="22.5" customHeight="1" x14ac:dyDescent="0.15">
      <c r="A96" s="46"/>
      <c r="B96" s="46"/>
      <c r="C96" s="41" t="s">
        <v>87</v>
      </c>
      <c r="D96" s="48"/>
      <c r="E96" s="46"/>
      <c r="F96" s="46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>
        <f t="shared" si="56"/>
        <v>6.2641711218239964</v>
      </c>
      <c r="S96" s="81">
        <f t="shared" si="56"/>
        <v>5.9509625657327963</v>
      </c>
      <c r="T96" s="81">
        <f t="shared" si="56"/>
        <v>5.6534144374461563</v>
      </c>
      <c r="U96" s="81">
        <f t="shared" si="56"/>
        <v>5.3707437155738482</v>
      </c>
      <c r="V96" s="81">
        <f t="shared" si="56"/>
        <v>5.1022065297951551</v>
      </c>
      <c r="W96" s="81">
        <f t="shared" si="56"/>
        <v>4.8470962033053979</v>
      </c>
      <c r="X96" s="81">
        <f t="shared" si="56"/>
        <v>4.6047413931401273</v>
      </c>
      <c r="Y96" s="81">
        <f t="shared" si="56"/>
        <v>4.3745043234831211</v>
      </c>
      <c r="Z96" s="81">
        <f t="shared" si="56"/>
        <v>4.1557791073089652</v>
      </c>
      <c r="AA96" s="81">
        <f t="shared" si="56"/>
        <v>3.9479901519435163</v>
      </c>
      <c r="AB96" s="239"/>
      <c r="AC96" s="49" t="s">
        <v>144</v>
      </c>
    </row>
    <row r="97" spans="1:43" s="49" customFormat="1" ht="22.5" customHeight="1" x14ac:dyDescent="0.15">
      <c r="A97" s="46"/>
      <c r="B97" s="46"/>
      <c r="C97" s="47" t="s">
        <v>101</v>
      </c>
      <c r="D97" s="48"/>
      <c r="E97" s="46" t="s">
        <v>90</v>
      </c>
      <c r="F97" s="46"/>
      <c r="G97" s="81">
        <f>F62*$C$107</f>
        <v>4.8</v>
      </c>
      <c r="H97" s="81">
        <f>G62*$C$107*0.85</f>
        <v>8.2619999999999987</v>
      </c>
      <c r="I97" s="81">
        <f t="shared" ref="I97:AA98" si="57">H62*$C$107*F$108</f>
        <v>12.096</v>
      </c>
      <c r="J97" s="81">
        <f t="shared" si="57"/>
        <v>14.347199999999999</v>
      </c>
      <c r="K97" s="81">
        <f t="shared" si="57"/>
        <v>13.541639999999996</v>
      </c>
      <c r="L97" s="81">
        <f t="shared" si="57"/>
        <v>11.848934999999999</v>
      </c>
      <c r="M97" s="81">
        <f t="shared" si="57"/>
        <v>10.447231199999997</v>
      </c>
      <c r="N97" s="81">
        <f t="shared" si="57"/>
        <v>7.9060127999999947</v>
      </c>
      <c r="O97" s="81">
        <f t="shared" si="57"/>
        <v>6.995240125439997</v>
      </c>
      <c r="P97" s="81">
        <f t="shared" si="57"/>
        <v>5.0772327235459178</v>
      </c>
      <c r="Q97" s="81">
        <f t="shared" si="57"/>
        <v>3.7436129281611907</v>
      </c>
      <c r="R97" s="81">
        <f t="shared" si="57"/>
        <v>2.95745421324734</v>
      </c>
      <c r="S97" s="81">
        <f t="shared" si="57"/>
        <v>2.8095815025849733</v>
      </c>
      <c r="T97" s="81">
        <f t="shared" si="57"/>
        <v>2.6691024274557242</v>
      </c>
      <c r="U97" s="81">
        <f t="shared" si="57"/>
        <v>2.5356473060829381</v>
      </c>
      <c r="V97" s="81">
        <f t="shared" si="57"/>
        <v>2.4088649407787908</v>
      </c>
      <c r="W97" s="81">
        <f t="shared" si="57"/>
        <v>2.2884216937398514</v>
      </c>
      <c r="X97" s="81">
        <f t="shared" si="57"/>
        <v>2.1740006090528587</v>
      </c>
      <c r="Y97" s="81">
        <f t="shared" si="57"/>
        <v>2.0653005786002159</v>
      </c>
      <c r="Z97" s="81">
        <f t="shared" si="57"/>
        <v>1.9620355496702049</v>
      </c>
      <c r="AA97" s="81">
        <f t="shared" si="57"/>
        <v>1.8639337721866944</v>
      </c>
      <c r="AB97" s="239"/>
    </row>
    <row r="98" spans="1:43" s="49" customFormat="1" ht="22.5" customHeight="1" x14ac:dyDescent="0.15">
      <c r="A98" s="46"/>
      <c r="B98" s="46"/>
      <c r="C98" s="41" t="s">
        <v>87</v>
      </c>
      <c r="D98" s="48"/>
      <c r="E98" s="46"/>
      <c r="F98" s="46"/>
      <c r="G98" s="81"/>
      <c r="H98" s="81"/>
      <c r="I98" s="81"/>
      <c r="J98" s="81"/>
      <c r="K98" s="81"/>
      <c r="L98" s="81"/>
      <c r="M98" s="81"/>
      <c r="N98" s="81"/>
      <c r="O98" s="81"/>
      <c r="P98" s="81"/>
      <c r="Q98" s="81"/>
      <c r="R98" s="81">
        <f t="shared" si="57"/>
        <v>2.6100713007599987</v>
      </c>
      <c r="S98" s="81">
        <f t="shared" si="57"/>
        <v>2.4795677357219987</v>
      </c>
      <c r="T98" s="81">
        <f t="shared" si="57"/>
        <v>2.3555893489358986</v>
      </c>
      <c r="U98" s="81">
        <f t="shared" si="57"/>
        <v>2.2378098814891034</v>
      </c>
      <c r="V98" s="81">
        <f t="shared" si="57"/>
        <v>2.125919387414648</v>
      </c>
      <c r="W98" s="81">
        <f t="shared" si="57"/>
        <v>2.0196234180439157</v>
      </c>
      <c r="X98" s="81">
        <f t="shared" si="57"/>
        <v>1.9186422471417199</v>
      </c>
      <c r="Y98" s="81">
        <f t="shared" si="57"/>
        <v>1.822710134784634</v>
      </c>
      <c r="Z98" s="81">
        <f t="shared" si="57"/>
        <v>1.7315746280454021</v>
      </c>
      <c r="AA98" s="81">
        <f t="shared" si="57"/>
        <v>1.6449958966431319</v>
      </c>
      <c r="AB98" s="239"/>
      <c r="AC98" s="49" t="s">
        <v>145</v>
      </c>
      <c r="AD98" s="888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30"/>
    </row>
    <row r="99" spans="1:43" ht="12.75" customHeight="1" x14ac:dyDescent="0.15">
      <c r="A99" s="41"/>
      <c r="B99" s="41"/>
      <c r="C99" s="47" t="s">
        <v>99</v>
      </c>
      <c r="D99" s="43"/>
      <c r="E99" s="46" t="s">
        <v>90</v>
      </c>
      <c r="F99" s="41"/>
      <c r="G99" s="79">
        <f>F67*$C$108</f>
        <v>5.7599999999999998E-2</v>
      </c>
      <c r="H99" s="79">
        <f>G67*$C$108*0.85</f>
        <v>0.16524</v>
      </c>
      <c r="I99" s="79">
        <f t="shared" ref="I99:AA100" si="58">H67*$C$108*F$108</f>
        <v>0.41580000000000006</v>
      </c>
      <c r="J99" s="79">
        <f t="shared" si="58"/>
        <v>0.98783999999999983</v>
      </c>
      <c r="K99" s="79">
        <f t="shared" si="58"/>
        <v>2.304959999999999</v>
      </c>
      <c r="L99" s="79">
        <f>K67*$C$108*I$108</f>
        <v>3.7239509999999991</v>
      </c>
      <c r="M99" s="79">
        <f>L67*$C$108*J$108</f>
        <v>4.850500199999999</v>
      </c>
      <c r="N99" s="79">
        <f t="shared" si="58"/>
        <v>5.9295095999999967</v>
      </c>
      <c r="O99" s="79">
        <f t="shared" si="58"/>
        <v>6.995240125439997</v>
      </c>
      <c r="P99" s="79">
        <f t="shared" si="58"/>
        <v>8.365345344508988</v>
      </c>
      <c r="Q99" s="79">
        <f>P67*$C$108*N$108</f>
        <v>9.62643324384306</v>
      </c>
      <c r="R99" s="79">
        <f t="shared" si="58"/>
        <v>10.765133336220318</v>
      </c>
      <c r="S99" s="79">
        <f t="shared" si="58"/>
        <v>14.205244077069624</v>
      </c>
      <c r="T99" s="79">
        <f t="shared" si="58"/>
        <v>19.989441899701411</v>
      </c>
      <c r="U99" s="79">
        <f t="shared" si="58"/>
        <v>26.003598652591574</v>
      </c>
      <c r="V99" s="79">
        <f t="shared" si="58"/>
        <v>33.026570565610733</v>
      </c>
      <c r="W99" s="79">
        <f t="shared" si="58"/>
        <v>31.375242037330196</v>
      </c>
      <c r="X99" s="79">
        <f t="shared" si="58"/>
        <v>29.806479935463685</v>
      </c>
      <c r="Y99" s="79">
        <f t="shared" si="58"/>
        <v>28.316155938690503</v>
      </c>
      <c r="Z99" s="79">
        <f>Y67*$C$108*W$108</f>
        <v>26.900348141755973</v>
      </c>
      <c r="AA99" s="79">
        <f t="shared" si="58"/>
        <v>25.555330734668175</v>
      </c>
      <c r="AB99" s="239"/>
      <c r="AD99" s="888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Q99" s="233"/>
    </row>
    <row r="100" spans="1:43" ht="12.75" customHeight="1" x14ac:dyDescent="0.15">
      <c r="A100" s="41"/>
      <c r="B100" s="41"/>
      <c r="C100" s="41" t="s">
        <v>87</v>
      </c>
      <c r="D100" s="43"/>
      <c r="E100" s="46"/>
      <c r="F100" s="41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>
        <f>Q68*$C$108*O$108</f>
        <v>9.5006595347663954</v>
      </c>
      <c r="S100" s="79">
        <f t="shared" si="58"/>
        <v>11.108463456034553</v>
      </c>
      <c r="T100" s="79">
        <f t="shared" si="58"/>
        <v>13.850865371743078</v>
      </c>
      <c r="U100" s="79">
        <f t="shared" si="58"/>
        <v>15.965430818495856</v>
      </c>
      <c r="V100" s="79">
        <f t="shared" si="58"/>
        <v>17.96725022112264</v>
      </c>
      <c r="W100" s="79">
        <f t="shared" si="58"/>
        <v>17.068887710066509</v>
      </c>
      <c r="X100" s="79">
        <f t="shared" si="58"/>
        <v>16.215443324563182</v>
      </c>
      <c r="Y100" s="79">
        <f t="shared" si="58"/>
        <v>15.404671158335024</v>
      </c>
      <c r="Z100" s="79">
        <f>Y68*$C$108*W$108</f>
        <v>14.634437600418272</v>
      </c>
      <c r="AA100" s="79">
        <f>Z68*$C$108*X$108</f>
        <v>13.902715720397357</v>
      </c>
      <c r="AB100" s="239"/>
      <c r="AC100" s="30" t="s">
        <v>146</v>
      </c>
      <c r="AD100" s="888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Q100" s="233"/>
    </row>
    <row r="101" spans="1:43" ht="12.75" customHeight="1" x14ac:dyDescent="0.15">
      <c r="A101" s="41"/>
      <c r="B101" s="41"/>
      <c r="C101" s="47" t="s">
        <v>100</v>
      </c>
      <c r="D101" s="43"/>
      <c r="E101" s="46" t="s">
        <v>90</v>
      </c>
      <c r="F101" s="41"/>
      <c r="G101" s="79">
        <f>F72*$C$109</f>
        <v>5.3290705182007515E-18</v>
      </c>
      <c r="H101" s="79">
        <f>G72*$C$109*0.85</f>
        <v>-8.5373999999998262E-4</v>
      </c>
      <c r="I101" s="79">
        <f t="shared" ref="I101:Z102" si="59">H72*$C$109*F$108</f>
        <v>-1.7501400000000193E-4</v>
      </c>
      <c r="J101" s="79">
        <f t="shared" si="59"/>
        <v>-1.3349904959999929E-3</v>
      </c>
      <c r="K101" s="79">
        <f t="shared" si="59"/>
        <v>-2.0005512510480037E-3</v>
      </c>
      <c r="L101" s="79">
        <f t="shared" si="59"/>
        <v>1.7371453644135695E-3</v>
      </c>
      <c r="M101" s="79">
        <f t="shared" si="59"/>
        <v>-8.4106655298012882E-4</v>
      </c>
      <c r="N101" s="454">
        <f t="shared" si="59"/>
        <v>-1.520146826380556E-3</v>
      </c>
      <c r="O101" s="454">
        <f t="shared" si="59"/>
        <v>1.8330814101968173E-3</v>
      </c>
      <c r="P101" s="454">
        <f t="shared" si="59"/>
        <v>2.2536668268385005E-3</v>
      </c>
      <c r="Q101" s="454">
        <f t="shared" si="59"/>
        <v>1.0696036937603529E-2</v>
      </c>
      <c r="R101" s="454">
        <f t="shared" si="59"/>
        <v>2.9574542132473295E-2</v>
      </c>
      <c r="S101" s="454">
        <f t="shared" si="59"/>
        <v>0.28208198285953123</v>
      </c>
      <c r="T101" s="454">
        <f t="shared" si="59"/>
        <v>0.59691806687619808</v>
      </c>
      <c r="U101" s="454">
        <f t="shared" si="59"/>
        <v>1.3342669436429284</v>
      </c>
      <c r="V101" s="454">
        <f t="shared" si="59"/>
        <v>2.6395434669079019</v>
      </c>
      <c r="W101" s="454">
        <f t="shared" si="59"/>
        <v>5.8162281811355099</v>
      </c>
      <c r="X101" s="454">
        <f t="shared" si="59"/>
        <v>10.49171826532581</v>
      </c>
      <c r="Y101" s="454">
        <f t="shared" si="59"/>
        <v>17.421550893423387</v>
      </c>
      <c r="Z101" s="454">
        <f t="shared" si="59"/>
        <v>27.739555579339378</v>
      </c>
      <c r="AA101" s="79">
        <f>Z72*$C$109*X$108</f>
        <v>43.147390228483729</v>
      </c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</row>
    <row r="102" spans="1:43" ht="12.75" customHeight="1" x14ac:dyDescent="0.15">
      <c r="A102" s="41"/>
      <c r="B102" s="41"/>
      <c r="C102" s="41" t="s">
        <v>87</v>
      </c>
      <c r="D102" s="43"/>
      <c r="E102" s="46"/>
      <c r="F102" s="41"/>
      <c r="G102" s="79"/>
      <c r="H102" s="79"/>
      <c r="I102" s="79"/>
      <c r="J102" s="79"/>
      <c r="K102" s="79"/>
      <c r="L102" s="79"/>
      <c r="M102" s="79"/>
      <c r="N102" s="454"/>
      <c r="O102" s="454"/>
      <c r="P102" s="454"/>
      <c r="Q102" s="454"/>
      <c r="R102" s="454">
        <f>Q73*$C$109*O$108</f>
        <v>2.6100713007599891E-2</v>
      </c>
      <c r="S102" s="454">
        <f t="shared" si="59"/>
        <v>0.22058736767916703</v>
      </c>
      <c r="T102" s="454">
        <f t="shared" si="59"/>
        <v>0.4136099358725393</v>
      </c>
      <c r="U102" s="454">
        <f t="shared" si="59"/>
        <v>0.81919994485125081</v>
      </c>
      <c r="V102" s="454">
        <f t="shared" si="59"/>
        <v>1.4359752504501921</v>
      </c>
      <c r="W102" s="454">
        <f t="shared" si="59"/>
        <v>2.8036934151458186</v>
      </c>
      <c r="X102" s="454">
        <f t="shared" si="59"/>
        <v>4.4813271925379841</v>
      </c>
      <c r="Y102" s="454">
        <f t="shared" si="59"/>
        <v>6.5935271179894936</v>
      </c>
      <c r="Z102" s="454">
        <f t="shared" si="59"/>
        <v>9.3025375201194365</v>
      </c>
      <c r="AA102" s="79">
        <f>Z73*$C$109*X$108</f>
        <v>12.82116273894064</v>
      </c>
      <c r="AB102" s="261"/>
      <c r="AC102" s="30" t="s">
        <v>147</v>
      </c>
      <c r="AD102" s="889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</row>
    <row r="103" spans="1:43" ht="15.75" customHeight="1" x14ac:dyDescent="0.15">
      <c r="A103" s="41"/>
      <c r="B103" s="41"/>
      <c r="C103" s="41"/>
      <c r="D103" s="43"/>
      <c r="E103" s="41"/>
      <c r="F103" s="47"/>
      <c r="G103" s="47">
        <v>2010</v>
      </c>
      <c r="H103" s="47">
        <v>2011</v>
      </c>
      <c r="I103" s="62">
        <v>2012</v>
      </c>
      <c r="J103" s="62">
        <v>2013</v>
      </c>
      <c r="K103" s="62">
        <v>2014</v>
      </c>
      <c r="L103" s="62">
        <v>2015</v>
      </c>
      <c r="M103" s="62">
        <v>2016</v>
      </c>
      <c r="N103" s="62">
        <v>2017</v>
      </c>
      <c r="O103" s="62">
        <v>2018</v>
      </c>
      <c r="P103" s="62">
        <v>2019</v>
      </c>
      <c r="Q103" s="62">
        <v>2020</v>
      </c>
      <c r="R103" s="62">
        <v>2021</v>
      </c>
      <c r="S103" s="62">
        <v>2022</v>
      </c>
      <c r="T103" s="62">
        <v>2023</v>
      </c>
      <c r="U103" s="62">
        <v>2024</v>
      </c>
      <c r="V103" s="62">
        <v>2025</v>
      </c>
      <c r="W103" s="62">
        <v>2026</v>
      </c>
      <c r="X103" s="62">
        <v>2027</v>
      </c>
      <c r="Y103" s="62">
        <v>2028</v>
      </c>
      <c r="Z103" s="62">
        <v>2029</v>
      </c>
      <c r="AA103" s="62">
        <v>2030</v>
      </c>
      <c r="AD103" s="889"/>
      <c r="AE103" s="239"/>
      <c r="AF103" s="239"/>
      <c r="AG103" s="239"/>
      <c r="AH103" s="239"/>
      <c r="AI103" s="239"/>
      <c r="AJ103" s="239"/>
      <c r="AK103" s="239"/>
      <c r="AL103" s="239"/>
      <c r="AM103" s="239"/>
      <c r="AN103" s="239"/>
      <c r="AO103" s="239"/>
      <c r="AQ103" s="233"/>
    </row>
    <row r="104" spans="1:43" ht="15" x14ac:dyDescent="0.2">
      <c r="A104" s="30" t="s">
        <v>107</v>
      </c>
      <c r="B104" s="41"/>
      <c r="C104" s="72"/>
      <c r="D104" s="175"/>
      <c r="E104" s="175"/>
      <c r="F104" s="176" t="s">
        <v>46</v>
      </c>
      <c r="G104" s="177">
        <f>SUM(G94:G101)</f>
        <v>134.69477647058824</v>
      </c>
      <c r="H104" s="177">
        <f>SUM(H94:H101)</f>
        <v>125.90228225999998</v>
      </c>
      <c r="I104" s="177">
        <f t="shared" ref="I104:Q104" si="60">SUM(I94:I101)</f>
        <v>116.00045411541173</v>
      </c>
      <c r="J104" s="177">
        <f t="shared" si="60"/>
        <v>95.669677678492206</v>
      </c>
      <c r="K104" s="177">
        <f>SUM(K94:K101)</f>
        <v>78.76252347857988</v>
      </c>
      <c r="L104" s="177">
        <f>SUM(L94:L101)</f>
        <v>64.470301470187195</v>
      </c>
      <c r="M104" s="177">
        <f t="shared" si="60"/>
        <v>52.282858884050803</v>
      </c>
      <c r="N104" s="177">
        <f t="shared" si="60"/>
        <v>41.282642254314034</v>
      </c>
      <c r="O104" s="177">
        <f t="shared" si="60"/>
        <v>34.969549988503182</v>
      </c>
      <c r="P104" s="177">
        <f t="shared" si="60"/>
        <v>29.552460650839553</v>
      </c>
      <c r="Q104" s="177">
        <f t="shared" si="60"/>
        <v>25.72036635403629</v>
      </c>
      <c r="R104" s="177">
        <f>R94+R96+R98+R100+R102</f>
        <v>21.048958886866224</v>
      </c>
      <c r="S104" s="177">
        <f t="shared" ref="S104:Y104" si="61">S94+S96+S98+S100+S102</f>
        <v>22.275139530851334</v>
      </c>
      <c r="T104" s="177">
        <f t="shared" si="61"/>
        <v>24.663259579396353</v>
      </c>
      <c r="U104" s="177">
        <f t="shared" si="61"/>
        <v>26.663475821538803</v>
      </c>
      <c r="V104" s="177">
        <f t="shared" si="61"/>
        <v>28.788128276854941</v>
      </c>
      <c r="W104" s="177">
        <f t="shared" si="61"/>
        <v>28.788238790230334</v>
      </c>
      <c r="X104" s="177">
        <f t="shared" si="61"/>
        <v>29.166645298868275</v>
      </c>
      <c r="Y104" s="177">
        <f t="shared" si="61"/>
        <v>30.044579319003269</v>
      </c>
      <c r="Z104" s="177">
        <f>Z94+Z96+Z98+Z100+Z102</f>
        <v>31.581037111082523</v>
      </c>
      <c r="AA104" s="177">
        <f>AA94+AA96+AA98+AA100+AA102</f>
        <v>33.985737350355564</v>
      </c>
      <c r="AD104" s="889"/>
      <c r="AE104" s="239"/>
      <c r="AF104" s="239"/>
      <c r="AG104" s="239"/>
      <c r="AH104" s="239"/>
      <c r="AI104" s="239"/>
      <c r="AJ104" s="239"/>
      <c r="AK104" s="239"/>
      <c r="AL104" s="239"/>
      <c r="AM104" s="239"/>
      <c r="AN104" s="239"/>
      <c r="AO104" s="239"/>
      <c r="AQ104" s="233"/>
    </row>
    <row r="105" spans="1:43" ht="15" x14ac:dyDescent="0.2">
      <c r="A105" s="41"/>
      <c r="B105" s="41" t="s">
        <v>111</v>
      </c>
      <c r="C105" s="41">
        <v>5</v>
      </c>
      <c r="D105" s="175"/>
      <c r="E105" s="178"/>
      <c r="F105" s="179" t="s">
        <v>47</v>
      </c>
      <c r="G105" s="180">
        <f>E297+E338</f>
        <v>204.1</v>
      </c>
      <c r="H105" s="180">
        <f t="shared" ref="H105:AA105" si="62">F297+F338</f>
        <v>224.4</v>
      </c>
      <c r="I105" s="180">
        <f t="shared" si="62"/>
        <v>247.64000000000001</v>
      </c>
      <c r="J105" s="180">
        <f t="shared" si="62"/>
        <v>235.51833148936174</v>
      </c>
      <c r="K105" s="180">
        <f t="shared" si="62"/>
        <v>224.93430029638304</v>
      </c>
      <c r="L105" s="180">
        <f t="shared" si="62"/>
        <v>198.3671099684322</v>
      </c>
      <c r="M105" s="180">
        <f t="shared" si="62"/>
        <v>185.12644898236556</v>
      </c>
      <c r="N105" s="180">
        <f t="shared" si="62"/>
        <v>173.17448848545794</v>
      </c>
      <c r="O105" s="180">
        <f t="shared" si="62"/>
        <v>162.36224655563015</v>
      </c>
      <c r="P105" s="180">
        <f t="shared" si="62"/>
        <v>152.55890417731808</v>
      </c>
      <c r="Q105" s="180">
        <f t="shared" si="62"/>
        <v>143.64955937837928</v>
      </c>
      <c r="R105" s="180">
        <f t="shared" si="62"/>
        <v>135.53326007554946</v>
      </c>
      <c r="S105" s="180">
        <f t="shared" si="62"/>
        <v>157.05189285039876</v>
      </c>
      <c r="T105" s="180">
        <f t="shared" si="62"/>
        <v>182.31907103906752</v>
      </c>
      <c r="U105" s="180">
        <f t="shared" si="62"/>
        <v>212.01661133663427</v>
      </c>
      <c r="V105" s="180">
        <f t="shared" si="62"/>
        <v>246.95262495410879</v>
      </c>
      <c r="W105" s="180">
        <f t="shared" si="62"/>
        <v>0</v>
      </c>
      <c r="X105" s="180">
        <f t="shared" si="62"/>
        <v>0</v>
      </c>
      <c r="Y105" s="180">
        <f t="shared" si="62"/>
        <v>0</v>
      </c>
      <c r="Z105" s="180">
        <f t="shared" si="62"/>
        <v>0</v>
      </c>
      <c r="AA105" s="180">
        <f t="shared" si="62"/>
        <v>0</v>
      </c>
    </row>
    <row r="106" spans="1:43" ht="15" x14ac:dyDescent="0.2">
      <c r="A106" s="41"/>
      <c r="B106" s="41" t="s">
        <v>112</v>
      </c>
      <c r="C106" s="41">
        <v>20</v>
      </c>
      <c r="D106" s="175"/>
      <c r="E106" s="178"/>
      <c r="F106" s="187" t="s">
        <v>59</v>
      </c>
      <c r="G106" s="188">
        <f>SUM(G104:G105)</f>
        <v>338.7947764705882</v>
      </c>
      <c r="H106" s="188">
        <f t="shared" ref="H106:AA106" si="63">SUM(H104:H105)</f>
        <v>350.30228225999997</v>
      </c>
      <c r="I106" s="188">
        <f t="shared" si="63"/>
        <v>363.64045411541173</v>
      </c>
      <c r="J106" s="188">
        <f>SUM(J104:J105)</f>
        <v>331.18800916785392</v>
      </c>
      <c r="K106" s="188">
        <f t="shared" si="63"/>
        <v>303.69682377496292</v>
      </c>
      <c r="L106" s="188">
        <f t="shared" si="63"/>
        <v>262.83741143861937</v>
      </c>
      <c r="M106" s="188">
        <f t="shared" si="63"/>
        <v>237.40930786641636</v>
      </c>
      <c r="N106" s="188">
        <f t="shared" si="63"/>
        <v>214.45713073977197</v>
      </c>
      <c r="O106" s="188">
        <f t="shared" si="63"/>
        <v>197.33179654413334</v>
      </c>
      <c r="P106" s="188">
        <f t="shared" si="63"/>
        <v>182.11136482815763</v>
      </c>
      <c r="Q106" s="188">
        <f t="shared" si="63"/>
        <v>169.36992573241557</v>
      </c>
      <c r="R106" s="188">
        <f t="shared" si="63"/>
        <v>156.58221896241568</v>
      </c>
      <c r="S106" s="188">
        <f t="shared" si="63"/>
        <v>179.32703238125009</v>
      </c>
      <c r="T106" s="188">
        <f t="shared" si="63"/>
        <v>206.98233061846389</v>
      </c>
      <c r="U106" s="188">
        <f t="shared" si="63"/>
        <v>238.68008715817308</v>
      </c>
      <c r="V106" s="188">
        <f t="shared" si="63"/>
        <v>275.74075323096372</v>
      </c>
      <c r="W106" s="188">
        <f t="shared" si="63"/>
        <v>28.788238790230334</v>
      </c>
      <c r="X106" s="188">
        <f t="shared" si="63"/>
        <v>29.166645298868275</v>
      </c>
      <c r="Y106" s="188">
        <f t="shared" si="63"/>
        <v>30.044579319003269</v>
      </c>
      <c r="Z106" s="188">
        <f t="shared" si="63"/>
        <v>31.581037111082523</v>
      </c>
      <c r="AA106" s="188">
        <f t="shared" si="63"/>
        <v>33.985737350355564</v>
      </c>
      <c r="AB106" s="265"/>
    </row>
    <row r="107" spans="1:43" ht="15" x14ac:dyDescent="0.2">
      <c r="A107" s="41"/>
      <c r="B107" s="41" t="s">
        <v>113</v>
      </c>
      <c r="C107" s="41">
        <v>2.5</v>
      </c>
      <c r="D107" s="175"/>
      <c r="E107" s="123"/>
      <c r="F107" s="178"/>
      <c r="G107" s="178"/>
      <c r="H107" s="178"/>
      <c r="I107" s="178"/>
      <c r="J107" s="131"/>
      <c r="K107" s="131"/>
      <c r="L107" s="131"/>
      <c r="M107" s="131"/>
      <c r="N107" s="182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265"/>
    </row>
    <row r="108" spans="1:43" ht="15" x14ac:dyDescent="0.2">
      <c r="A108" s="41"/>
      <c r="B108" s="41" t="s">
        <v>114</v>
      </c>
      <c r="C108" s="41">
        <v>0.5</v>
      </c>
      <c r="D108" s="175" t="s">
        <v>50</v>
      </c>
      <c r="E108" s="123"/>
      <c r="F108" s="183">
        <v>0.7</v>
      </c>
      <c r="G108" s="184">
        <f t="shared" ref="G108:O108" si="64">F108*$F$108</f>
        <v>0.48999999999999994</v>
      </c>
      <c r="H108" s="184">
        <f t="shared" si="64"/>
        <v>0.34299999999999992</v>
      </c>
      <c r="I108" s="184">
        <f t="shared" si="64"/>
        <v>0.24009999999999992</v>
      </c>
      <c r="J108" s="184">
        <f t="shared" si="64"/>
        <v>0.16806999999999994</v>
      </c>
      <c r="K108" s="184">
        <f t="shared" si="64"/>
        <v>0.11764899999999995</v>
      </c>
      <c r="L108" s="184">
        <f t="shared" si="64"/>
        <v>8.2354299999999964E-2</v>
      </c>
      <c r="M108" s="184">
        <f t="shared" si="64"/>
        <v>5.7648009999999972E-2</v>
      </c>
      <c r="N108" s="185">
        <f t="shared" si="64"/>
        <v>4.0353606999999979E-2</v>
      </c>
      <c r="O108" s="185">
        <f t="shared" si="64"/>
        <v>2.8247524899999984E-2</v>
      </c>
      <c r="P108" s="185">
        <f>O108*$F$110</f>
        <v>2.6835148654999984E-2</v>
      </c>
      <c r="Q108" s="185">
        <f t="shared" ref="Q108:W108" si="65">P108*$F$110</f>
        <v>2.5493391222249983E-2</v>
      </c>
      <c r="R108" s="185">
        <f t="shared" si="65"/>
        <v>2.4218721661137484E-2</v>
      </c>
      <c r="S108" s="185">
        <f t="shared" si="65"/>
        <v>2.3007785578080607E-2</v>
      </c>
      <c r="T108" s="185">
        <f t="shared" si="65"/>
        <v>2.1857396299176577E-2</v>
      </c>
      <c r="U108" s="185">
        <f t="shared" si="65"/>
        <v>2.0764526484217748E-2</v>
      </c>
      <c r="V108" s="185">
        <f t="shared" si="65"/>
        <v>1.9726300160006861E-2</v>
      </c>
      <c r="W108" s="185">
        <f t="shared" si="65"/>
        <v>1.8739985152006516E-2</v>
      </c>
      <c r="X108" s="185">
        <f>W108*$F$110</f>
        <v>1.7802985894406188E-2</v>
      </c>
      <c r="Y108" s="186"/>
      <c r="Z108" s="186"/>
      <c r="AA108" s="186"/>
      <c r="AB108" s="265"/>
    </row>
    <row r="109" spans="1:43" s="76" customFormat="1" x14ac:dyDescent="0.15">
      <c r="A109" s="73"/>
      <c r="B109" s="41" t="s">
        <v>115</v>
      </c>
      <c r="C109" s="41">
        <v>0.05</v>
      </c>
      <c r="D109" s="74"/>
      <c r="E109" s="65" t="s">
        <v>106</v>
      </c>
      <c r="F109" s="112">
        <v>2012</v>
      </c>
      <c r="G109" s="112">
        <v>2013</v>
      </c>
      <c r="H109" s="112">
        <v>2014</v>
      </c>
      <c r="I109" s="112">
        <v>2015</v>
      </c>
      <c r="J109" s="112">
        <v>2016</v>
      </c>
      <c r="K109" s="112">
        <v>2017</v>
      </c>
      <c r="L109" s="112">
        <v>2018</v>
      </c>
      <c r="M109" s="112">
        <v>2019</v>
      </c>
      <c r="N109" s="112">
        <v>2020</v>
      </c>
      <c r="O109" s="112">
        <v>2021</v>
      </c>
      <c r="P109" s="112">
        <v>2022</v>
      </c>
      <c r="Q109" s="112">
        <v>2023</v>
      </c>
      <c r="R109" s="112">
        <v>2024</v>
      </c>
      <c r="S109" s="112">
        <v>2025</v>
      </c>
      <c r="T109" s="112">
        <v>2026</v>
      </c>
      <c r="U109" s="112">
        <v>2027</v>
      </c>
      <c r="V109" s="112">
        <v>2028</v>
      </c>
      <c r="W109" s="112">
        <v>2029</v>
      </c>
      <c r="X109" s="112">
        <v>2030</v>
      </c>
      <c r="Y109" s="75"/>
      <c r="Z109" s="75"/>
      <c r="AA109" s="75"/>
    </row>
    <row r="110" spans="1:43" s="76" customFormat="1" x14ac:dyDescent="0.15">
      <c r="A110" s="73"/>
      <c r="C110" s="74"/>
      <c r="D110" s="74"/>
      <c r="E110" s="74"/>
      <c r="F110" s="74">
        <v>0.95</v>
      </c>
      <c r="G110" s="74"/>
      <c r="H110" s="74"/>
      <c r="I110" s="74"/>
      <c r="J110" s="74"/>
      <c r="K110" s="74"/>
      <c r="L110" s="74"/>
      <c r="M110" s="74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</row>
    <row r="111" spans="1:43" s="76" customFormat="1" x14ac:dyDescent="0.15">
      <c r="A111" s="73"/>
      <c r="B111" s="73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5"/>
      <c r="O111" s="75"/>
      <c r="P111" s="75"/>
      <c r="Q111" s="75"/>
      <c r="R111" s="75"/>
      <c r="S111" s="75"/>
      <c r="T111" s="75"/>
      <c r="U111" s="75"/>
      <c r="V111" s="75" t="s">
        <v>148</v>
      </c>
      <c r="W111" s="75" t="s">
        <v>144</v>
      </c>
      <c r="X111" s="75" t="s">
        <v>145</v>
      </c>
      <c r="Y111" s="75" t="s">
        <v>146</v>
      </c>
      <c r="Z111" s="75" t="s">
        <v>147</v>
      </c>
      <c r="AA111" s="75"/>
    </row>
    <row r="112" spans="1:43" s="76" customFormat="1" x14ac:dyDescent="0.15">
      <c r="A112" s="73"/>
      <c r="B112" s="73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5"/>
      <c r="O112" s="75"/>
      <c r="P112" s="75"/>
      <c r="Q112" s="75"/>
      <c r="R112" s="75"/>
      <c r="S112" s="75"/>
      <c r="T112" s="75"/>
      <c r="U112" s="75">
        <v>2015</v>
      </c>
      <c r="V112" s="75">
        <f>1.6*12*7*0.78^5</f>
        <v>38.803623505920015</v>
      </c>
      <c r="W112" s="75">
        <f>9.7/100*4.7*12*37*0.78^5</f>
        <v>58.442068070081284</v>
      </c>
      <c r="X112" s="75">
        <f>35/100*4.7*12*2.9*0.78^5</f>
        <v>16.527918387052804</v>
      </c>
      <c r="Y112" s="75">
        <f>55/100*4.7*12*0.6*0.78^5</f>
        <v>5.3736089337216013</v>
      </c>
      <c r="Z112" s="75">
        <f>0/100*4.7*12*0.06*0.78^5</f>
        <v>0</v>
      </c>
      <c r="AA112" s="75"/>
    </row>
    <row r="113" spans="1:28" s="76" customFormat="1" x14ac:dyDescent="0.15">
      <c r="A113" s="73"/>
      <c r="B113" s="73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5"/>
      <c r="O113" s="75"/>
      <c r="P113" s="75"/>
      <c r="Q113" s="75"/>
      <c r="R113" s="75"/>
      <c r="S113" s="75"/>
      <c r="T113" s="75"/>
      <c r="U113" s="75">
        <v>2025</v>
      </c>
      <c r="V113" s="75">
        <f>1.6*12*7*0.78^11*0.95^4</f>
        <v>7.117612159055799</v>
      </c>
      <c r="W113" s="75">
        <f>0.24/100*435*12*37*0.78^11*0.95^4</f>
        <v>24.548135935714939</v>
      </c>
      <c r="X113" s="75">
        <f>0.8/100*435*12*2.9*0.78^11*0.95^4</f>
        <v>6.4134769561777762</v>
      </c>
      <c r="Y113" s="75">
        <f>55/100*435*12*0.6*0.78^11*0.95^4</f>
        <v>91.226180842183908</v>
      </c>
      <c r="Z113" s="75">
        <f>44/100*435*12*0.06*0.78^11*0.95^4</f>
        <v>7.2980944673747121</v>
      </c>
      <c r="AA113" s="75"/>
    </row>
    <row r="114" spans="1:28" s="76" customFormat="1" x14ac:dyDescent="0.15">
      <c r="A114" s="73"/>
      <c r="B114" s="73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</row>
    <row r="115" spans="1:28" s="76" customFormat="1" x14ac:dyDescent="0.15">
      <c r="A115" s="73"/>
      <c r="B115" s="73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</row>
    <row r="116" spans="1:28" s="76" customFormat="1" x14ac:dyDescent="0.15">
      <c r="A116" s="41" t="s">
        <v>130</v>
      </c>
      <c r="B116" s="41"/>
      <c r="C116" s="47" t="s">
        <v>229</v>
      </c>
      <c r="D116" s="41"/>
      <c r="E116" s="46" t="s">
        <v>90</v>
      </c>
      <c r="F116" s="41"/>
      <c r="G116" s="79">
        <f>F55*$C129</f>
        <v>131.23764705882348</v>
      </c>
      <c r="H116" s="79">
        <f>G55*$C129*0.89</f>
        <v>116.8015058823529</v>
      </c>
      <c r="I116" s="79">
        <f>H55*$C129*D135</f>
        <v>102.36536470588231</v>
      </c>
      <c r="J116" s="79">
        <f t="shared" ref="J116:AA116" si="66">I55*$C129*G132</f>
        <v>62.279087887058807</v>
      </c>
      <c r="K116" s="79">
        <f t="shared" si="66"/>
        <v>48.577688551905865</v>
      </c>
      <c r="L116" s="46">
        <f>K55*$C129*I132</f>
        <v>37.890597070486578</v>
      </c>
      <c r="M116" s="79">
        <f t="shared" si="66"/>
        <v>29.554665714979532</v>
      </c>
      <c r="N116" s="79">
        <f t="shared" si="66"/>
        <v>23.052639257684035</v>
      </c>
      <c r="O116" s="79">
        <f>N55*$C129*L132</f>
        <v>17.981058620993547</v>
      </c>
      <c r="P116" s="79">
        <f t="shared" si="66"/>
        <v>14.025225724374966</v>
      </c>
      <c r="Q116" s="79">
        <f t="shared" si="66"/>
        <v>10.939676065012474</v>
      </c>
      <c r="R116" s="498">
        <f t="shared" si="66"/>
        <v>8.5329473307097299</v>
      </c>
      <c r="S116" s="498">
        <f>R55*$C129*P132</f>
        <v>8.1062999641742426</v>
      </c>
      <c r="T116" s="498">
        <f t="shared" si="66"/>
        <v>7.7009849659655298</v>
      </c>
      <c r="U116" s="498">
        <f t="shared" si="66"/>
        <v>7.3159357176672524</v>
      </c>
      <c r="V116" s="502">
        <f>U55*$C129*S132</f>
        <v>6.95013893178389</v>
      </c>
      <c r="W116" s="110">
        <f t="shared" si="66"/>
        <v>6.6026319851946944</v>
      </c>
      <c r="X116" s="110">
        <f t="shared" si="66"/>
        <v>6.2725003859349595</v>
      </c>
      <c r="Y116" s="110">
        <f t="shared" si="66"/>
        <v>5.9588753666382113</v>
      </c>
      <c r="Z116" s="110">
        <f t="shared" si="66"/>
        <v>5.6609315983063011</v>
      </c>
      <c r="AA116" s="110">
        <f t="shared" si="66"/>
        <v>5.3778850183909856</v>
      </c>
    </row>
    <row r="117" spans="1:28" s="76" customFormat="1" x14ac:dyDescent="0.15">
      <c r="A117" s="41"/>
      <c r="B117" s="41"/>
      <c r="C117" s="47" t="s">
        <v>105</v>
      </c>
      <c r="D117" s="43"/>
      <c r="E117" s="46" t="s">
        <v>90</v>
      </c>
      <c r="F117" s="41"/>
      <c r="G117" s="79">
        <f>F57*$C130</f>
        <v>66.777600000000007</v>
      </c>
      <c r="H117" s="79">
        <f>G57*$C130*0.89</f>
        <v>73.21287384</v>
      </c>
      <c r="I117" s="79">
        <f>H57*D$135*$C130</f>
        <v>78.066311544000001</v>
      </c>
      <c r="J117" s="79">
        <f t="shared" ref="J117:Q117" si="67">I57*G132*$C$130</f>
        <v>61.638661473172995</v>
      </c>
      <c r="K117" s="79">
        <f t="shared" si="67"/>
        <v>61.419844224943226</v>
      </c>
      <c r="L117" s="46">
        <f>K57*I132*$C$130</f>
        <v>58.703770970681632</v>
      </c>
      <c r="M117" s="79">
        <f t="shared" si="67"/>
        <v>52.628055576856447</v>
      </c>
      <c r="N117" s="79">
        <f t="shared" si="67"/>
        <v>45.354573820158798</v>
      </c>
      <c r="O117" s="79">
        <f t="shared" si="67"/>
        <v>40.803333046453503</v>
      </c>
      <c r="P117" s="79">
        <f t="shared" si="67"/>
        <v>36.708800181907989</v>
      </c>
      <c r="Q117" s="79">
        <f t="shared" si="67"/>
        <v>32.700039420970683</v>
      </c>
      <c r="R117" s="79">
        <f t="shared" ref="R117:AA117" si="68">Q57*O$132*$C$130</f>
        <v>30.224646436803351</v>
      </c>
      <c r="S117" s="79">
        <f t="shared" si="68"/>
        <v>28.713414114963182</v>
      </c>
      <c r="T117" s="79">
        <f t="shared" si="68"/>
        <v>27.27774340921502</v>
      </c>
      <c r="U117" s="79">
        <f t="shared" si="68"/>
        <v>25.913856238754267</v>
      </c>
      <c r="V117" s="46">
        <f>U57*S$132*$C$130</f>
        <v>24.618163426816555</v>
      </c>
      <c r="W117" s="79">
        <f t="shared" si="68"/>
        <v>23.387255255475722</v>
      </c>
      <c r="X117" s="79">
        <f t="shared" si="68"/>
        <v>22.217892492701935</v>
      </c>
      <c r="Y117" s="79">
        <f t="shared" si="68"/>
        <v>21.106997868066838</v>
      </c>
      <c r="Z117" s="79">
        <f t="shared" si="68"/>
        <v>20.051647974663496</v>
      </c>
      <c r="AA117" s="79">
        <f t="shared" si="68"/>
        <v>19.049065575930324</v>
      </c>
    </row>
    <row r="118" spans="1:28" s="76" customFormat="1" x14ac:dyDescent="0.15">
      <c r="A118" s="41"/>
      <c r="B118" s="41"/>
      <c r="C118" s="41" t="s">
        <v>88</v>
      </c>
      <c r="D118" s="43"/>
      <c r="E118" s="46"/>
      <c r="F118" s="41"/>
      <c r="G118" s="79"/>
      <c r="H118" s="79"/>
      <c r="I118" s="79"/>
      <c r="J118" s="79"/>
      <c r="K118" s="79"/>
      <c r="L118" s="46"/>
      <c r="M118" s="79"/>
      <c r="N118" s="79"/>
      <c r="O118" s="79"/>
      <c r="P118" s="79"/>
      <c r="Q118" s="79"/>
      <c r="R118" s="110">
        <f>Q59*O$132*$C$130</f>
        <v>28.57977427014983</v>
      </c>
      <c r="S118" s="110">
        <f>R59*P$132*$C$130</f>
        <v>27.15078555664234</v>
      </c>
      <c r="T118" s="110">
        <f t="shared" ref="T118:AA118" si="69">S59*Q$132*$C$130</f>
        <v>25.793246278810219</v>
      </c>
      <c r="U118" s="110">
        <f t="shared" si="69"/>
        <v>24.503583964869708</v>
      </c>
      <c r="V118" s="502">
        <f>U59*S$132*$C$130</f>
        <v>23.27840476662622</v>
      </c>
      <c r="W118" s="110">
        <f t="shared" si="69"/>
        <v>22.114484528294909</v>
      </c>
      <c r="X118" s="110">
        <f t="shared" si="69"/>
        <v>21.008760301880159</v>
      </c>
      <c r="Y118" s="110">
        <f t="shared" si="69"/>
        <v>19.958322286786156</v>
      </c>
      <c r="Z118" s="110">
        <f t="shared" si="69"/>
        <v>18.960406172446845</v>
      </c>
      <c r="AA118" s="110">
        <f t="shared" si="69"/>
        <v>18.012385863824502</v>
      </c>
    </row>
    <row r="119" spans="1:28" s="76" customFormat="1" x14ac:dyDescent="0.15">
      <c r="A119" s="41"/>
      <c r="B119" s="41"/>
      <c r="C119" s="47" t="s">
        <v>101</v>
      </c>
      <c r="D119" s="43"/>
      <c r="E119" s="46"/>
      <c r="F119" s="41"/>
      <c r="G119" s="79">
        <f>F62*$C$131</f>
        <v>5.5679999999999996</v>
      </c>
      <c r="H119" s="79">
        <f>G62*$C$131*0.89</f>
        <v>10.034928000000001</v>
      </c>
      <c r="I119" s="79">
        <f>H62*$C$131*D$135</f>
        <v>15.634944000000003</v>
      </c>
      <c r="J119" s="79">
        <f t="shared" ref="J119:AA119" si="70">I62*$C$131*G$132</f>
        <v>16.118063769599999</v>
      </c>
      <c r="K119" s="79">
        <f t="shared" si="70"/>
        <v>16.951711166207996</v>
      </c>
      <c r="L119" s="46">
        <f>K62*$C$131*I$132</f>
        <v>16.5279183870528</v>
      </c>
      <c r="M119" s="79">
        <f t="shared" si="70"/>
        <v>16.238152328522343</v>
      </c>
      <c r="N119" s="79">
        <f>M62*$C$131*K$132</f>
        <v>13.692712233781002</v>
      </c>
      <c r="O119" s="79">
        <f t="shared" si="70"/>
        <v>13.499918845529368</v>
      </c>
      <c r="P119" s="79">
        <f t="shared" si="70"/>
        <v>10.918228115307445</v>
      </c>
      <c r="Q119" s="79">
        <f t="shared" si="70"/>
        <v>8.9704162195365988</v>
      </c>
      <c r="R119" s="79">
        <f t="shared" si="70"/>
        <v>7.8965292492549297</v>
      </c>
      <c r="S119" s="79">
        <f t="shared" si="70"/>
        <v>7.5017027867921833</v>
      </c>
      <c r="T119" s="79">
        <f t="shared" si="70"/>
        <v>7.1266176474525738</v>
      </c>
      <c r="U119" s="79">
        <f t="shared" si="70"/>
        <v>6.7702867650799439</v>
      </c>
      <c r="V119" s="46">
        <f t="shared" si="70"/>
        <v>6.4317724268259466</v>
      </c>
      <c r="W119" s="79">
        <f t="shared" si="70"/>
        <v>6.1101838054846489</v>
      </c>
      <c r="X119" s="79">
        <f t="shared" si="70"/>
        <v>5.8046746152104163</v>
      </c>
      <c r="Y119" s="79">
        <f t="shared" si="70"/>
        <v>5.5144408844498951</v>
      </c>
      <c r="Z119" s="79">
        <f t="shared" si="70"/>
        <v>5.2387188402274001</v>
      </c>
      <c r="AA119" s="79">
        <f t="shared" si="70"/>
        <v>4.9767828982160305</v>
      </c>
    </row>
    <row r="120" spans="1:28" s="76" customFormat="1" x14ac:dyDescent="0.15">
      <c r="A120" s="41"/>
      <c r="B120" s="41"/>
      <c r="C120" s="41" t="s">
        <v>88</v>
      </c>
      <c r="D120" s="43"/>
      <c r="E120" s="46"/>
      <c r="F120" s="41"/>
      <c r="G120" s="79"/>
      <c r="H120" s="79"/>
      <c r="I120" s="79"/>
      <c r="J120" s="79"/>
      <c r="K120" s="79"/>
      <c r="L120" s="46"/>
      <c r="M120" s="79"/>
      <c r="N120" s="79"/>
      <c r="O120" s="79"/>
      <c r="P120" s="79"/>
      <c r="Q120" s="79"/>
      <c r="R120" s="110">
        <f t="shared" ref="R120:AA120" si="71">Q64*$C$131*O$132</f>
        <v>7.4667878723814889</v>
      </c>
      <c r="S120" s="110">
        <f t="shared" si="71"/>
        <v>7.0934484787624141</v>
      </c>
      <c r="T120" s="110">
        <f t="shared" si="71"/>
        <v>6.7387760548242923</v>
      </c>
      <c r="U120" s="110">
        <f t="shared" si="71"/>
        <v>6.4018372520830775</v>
      </c>
      <c r="V120" s="502">
        <f>U64*$C$131*S$132</f>
        <v>6.0817453894789235</v>
      </c>
      <c r="W120" s="110">
        <f t="shared" si="71"/>
        <v>5.7776581200049764</v>
      </c>
      <c r="X120" s="110">
        <f t="shared" si="71"/>
        <v>5.4887752140047272</v>
      </c>
      <c r="Y120" s="110">
        <f t="shared" si="71"/>
        <v>5.2143364533044911</v>
      </c>
      <c r="Z120" s="110">
        <f t="shared" si="71"/>
        <v>4.9536196306392668</v>
      </c>
      <c r="AA120" s="110">
        <f t="shared" si="71"/>
        <v>4.7059386491073028</v>
      </c>
    </row>
    <row r="121" spans="1:28" s="76" customFormat="1" x14ac:dyDescent="0.15">
      <c r="A121" s="41"/>
      <c r="B121" s="41"/>
      <c r="C121" s="47" t="s">
        <v>102</v>
      </c>
      <c r="D121" s="43"/>
      <c r="E121" s="46" t="s">
        <v>90</v>
      </c>
      <c r="F121" s="41" t="s">
        <v>14</v>
      </c>
      <c r="G121" s="79">
        <f>F67*$C132</f>
        <v>6.9120000000000001E-2</v>
      </c>
      <c r="H121" s="79">
        <f>G67*$C132*0.89</f>
        <v>0.2076192</v>
      </c>
      <c r="I121" s="79">
        <f>H67*D135*$C132</f>
        <v>0.55598400000000003</v>
      </c>
      <c r="J121" s="79">
        <f t="shared" ref="J121:Q121" si="72">I67*G132*$C132</f>
        <v>1.1480361984</v>
      </c>
      <c r="K121" s="79">
        <f t="shared" si="72"/>
        <v>2.98489411584</v>
      </c>
      <c r="L121" s="46">
        <f>K67*I132*$C132</f>
        <v>5.3736089337216013</v>
      </c>
      <c r="M121" s="79">
        <f t="shared" si="72"/>
        <v>7.7991125715809293</v>
      </c>
      <c r="N121" s="79">
        <f t="shared" si="72"/>
        <v>10.623656043450778</v>
      </c>
      <c r="O121" s="79">
        <f t="shared" si="72"/>
        <v>13.965433288478655</v>
      </c>
      <c r="P121" s="79">
        <f t="shared" si="72"/>
        <v>18.609393733479685</v>
      </c>
      <c r="Q121" s="79">
        <f t="shared" si="72"/>
        <v>23.862190928816567</v>
      </c>
      <c r="R121" s="79">
        <f>Q67*O$132*$C$132</f>
        <v>29.73451703512546</v>
      </c>
      <c r="S121" s="79">
        <f t="shared" ref="S121:AA121" si="73">R67*P132*$C132</f>
        <v>39.236492368987527</v>
      </c>
      <c r="T121" s="79">
        <f t="shared" si="73"/>
        <v>55.213101605484638</v>
      </c>
      <c r="U121" s="79">
        <f t="shared" si="73"/>
        <v>71.824883441854766</v>
      </c>
      <c r="V121" s="46">
        <f>U67*S132*$C132</f>
        <v>91.223126962189568</v>
      </c>
      <c r="W121" s="79">
        <f t="shared" si="73"/>
        <v>86.66197061408009</v>
      </c>
      <c r="X121" s="79">
        <f t="shared" si="73"/>
        <v>82.328872083376083</v>
      </c>
      <c r="Y121" s="79">
        <f t="shared" si="73"/>
        <v>78.212428479207261</v>
      </c>
      <c r="Z121" s="79">
        <f t="shared" si="73"/>
        <v>74.301807055246897</v>
      </c>
      <c r="AA121" s="79">
        <f t="shared" si="73"/>
        <v>70.586716702484551</v>
      </c>
    </row>
    <row r="122" spans="1:28" s="76" customFormat="1" x14ac:dyDescent="0.15">
      <c r="A122" s="41"/>
      <c r="B122" s="41"/>
      <c r="C122" s="41" t="s">
        <v>88</v>
      </c>
      <c r="D122" s="43"/>
      <c r="E122" s="46"/>
      <c r="F122" s="41"/>
      <c r="G122" s="79"/>
      <c r="H122" s="79"/>
      <c r="I122" s="79"/>
      <c r="J122" s="79"/>
      <c r="K122" s="79"/>
      <c r="L122" s="46"/>
      <c r="M122" s="79"/>
      <c r="N122" s="79"/>
      <c r="O122" s="79"/>
      <c r="P122" s="79"/>
      <c r="Q122" s="79"/>
      <c r="R122" s="110">
        <f>Q69*O$132*$C$132</f>
        <v>28.116318471174431</v>
      </c>
      <c r="S122" s="110">
        <f>R69*P$132*$C$132</f>
        <v>35.222640722130606</v>
      </c>
      <c r="T122" s="110">
        <f t="shared" ref="T122:AA122" si="74">S69*Q$132*$C$132</f>
        <v>47.055246589721357</v>
      </c>
      <c r="U122" s="110">
        <f t="shared" si="74"/>
        <v>58.113229538305852</v>
      </c>
      <c r="V122" s="502">
        <f>U69*S$132*$C$132</f>
        <v>70.071144077918817</v>
      </c>
      <c r="W122" s="110">
        <f t="shared" si="74"/>
        <v>66.567586874022865</v>
      </c>
      <c r="X122" s="110">
        <f t="shared" si="74"/>
        <v>63.239207530321721</v>
      </c>
      <c r="Y122" s="110">
        <f t="shared" si="74"/>
        <v>60.077247153805629</v>
      </c>
      <c r="Z122" s="110">
        <f t="shared" si="74"/>
        <v>57.073384796115349</v>
      </c>
      <c r="AA122" s="110">
        <f t="shared" si="74"/>
        <v>54.219715556309581</v>
      </c>
    </row>
    <row r="123" spans="1:28" s="76" customFormat="1" x14ac:dyDescent="0.15">
      <c r="A123" s="41"/>
      <c r="B123" s="41"/>
      <c r="C123" s="47" t="s">
        <v>100</v>
      </c>
      <c r="D123" s="43"/>
      <c r="E123" s="46" t="s">
        <v>90</v>
      </c>
      <c r="F123" s="41"/>
      <c r="G123" s="79">
        <f>F72*$C$133</f>
        <v>6.3948846218409015E-18</v>
      </c>
      <c r="H123" s="79">
        <f>G72*$C$133*0.89</f>
        <v>-1.072699199999978E-3</v>
      </c>
      <c r="I123" s="79">
        <f>H72*$C$133*D135</f>
        <v>-2.3401872000000255E-4</v>
      </c>
      <c r="J123" s="79">
        <f t="shared" ref="J123:AA123" si="75">I72*$C$133*G132</f>
        <v>-1.551483452712952E-3</v>
      </c>
      <c r="K123" s="79">
        <f t="shared" si="75"/>
        <v>-2.5906886269998347E-3</v>
      </c>
      <c r="L123" s="46">
        <f t="shared" si="75"/>
        <v>2.5066763363389647E-3</v>
      </c>
      <c r="M123" s="46">
        <f t="shared" si="75"/>
        <v>-1.3523497487709746E-3</v>
      </c>
      <c r="N123" s="46">
        <f t="shared" si="75"/>
        <v>-2.7235839231983575E-3</v>
      </c>
      <c r="O123" s="455">
        <f t="shared" si="75"/>
        <v>3.6595993400360674E-3</v>
      </c>
      <c r="P123" s="46">
        <f t="shared" si="75"/>
        <v>5.013465863934528E-3</v>
      </c>
      <c r="Q123" s="46">
        <f t="shared" si="75"/>
        <v>2.6513545476463167E-2</v>
      </c>
      <c r="R123" s="46">
        <f t="shared" si="75"/>
        <v>8.1688233612981734E-2</v>
      </c>
      <c r="S123" s="46">
        <f t="shared" si="75"/>
        <v>0.77914237220062244</v>
      </c>
      <c r="T123" s="46">
        <f t="shared" si="75"/>
        <v>1.6487552800099587</v>
      </c>
      <c r="U123" s="46">
        <f t="shared" si="75"/>
        <v>3.6853963556279608</v>
      </c>
      <c r="V123" s="46">
        <f>U72*$C$133*S132</f>
        <v>7.2907178880595005</v>
      </c>
      <c r="W123" s="79">
        <f t="shared" si="75"/>
        <v>16.065080712959514</v>
      </c>
      <c r="X123" s="79">
        <f t="shared" si="75"/>
        <v>28.979313654985326</v>
      </c>
      <c r="Y123" s="79">
        <f t="shared" si="75"/>
        <v>48.120295925724413</v>
      </c>
      <c r="Z123" s="79">
        <f t="shared" si="75"/>
        <v>76.619793007624239</v>
      </c>
      <c r="AA123" s="79">
        <f t="shared" si="75"/>
        <v>119.17797668640024</v>
      </c>
    </row>
    <row r="124" spans="1:28" s="76" customFormat="1" x14ac:dyDescent="0.15">
      <c r="A124" s="41"/>
      <c r="B124" s="41"/>
      <c r="C124" s="41" t="s">
        <v>88</v>
      </c>
      <c r="D124" s="43"/>
      <c r="E124" s="41"/>
      <c r="F124" s="41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110">
        <f t="shared" ref="R124:AA124" si="76">Q74*$C$133*O$132</f>
        <v>7.724263316256684E-2</v>
      </c>
      <c r="S124" s="110">
        <f t="shared" si="76"/>
        <v>0.69943693206129587</v>
      </c>
      <c r="T124" s="110">
        <f t="shared" si="76"/>
        <v>1.4051481262785452</v>
      </c>
      <c r="U124" s="110">
        <f t="shared" si="76"/>
        <v>2.9818396367830284</v>
      </c>
      <c r="V124" s="502">
        <f>U74*$C$133*S$132</f>
        <v>5.6002130224874191</v>
      </c>
      <c r="W124" s="110">
        <f t="shared" si="76"/>
        <v>11.715243975160533</v>
      </c>
      <c r="X124" s="110">
        <f t="shared" si="76"/>
        <v>20.062760699929861</v>
      </c>
      <c r="Y124" s="110">
        <f t="shared" si="76"/>
        <v>31.627514187488465</v>
      </c>
      <c r="Z124" s="110">
        <f t="shared" si="76"/>
        <v>47.809248394940688</v>
      </c>
      <c r="AA124" s="110">
        <f t="shared" si="76"/>
        <v>70.599418181664959</v>
      </c>
      <c r="AB124" s="261">
        <f>V124/U74</f>
        <v>3.1775054281499076E-3</v>
      </c>
    </row>
    <row r="125" spans="1:28" s="76" customFormat="1" x14ac:dyDescent="0.15">
      <c r="A125" s="41"/>
      <c r="B125" s="41"/>
      <c r="C125" s="41"/>
      <c r="D125" s="43"/>
      <c r="E125" s="41"/>
      <c r="F125" s="41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79"/>
      <c r="S125" s="79"/>
      <c r="T125" s="79"/>
      <c r="U125" s="79"/>
      <c r="V125" s="79"/>
      <c r="W125" s="79"/>
      <c r="X125" s="79"/>
      <c r="Y125" s="79"/>
      <c r="Z125" s="79"/>
      <c r="AA125" s="79"/>
    </row>
    <row r="126" spans="1:28" s="76" customFormat="1" ht="14" thickBot="1" x14ac:dyDescent="0.2">
      <c r="A126" s="41"/>
      <c r="B126" s="41"/>
      <c r="C126" s="41"/>
      <c r="D126" s="43"/>
      <c r="E126" s="41"/>
      <c r="F126" s="41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79"/>
      <c r="S126" s="79"/>
      <c r="T126" s="79"/>
      <c r="U126" s="79"/>
      <c r="V126" s="79"/>
      <c r="W126" s="79"/>
      <c r="X126" s="79"/>
      <c r="Y126" s="79"/>
      <c r="Z126" s="79"/>
      <c r="AA126" s="79"/>
    </row>
    <row r="127" spans="1:28" s="76" customFormat="1" x14ac:dyDescent="0.15">
      <c r="A127" s="41"/>
      <c r="B127" s="41"/>
      <c r="C127" s="41"/>
      <c r="D127" s="43"/>
      <c r="E127" s="41"/>
      <c r="F127" s="41"/>
      <c r="G127" s="62">
        <v>2010</v>
      </c>
      <c r="H127" s="62">
        <v>2011</v>
      </c>
      <c r="I127" s="62">
        <v>2012</v>
      </c>
      <c r="J127" s="62">
        <v>2013</v>
      </c>
      <c r="K127" s="62">
        <v>2014</v>
      </c>
      <c r="L127" s="469">
        <v>2015</v>
      </c>
      <c r="M127" s="470">
        <v>2016</v>
      </c>
      <c r="N127" s="470">
        <v>2017</v>
      </c>
      <c r="O127" s="470">
        <v>2018</v>
      </c>
      <c r="P127" s="470">
        <v>2019</v>
      </c>
      <c r="Q127" s="470">
        <v>2020</v>
      </c>
      <c r="R127" s="470">
        <v>2021</v>
      </c>
      <c r="S127" s="470">
        <v>2022</v>
      </c>
      <c r="T127" s="470">
        <v>2023</v>
      </c>
      <c r="U127" s="470">
        <v>2024</v>
      </c>
      <c r="V127" s="471">
        <v>2025</v>
      </c>
      <c r="W127" s="62">
        <v>2026</v>
      </c>
      <c r="X127" s="62">
        <v>2027</v>
      </c>
      <c r="Y127" s="62">
        <v>2028</v>
      </c>
      <c r="Z127" s="62">
        <v>2029</v>
      </c>
      <c r="AA127" s="62">
        <v>2030</v>
      </c>
    </row>
    <row r="128" spans="1:28" s="76" customFormat="1" ht="27" x14ac:dyDescent="0.2">
      <c r="A128" s="41" t="s">
        <v>109</v>
      </c>
      <c r="B128" s="41"/>
      <c r="C128" s="41"/>
      <c r="D128" s="127"/>
      <c r="E128" s="127"/>
      <c r="F128" s="189" t="s">
        <v>46</v>
      </c>
      <c r="G128" s="190">
        <f>SUM(G116:G123)</f>
        <v>203.6523670588235</v>
      </c>
      <c r="H128" s="190">
        <f t="shared" ref="H128:P128" si="77">SUM(H116:H123)</f>
        <v>200.25585422315291</v>
      </c>
      <c r="I128" s="190">
        <f>SUM(I116:I123)</f>
        <v>196.62237023116231</v>
      </c>
      <c r="J128" s="190">
        <f t="shared" si="77"/>
        <v>141.1822978447791</v>
      </c>
      <c r="K128" s="190">
        <f>SUM(K116:K123)</f>
        <v>129.93154737027007</v>
      </c>
      <c r="L128" s="480">
        <f>SUM(L116:L123)</f>
        <v>118.49840203827894</v>
      </c>
      <c r="M128" s="481">
        <f t="shared" si="77"/>
        <v>106.21863384219048</v>
      </c>
      <c r="N128" s="481">
        <f>SUM(N116:N123)</f>
        <v>92.720857771151429</v>
      </c>
      <c r="O128" s="481">
        <f>SUM(O116:O123)</f>
        <v>86.253403400795108</v>
      </c>
      <c r="P128" s="481">
        <f t="shared" si="77"/>
        <v>80.266661220934012</v>
      </c>
      <c r="Q128" s="481">
        <f>SUM(Q116:Q123)</f>
        <v>76.498836179812798</v>
      </c>
      <c r="R128" s="482">
        <f>R116+R117+R119+R121+R123</f>
        <v>76.470328285506454</v>
      </c>
      <c r="S128" s="482">
        <f>S116+S117+S119+S121+S123</f>
        <v>84.337051607117758</v>
      </c>
      <c r="T128" s="482">
        <f t="shared" ref="T128:U128" si="78">T116+T117+T119+T121+T123</f>
        <v>98.967202908127732</v>
      </c>
      <c r="U128" s="482">
        <f t="shared" si="78"/>
        <v>115.51035851898419</v>
      </c>
      <c r="V128" s="482">
        <f>V116+V117+V119+V121+V123</f>
        <v>136.51391963567548</v>
      </c>
      <c r="W128" s="482">
        <f t="shared" ref="W128:AA128" si="79">W116+W117+W119+W121+W123</f>
        <v>138.82712237319467</v>
      </c>
      <c r="X128" s="482">
        <f t="shared" si="79"/>
        <v>145.60325323220871</v>
      </c>
      <c r="Y128" s="482">
        <f t="shared" si="79"/>
        <v>158.9130385240866</v>
      </c>
      <c r="Z128" s="482">
        <f t="shared" si="79"/>
        <v>181.87289847606831</v>
      </c>
      <c r="AA128" s="482">
        <f t="shared" si="79"/>
        <v>219.16842688142214</v>
      </c>
    </row>
    <row r="129" spans="1:27" s="76" customFormat="1" ht="15" x14ac:dyDescent="0.2">
      <c r="A129" s="41"/>
      <c r="B129" s="41" t="s">
        <v>111</v>
      </c>
      <c r="C129" s="41">
        <v>7</v>
      </c>
      <c r="D129" s="127"/>
      <c r="E129" s="127"/>
      <c r="F129" s="191" t="s">
        <v>47</v>
      </c>
      <c r="G129" s="134">
        <f>E299+E340</f>
        <v>204.1</v>
      </c>
      <c r="H129" s="134">
        <f t="shared" ref="H129:Z129" si="80">F299+F340</f>
        <v>224.4</v>
      </c>
      <c r="I129" s="134">
        <f t="shared" si="80"/>
        <v>247.64000000000001</v>
      </c>
      <c r="J129" s="134">
        <f t="shared" si="80"/>
        <v>296.17891276595742</v>
      </c>
      <c r="K129" s="134">
        <f t="shared" si="80"/>
        <v>356.44877506914895</v>
      </c>
      <c r="L129" s="134">
        <f>J298+J339</f>
        <v>198.3671099684322</v>
      </c>
      <c r="M129" s="134">
        <f t="shared" ref="M129:V129" si="81">K298+K339</f>
        <v>213.03385146879057</v>
      </c>
      <c r="N129" s="134">
        <f t="shared" si="81"/>
        <v>225.83816848727943</v>
      </c>
      <c r="O129" s="134">
        <f t="shared" si="81"/>
        <v>240.28343015166737</v>
      </c>
      <c r="P129" s="134">
        <f t="shared" si="81"/>
        <v>256.53274441764614</v>
      </c>
      <c r="Q129" s="134">
        <f t="shared" si="81"/>
        <v>274.76663050445103</v>
      </c>
      <c r="R129" s="134">
        <f t="shared" si="81"/>
        <v>295.18483824475891</v>
      </c>
      <c r="S129" s="134">
        <f t="shared" si="81"/>
        <v>355.42110682721705</v>
      </c>
      <c r="T129" s="134">
        <f t="shared" si="81"/>
        <v>429.05492854893282</v>
      </c>
      <c r="U129" s="134">
        <f t="shared" si="81"/>
        <v>519.17181688948926</v>
      </c>
      <c r="V129" s="134">
        <f t="shared" si="81"/>
        <v>629.57715934099588</v>
      </c>
      <c r="W129" s="134">
        <f t="shared" si="80"/>
        <v>0</v>
      </c>
      <c r="X129" s="134">
        <f t="shared" si="80"/>
        <v>0</v>
      </c>
      <c r="Y129" s="134">
        <f t="shared" si="80"/>
        <v>0</v>
      </c>
      <c r="Z129" s="134">
        <f t="shared" si="80"/>
        <v>0</v>
      </c>
      <c r="AA129" s="483">
        <f t="shared" ref="AA129" si="82">AA174+AA192</f>
        <v>0</v>
      </c>
    </row>
    <row r="130" spans="1:27" s="76" customFormat="1" ht="16" thickBot="1" x14ac:dyDescent="0.25">
      <c r="A130" s="41"/>
      <c r="B130" s="41" t="s">
        <v>112</v>
      </c>
      <c r="C130" s="41">
        <v>37</v>
      </c>
      <c r="D130" s="127"/>
      <c r="E130" s="127"/>
      <c r="F130" s="194" t="s">
        <v>59</v>
      </c>
      <c r="G130" s="195">
        <f>SUM(G128:G129)</f>
        <v>407.75236705882349</v>
      </c>
      <c r="H130" s="195">
        <f t="shared" ref="H130:P130" si="83">SUM(H128:H129)</f>
        <v>424.65585422315291</v>
      </c>
      <c r="I130" s="195">
        <f t="shared" si="83"/>
        <v>444.26237023116232</v>
      </c>
      <c r="J130" s="195">
        <f t="shared" si="83"/>
        <v>437.36121061073652</v>
      </c>
      <c r="K130" s="195">
        <f t="shared" si="83"/>
        <v>486.38032243941905</v>
      </c>
      <c r="L130" s="484">
        <f t="shared" si="83"/>
        <v>316.86551200671113</v>
      </c>
      <c r="M130" s="485">
        <f t="shared" si="83"/>
        <v>319.25248531098106</v>
      </c>
      <c r="N130" s="485">
        <f t="shared" si="83"/>
        <v>318.55902625843089</v>
      </c>
      <c r="O130" s="485">
        <f t="shared" si="83"/>
        <v>326.5368335524625</v>
      </c>
      <c r="P130" s="485">
        <f t="shared" si="83"/>
        <v>336.79940563858014</v>
      </c>
      <c r="Q130" s="485">
        <f>SUM(Q128:Q129)</f>
        <v>351.26546668426386</v>
      </c>
      <c r="R130" s="485">
        <f t="shared" ref="R130:Z130" si="84">SUM(R128:R129)</f>
        <v>371.65516653026538</v>
      </c>
      <c r="S130" s="485">
        <f t="shared" si="84"/>
        <v>439.7581584343348</v>
      </c>
      <c r="T130" s="485">
        <f t="shared" si="84"/>
        <v>528.0221314570606</v>
      </c>
      <c r="U130" s="485">
        <f t="shared" si="84"/>
        <v>634.68217540847343</v>
      </c>
      <c r="V130" s="486">
        <f t="shared" si="84"/>
        <v>766.09107897667138</v>
      </c>
      <c r="W130" s="195">
        <f t="shared" si="84"/>
        <v>138.82712237319467</v>
      </c>
      <c r="X130" s="195">
        <f t="shared" si="84"/>
        <v>145.60325323220871</v>
      </c>
      <c r="Y130" s="195">
        <f t="shared" si="84"/>
        <v>158.9130385240866</v>
      </c>
      <c r="Z130" s="195">
        <f t="shared" si="84"/>
        <v>181.87289847606831</v>
      </c>
      <c r="AA130" s="195">
        <f>SUM(AA128:AA129)</f>
        <v>219.16842688142214</v>
      </c>
    </row>
    <row r="131" spans="1:27" s="76" customFormat="1" ht="15" x14ac:dyDescent="0.2">
      <c r="A131" s="30"/>
      <c r="B131" s="41" t="s">
        <v>113</v>
      </c>
      <c r="C131" s="41">
        <v>2.9</v>
      </c>
      <c r="D131" s="127"/>
      <c r="E131" s="127"/>
      <c r="F131" s="191"/>
      <c r="G131" s="191"/>
      <c r="H131" s="191"/>
      <c r="I131" s="191"/>
      <c r="J131" s="132"/>
      <c r="K131" s="132"/>
      <c r="L131" s="132"/>
      <c r="M131" s="132"/>
      <c r="N131" s="132"/>
      <c r="O131" s="132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</row>
    <row r="132" spans="1:27" s="76" customFormat="1" ht="15" x14ac:dyDescent="0.2">
      <c r="A132" s="41"/>
      <c r="B132" s="41" t="s">
        <v>114</v>
      </c>
      <c r="C132" s="41">
        <v>0.6</v>
      </c>
      <c r="D132" s="76">
        <v>1</v>
      </c>
      <c r="E132" s="127">
        <f t="shared" ref="E132:N132" si="85">D132*$D$135</f>
        <v>0.78</v>
      </c>
      <c r="F132" s="127">
        <f t="shared" si="85"/>
        <v>0.60840000000000005</v>
      </c>
      <c r="G132" s="127">
        <f>F132*$D$135</f>
        <v>0.47455200000000003</v>
      </c>
      <c r="H132" s="127">
        <f t="shared" si="85"/>
        <v>0.37015056000000002</v>
      </c>
      <c r="I132" s="127">
        <f>H132*$D$135</f>
        <v>0.2887174368</v>
      </c>
      <c r="J132" s="127">
        <f t="shared" si="85"/>
        <v>0.22519960070400002</v>
      </c>
      <c r="K132" s="127">
        <f t="shared" si="85"/>
        <v>0.17565568854912003</v>
      </c>
      <c r="L132" s="127">
        <f t="shared" si="85"/>
        <v>0.13701143706831362</v>
      </c>
      <c r="M132" s="127">
        <f t="shared" si="85"/>
        <v>0.10686892091328462</v>
      </c>
      <c r="N132" s="127">
        <f t="shared" si="85"/>
        <v>8.3357758312362001E-2</v>
      </c>
      <c r="O132" s="127">
        <f>N132*$D$135</f>
        <v>6.5019051483642357E-2</v>
      </c>
      <c r="P132" s="127">
        <f>O132*$D$136</f>
        <v>6.1768098909460237E-2</v>
      </c>
      <c r="Q132" s="127">
        <f t="shared" ref="Q132:X132" si="86">P132*$D$136</f>
        <v>5.8679693963987221E-2</v>
      </c>
      <c r="R132" s="127">
        <f t="shared" si="86"/>
        <v>5.5745709265787854E-2</v>
      </c>
      <c r="S132" s="127">
        <f t="shared" si="86"/>
        <v>5.2958423802498461E-2</v>
      </c>
      <c r="T132" s="127">
        <f t="shared" si="86"/>
        <v>5.0310502612373534E-2</v>
      </c>
      <c r="U132" s="127">
        <f t="shared" si="86"/>
        <v>4.7794977481754854E-2</v>
      </c>
      <c r="V132" s="127">
        <f t="shared" si="86"/>
        <v>4.540522860766711E-2</v>
      </c>
      <c r="W132" s="127">
        <f t="shared" si="86"/>
        <v>4.3134967177283753E-2</v>
      </c>
      <c r="X132" s="127">
        <f t="shared" si="86"/>
        <v>4.0978218818419565E-2</v>
      </c>
      <c r="Y132" s="193"/>
      <c r="Z132" s="193"/>
      <c r="AA132" s="193"/>
    </row>
    <row r="133" spans="1:27" s="76" customFormat="1" x14ac:dyDescent="0.15">
      <c r="A133" s="41"/>
      <c r="B133" s="41" t="s">
        <v>115</v>
      </c>
      <c r="C133" s="41">
        <v>0.06</v>
      </c>
      <c r="D133" s="41">
        <v>2010</v>
      </c>
      <c r="E133" s="76">
        <v>2011</v>
      </c>
      <c r="F133" s="112">
        <v>2012</v>
      </c>
      <c r="G133" s="112">
        <v>2013</v>
      </c>
      <c r="H133" s="112">
        <v>2014</v>
      </c>
      <c r="I133" s="112">
        <v>2015</v>
      </c>
      <c r="J133" s="112">
        <v>2016</v>
      </c>
      <c r="K133" s="112">
        <v>2017</v>
      </c>
      <c r="L133" s="112">
        <v>2018</v>
      </c>
      <c r="M133" s="112">
        <v>2019</v>
      </c>
      <c r="N133" s="112">
        <v>2020</v>
      </c>
      <c r="O133" s="112">
        <v>2021</v>
      </c>
      <c r="P133" s="112">
        <v>2022</v>
      </c>
      <c r="Q133" s="112">
        <v>2023</v>
      </c>
      <c r="R133" s="112">
        <v>2024</v>
      </c>
      <c r="S133" s="112">
        <v>2025</v>
      </c>
      <c r="T133" s="112">
        <v>2026</v>
      </c>
      <c r="U133" s="112">
        <v>2027</v>
      </c>
      <c r="V133" s="112">
        <v>2028</v>
      </c>
      <c r="W133" s="112">
        <v>2029</v>
      </c>
      <c r="X133" s="112">
        <v>2030</v>
      </c>
      <c r="Y133" s="30"/>
      <c r="Z133" s="30"/>
      <c r="AA133" s="30"/>
    </row>
    <row r="134" spans="1:27" s="76" customFormat="1" ht="27" x14ac:dyDescent="0.2">
      <c r="A134" s="73"/>
      <c r="B134" s="73"/>
      <c r="C134" s="65" t="s">
        <v>106</v>
      </c>
      <c r="D134" s="127" t="s">
        <v>50</v>
      </c>
      <c r="E134" s="74"/>
      <c r="G134" s="74"/>
      <c r="H134" s="74"/>
      <c r="I134" s="74" t="s">
        <v>320</v>
      </c>
      <c r="J134" s="74"/>
      <c r="K134" s="74"/>
      <c r="L134" s="74"/>
      <c r="M134" s="74"/>
      <c r="N134" s="75"/>
      <c r="O134" s="75">
        <f>0.78^11</f>
        <v>6.5019051483642384E-2</v>
      </c>
      <c r="P134" s="75"/>
      <c r="Q134" s="75"/>
      <c r="R134" s="75"/>
      <c r="S134" s="75">
        <f>0.95^4</f>
        <v>0.81450624999999999</v>
      </c>
      <c r="T134" s="75"/>
      <c r="U134" s="75"/>
      <c r="V134" s="75"/>
      <c r="W134" s="75"/>
      <c r="X134" s="75"/>
      <c r="Y134" s="75"/>
      <c r="Z134" s="75"/>
      <c r="AA134" s="75"/>
    </row>
    <row r="135" spans="1:27" s="76" customFormat="1" ht="15" x14ac:dyDescent="0.2">
      <c r="A135" s="73"/>
      <c r="B135" s="73"/>
      <c r="C135" s="74"/>
      <c r="D135" s="193">
        <v>0.78</v>
      </c>
      <c r="E135" s="74"/>
      <c r="F135" s="74"/>
      <c r="G135" s="74"/>
      <c r="H135" s="74"/>
      <c r="I135" s="74"/>
      <c r="J135" s="74"/>
      <c r="K135" s="74"/>
      <c r="L135" s="74"/>
      <c r="M135" s="74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</row>
    <row r="136" spans="1:27" s="76" customFormat="1" x14ac:dyDescent="0.15">
      <c r="A136" s="73"/>
      <c r="B136" s="73"/>
      <c r="C136" s="74"/>
      <c r="D136" s="74">
        <v>0.95</v>
      </c>
      <c r="E136" s="74"/>
      <c r="F136" s="74">
        <f>1.6*12*7*0.78^14</f>
        <v>4.1469013716030396</v>
      </c>
      <c r="G136" s="74"/>
      <c r="H136" s="74"/>
      <c r="I136" s="74"/>
      <c r="J136" s="74"/>
      <c r="K136" s="74"/>
      <c r="L136" s="74"/>
      <c r="M136" s="74"/>
      <c r="N136" s="75"/>
      <c r="O136" s="75">
        <f>0.78^11*0.95^4</f>
        <v>5.2958423802498496E-2</v>
      </c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</row>
    <row r="137" spans="1:27" s="76" customFormat="1" x14ac:dyDescent="0.15">
      <c r="A137" s="73"/>
      <c r="B137" s="73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</row>
    <row r="138" spans="1:27" s="76" customFormat="1" x14ac:dyDescent="0.15">
      <c r="A138" s="73"/>
      <c r="B138" s="73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</row>
    <row r="139" spans="1:27" s="76" customFormat="1" x14ac:dyDescent="0.15">
      <c r="A139" s="73"/>
      <c r="B139" s="73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</row>
    <row r="140" spans="1:27" x14ac:dyDescent="0.15">
      <c r="A140" s="41" t="s">
        <v>131</v>
      </c>
      <c r="B140" s="41"/>
      <c r="C140" s="47" t="s">
        <v>229</v>
      </c>
      <c r="D140" s="77"/>
      <c r="E140" s="46" t="s">
        <v>90</v>
      </c>
      <c r="F140" s="77"/>
      <c r="G140" s="78">
        <f>F55*$C$152</f>
        <v>262.47529411764697</v>
      </c>
      <c r="H140" s="78">
        <f>G55*$C$152*0.95</f>
        <v>249.3515294117646</v>
      </c>
      <c r="I140" s="78">
        <f t="shared" ref="I140:AA140" si="87">H55*$C$152*F$155</f>
        <v>236.22776470588227</v>
      </c>
      <c r="J140" s="78">
        <f t="shared" si="87"/>
        <v>212.60498823529406</v>
      </c>
      <c r="K140" s="78">
        <f t="shared" si="87"/>
        <v>191.34448941176467</v>
      </c>
      <c r="L140" s="78">
        <f t="shared" si="87"/>
        <v>172.21004047058821</v>
      </c>
      <c r="M140" s="78">
        <f t="shared" si="87"/>
        <v>154.9890364235294</v>
      </c>
      <c r="N140" s="78">
        <f t="shared" si="87"/>
        <v>139.49013278117647</v>
      </c>
      <c r="O140" s="78">
        <f t="shared" si="87"/>
        <v>125.54111950305881</v>
      </c>
      <c r="P140" s="78">
        <f t="shared" si="87"/>
        <v>112.98700755275294</v>
      </c>
      <c r="Q140" s="78">
        <f t="shared" si="87"/>
        <v>101.68830679747765</v>
      </c>
      <c r="R140" s="111">
        <f t="shared" si="87"/>
        <v>91.519476117729894</v>
      </c>
      <c r="S140" s="111">
        <f t="shared" si="87"/>
        <v>86.943502311843389</v>
      </c>
      <c r="T140" s="111">
        <f t="shared" si="87"/>
        <v>82.59632719625121</v>
      </c>
      <c r="U140" s="111">
        <f t="shared" si="87"/>
        <v>78.466510836438644</v>
      </c>
      <c r="V140" s="111">
        <f t="shared" si="87"/>
        <v>74.543185294616706</v>
      </c>
      <c r="W140" s="111">
        <f t="shared" si="87"/>
        <v>70.816026029885862</v>
      </c>
      <c r="X140" s="111">
        <f t="shared" si="87"/>
        <v>67.275224728391564</v>
      </c>
      <c r="Y140" s="111">
        <f t="shared" si="87"/>
        <v>63.911463491971986</v>
      </c>
      <c r="Z140" s="111">
        <f t="shared" si="87"/>
        <v>60.715890317373386</v>
      </c>
      <c r="AA140" s="111">
        <f t="shared" si="87"/>
        <v>57.680095801504706</v>
      </c>
    </row>
    <row r="141" spans="1:27" x14ac:dyDescent="0.15">
      <c r="A141" s="41"/>
      <c r="B141" s="41" t="s">
        <v>43</v>
      </c>
      <c r="C141" s="47" t="s">
        <v>105</v>
      </c>
      <c r="D141" s="43"/>
      <c r="E141" s="46" t="s">
        <v>90</v>
      </c>
      <c r="F141" s="41"/>
      <c r="G141" s="79">
        <f>F57*$C$153</f>
        <v>72.192000000000007</v>
      </c>
      <c r="H141" s="79">
        <f>G57*$C$153*0.95</f>
        <v>84.484943999999999</v>
      </c>
      <c r="I141" s="79">
        <f t="shared" ref="I141:AA141" si="88">H57*$C$153*F$155</f>
        <v>97.380014399999993</v>
      </c>
      <c r="J141" s="79">
        <f t="shared" si="88"/>
        <v>113.73985681919999</v>
      </c>
      <c r="K141" s="79">
        <f t="shared" si="88"/>
        <v>130.77240037787521</v>
      </c>
      <c r="L141" s="79">
        <f t="shared" si="88"/>
        <v>144.21860540244319</v>
      </c>
      <c r="M141" s="79">
        <f t="shared" si="88"/>
        <v>149.18340760544643</v>
      </c>
      <c r="N141" s="79">
        <f t="shared" si="88"/>
        <v>148.3447549356645</v>
      </c>
      <c r="O141" s="79">
        <f t="shared" si="88"/>
        <v>153.99075630851584</v>
      </c>
      <c r="P141" s="79">
        <f t="shared" si="88"/>
        <v>159.85164449361798</v>
      </c>
      <c r="Q141" s="79">
        <f t="shared" si="88"/>
        <v>164.30209515509645</v>
      </c>
      <c r="R141" s="79">
        <f t="shared" si="88"/>
        <v>175.22818448291127</v>
      </c>
      <c r="S141" s="79">
        <f t="shared" si="88"/>
        <v>166.46677525876569</v>
      </c>
      <c r="T141" s="79">
        <f t="shared" si="88"/>
        <v>158.14343649582739</v>
      </c>
      <c r="U141" s="79">
        <f t="shared" si="88"/>
        <v>150.23626467103603</v>
      </c>
      <c r="V141" s="79">
        <f t="shared" si="88"/>
        <v>142.72445143748419</v>
      </c>
      <c r="W141" s="79">
        <f t="shared" si="88"/>
        <v>135.58822886560998</v>
      </c>
      <c r="X141" s="79">
        <f t="shared" si="88"/>
        <v>128.80881742232947</v>
      </c>
      <c r="Y141" s="79">
        <f t="shared" si="88"/>
        <v>122.36837655121299</v>
      </c>
      <c r="Z141" s="79">
        <f t="shared" si="88"/>
        <v>116.24995772365233</v>
      </c>
      <c r="AA141" s="79">
        <f t="shared" si="88"/>
        <v>110.43745983746972</v>
      </c>
    </row>
    <row r="142" spans="1:27" x14ac:dyDescent="0.15">
      <c r="A142" s="41"/>
      <c r="B142" s="41"/>
      <c r="C142" s="41" t="s">
        <v>98</v>
      </c>
      <c r="D142" s="43"/>
      <c r="E142" s="46"/>
      <c r="F142" s="41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110">
        <f t="shared" ref="R142:AA142" si="89">Q60*$C$153*O$155</f>
        <v>176.73812771788806</v>
      </c>
      <c r="S142" s="110">
        <f t="shared" si="89"/>
        <v>167.90122133199364</v>
      </c>
      <c r="T142" s="110">
        <f t="shared" si="89"/>
        <v>159.50616026539396</v>
      </c>
      <c r="U142" s="110">
        <f t="shared" si="89"/>
        <v>151.53085225212425</v>
      </c>
      <c r="V142" s="110">
        <f t="shared" si="89"/>
        <v>143.95430963951802</v>
      </c>
      <c r="W142" s="110">
        <f t="shared" si="89"/>
        <v>136.75659415754211</v>
      </c>
      <c r="X142" s="110">
        <f t="shared" si="89"/>
        <v>129.91876444966499</v>
      </c>
      <c r="Y142" s="110">
        <f t="shared" si="89"/>
        <v>123.42282622718174</v>
      </c>
      <c r="Z142" s="110">
        <f t="shared" si="89"/>
        <v>117.25168491582265</v>
      </c>
      <c r="AA142" s="110">
        <f t="shared" si="89"/>
        <v>111.38910067003151</v>
      </c>
    </row>
    <row r="143" spans="1:27" x14ac:dyDescent="0.15">
      <c r="A143" s="41"/>
      <c r="B143" s="41"/>
      <c r="C143" s="47" t="s">
        <v>101</v>
      </c>
      <c r="D143" s="43"/>
      <c r="E143" s="46" t="s">
        <v>90</v>
      </c>
      <c r="F143" s="41"/>
      <c r="G143" s="79">
        <f>F62*$C$154</f>
        <v>6.72</v>
      </c>
      <c r="H143" s="79">
        <f>G62*$C$154*0.95</f>
        <v>12.9276</v>
      </c>
      <c r="I143" s="79">
        <f t="shared" ref="I143:AA143" si="90">H62*$C$154*F$155</f>
        <v>21.772800000000004</v>
      </c>
      <c r="J143" s="79">
        <f t="shared" si="90"/>
        <v>33.203519999999997</v>
      </c>
      <c r="K143" s="79">
        <f t="shared" si="90"/>
        <v>40.293287999999997</v>
      </c>
      <c r="L143" s="79">
        <f t="shared" si="90"/>
        <v>45.329949000000013</v>
      </c>
      <c r="M143" s="79">
        <f t="shared" si="90"/>
        <v>51.386801760000019</v>
      </c>
      <c r="N143" s="79">
        <f t="shared" si="90"/>
        <v>49.997969280000007</v>
      </c>
      <c r="O143" s="79">
        <f t="shared" si="90"/>
        <v>56.877689852928022</v>
      </c>
      <c r="P143" s="79">
        <f t="shared" si="90"/>
        <v>53.07754919962926</v>
      </c>
      <c r="Q143" s="79">
        <f t="shared" si="90"/>
        <v>50.317516641248559</v>
      </c>
      <c r="R143" s="79">
        <f t="shared" si="90"/>
        <v>51.10822047418246</v>
      </c>
      <c r="S143" s="79">
        <f t="shared" si="90"/>
        <v>48.552809450473326</v>
      </c>
      <c r="T143" s="79">
        <f t="shared" si="90"/>
        <v>46.125168977949656</v>
      </c>
      <c r="U143" s="79">
        <f t="shared" si="90"/>
        <v>43.818910529052175</v>
      </c>
      <c r="V143" s="79">
        <f t="shared" si="90"/>
        <v>41.627965002599559</v>
      </c>
      <c r="W143" s="79">
        <f t="shared" si="90"/>
        <v>39.54656675246958</v>
      </c>
      <c r="X143" s="79">
        <f t="shared" si="90"/>
        <v>37.569238414846097</v>
      </c>
      <c r="Y143" s="79">
        <f t="shared" si="90"/>
        <v>35.690776494103794</v>
      </c>
      <c r="Z143" s="79">
        <f t="shared" si="90"/>
        <v>33.9062376693986</v>
      </c>
      <c r="AA143" s="79">
        <f t="shared" si="90"/>
        <v>32.210925785928666</v>
      </c>
    </row>
    <row r="144" spans="1:27" x14ac:dyDescent="0.15">
      <c r="A144" s="41"/>
      <c r="B144" s="41"/>
      <c r="C144" s="41" t="s">
        <v>98</v>
      </c>
      <c r="D144" s="43"/>
      <c r="E144" s="46"/>
      <c r="F144" s="41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110">
        <f t="shared" ref="R144:AA144" si="91">Q65*$C$154*O$155</f>
        <v>51.548620584384032</v>
      </c>
      <c r="S144" s="110">
        <f t="shared" si="91"/>
        <v>48.971189555164827</v>
      </c>
      <c r="T144" s="110">
        <f t="shared" si="91"/>
        <v>46.522630077406582</v>
      </c>
      <c r="U144" s="110">
        <f t="shared" si="91"/>
        <v>44.196498573536246</v>
      </c>
      <c r="V144" s="110">
        <f t="shared" si="91"/>
        <v>41.986673644859437</v>
      </c>
      <c r="W144" s="110">
        <f t="shared" si="91"/>
        <v>39.887339962616458</v>
      </c>
      <c r="X144" s="110">
        <f t="shared" si="91"/>
        <v>37.892972964485637</v>
      </c>
      <c r="Y144" s="110">
        <f t="shared" si="91"/>
        <v>35.998324316261353</v>
      </c>
      <c r="Z144" s="110">
        <f t="shared" si="91"/>
        <v>34.198408100448283</v>
      </c>
      <c r="AA144" s="110">
        <f t="shared" si="91"/>
        <v>32.48848769542586</v>
      </c>
    </row>
    <row r="145" spans="1:27" x14ac:dyDescent="0.15">
      <c r="A145" s="41"/>
      <c r="B145" s="41"/>
      <c r="C145" s="47" t="s">
        <v>99</v>
      </c>
      <c r="D145" s="43"/>
      <c r="E145" s="46" t="s">
        <v>90</v>
      </c>
      <c r="F145" s="41" t="s">
        <v>14</v>
      </c>
      <c r="G145" s="79">
        <f>F67*$C$155</f>
        <v>0.15782400000000002</v>
      </c>
      <c r="H145" s="79">
        <f>G67*$C$155*0.95</f>
        <v>0.50602320000000001</v>
      </c>
      <c r="I145" s="79">
        <f t="shared" ref="I145:AA145" si="92">H67*$C$155*F$155</f>
        <v>1.4648040000000004</v>
      </c>
      <c r="J145" s="79">
        <f t="shared" si="92"/>
        <v>4.4743104000000011</v>
      </c>
      <c r="K145" s="79">
        <f>J67*$C$155*H$155</f>
        <v>13.422931199999999</v>
      </c>
      <c r="L145" s="79">
        <f t="shared" si="92"/>
        <v>27.882544140000011</v>
      </c>
      <c r="M145" s="79">
        <f t="shared" si="92"/>
        <v>46.693823436000024</v>
      </c>
      <c r="N145" s="79">
        <f t="shared" si="92"/>
        <v>73.389876336000015</v>
      </c>
      <c r="O145" s="79">
        <f t="shared" si="92"/>
        <v>111.31776442644484</v>
      </c>
      <c r="P145" s="79">
        <f t="shared" si="92"/>
        <v>171.15523722182496</v>
      </c>
      <c r="Q145" s="79">
        <f t="shared" si="92"/>
        <v>253.23060415779378</v>
      </c>
      <c r="R145" s="79">
        <f t="shared" si="92"/>
        <v>364.09496265807587</v>
      </c>
      <c r="S145" s="79">
        <f t="shared" si="92"/>
        <v>480.44530896683233</v>
      </c>
      <c r="T145" s="79">
        <f t="shared" si="92"/>
        <v>676.07663321176426</v>
      </c>
      <c r="U145" s="79">
        <f t="shared" si="92"/>
        <v>879.48555625741039</v>
      </c>
      <c r="V145" s="79">
        <f t="shared" si="92"/>
        <v>1117.0143091820082</v>
      </c>
      <c r="W145" s="79">
        <f t="shared" si="92"/>
        <v>1061.1635937229078</v>
      </c>
      <c r="X145" s="79">
        <f t="shared" si="92"/>
        <v>1008.1054140367623</v>
      </c>
      <c r="Y145" s="79">
        <f t="shared" si="92"/>
        <v>957.70014333492418</v>
      </c>
      <c r="Z145" s="79">
        <f t="shared" si="92"/>
        <v>909.8151361681779</v>
      </c>
      <c r="AA145" s="79">
        <f t="shared" si="92"/>
        <v>864.32437935976895</v>
      </c>
    </row>
    <row r="146" spans="1:27" x14ac:dyDescent="0.15">
      <c r="A146" s="41"/>
      <c r="B146" s="41"/>
      <c r="C146" s="41" t="s">
        <v>98</v>
      </c>
      <c r="D146" s="43"/>
      <c r="E146" s="46"/>
      <c r="F146" s="41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110">
        <f t="shared" ref="R146:AA146" si="93">Q70*$C$155*O$155</f>
        <v>367.23237304315177</v>
      </c>
      <c r="S146" s="110">
        <f t="shared" si="93"/>
        <v>490.71930287964028</v>
      </c>
      <c r="T146" s="110">
        <f t="shared" si="93"/>
        <v>699.27500660348744</v>
      </c>
      <c r="U146" s="110">
        <f t="shared" si="93"/>
        <v>921.17827536566062</v>
      </c>
      <c r="V146" s="110">
        <f t="shared" si="93"/>
        <v>1184.7769818549114</v>
      </c>
      <c r="W146" s="110">
        <f t="shared" si="93"/>
        <v>1125.5381327621658</v>
      </c>
      <c r="X146" s="110">
        <f t="shared" si="93"/>
        <v>1069.2612261240572</v>
      </c>
      <c r="Y146" s="110">
        <f t="shared" si="93"/>
        <v>1015.7981648178544</v>
      </c>
      <c r="Z146" s="110">
        <f t="shared" si="93"/>
        <v>965.00825657696157</v>
      </c>
      <c r="AA146" s="110">
        <f t="shared" si="93"/>
        <v>916.75784374811349</v>
      </c>
    </row>
    <row r="147" spans="1:27" x14ac:dyDescent="0.15">
      <c r="A147" s="41"/>
      <c r="B147" s="41"/>
      <c r="C147" s="47" t="s">
        <v>100</v>
      </c>
      <c r="D147" s="43"/>
      <c r="E147" s="46" t="s">
        <v>90</v>
      </c>
      <c r="F147" s="41"/>
      <c r="G147" s="79">
        <f>F72*$C$156</f>
        <v>1.4601653219870059E-17</v>
      </c>
      <c r="H147" s="79">
        <f>G72*$C$156*0.95</f>
        <v>-2.6144531999999464E-3</v>
      </c>
      <c r="I147" s="79">
        <f t="shared" ref="I147:AA147" si="94">H72*$C$156*F$155</f>
        <v>-6.1654932000000683E-4</v>
      </c>
      <c r="J147" s="79">
        <f t="shared" si="94"/>
        <v>-6.0466896057599692E-3</v>
      </c>
      <c r="K147" s="79">
        <f t="shared" si="94"/>
        <v>-1.1650207294222588E-2</v>
      </c>
      <c r="L147" s="79">
        <f t="shared" si="94"/>
        <v>1.3006624496632143E-2</v>
      </c>
      <c r="M147" s="79">
        <f t="shared" si="94"/>
        <v>-8.0966109686541818E-3</v>
      </c>
      <c r="N147" s="79">
        <f t="shared" si="94"/>
        <v>-1.8814943414651349E-2</v>
      </c>
      <c r="O147" s="79">
        <f t="shared" si="94"/>
        <v>2.9170481775555875E-2</v>
      </c>
      <c r="P147" s="46">
        <f t="shared" si="94"/>
        <v>4.6110096413376662E-2</v>
      </c>
      <c r="Q147" s="46">
        <f t="shared" si="94"/>
        <v>0.28136733795310753</v>
      </c>
      <c r="R147" s="79">
        <f t="shared" si="94"/>
        <v>1.0002608864232818</v>
      </c>
      <c r="S147" s="79">
        <f t="shared" si="94"/>
        <v>9.5404883347052927</v>
      </c>
      <c r="T147" s="79">
        <f t="shared" si="94"/>
        <v>20.188775603733241</v>
      </c>
      <c r="U147" s="79">
        <f t="shared" si="94"/>
        <v>45.127158006214088</v>
      </c>
      <c r="V147" s="79">
        <f t="shared" si="94"/>
        <v>89.273811108746301</v>
      </c>
      <c r="W147" s="79">
        <f t="shared" si="94"/>
        <v>196.71464498227016</v>
      </c>
      <c r="X147" s="79">
        <f t="shared" si="94"/>
        <v>354.8476039010273</v>
      </c>
      <c r="Y147" s="79">
        <f t="shared" si="94"/>
        <v>589.22622914894998</v>
      </c>
      <c r="Z147" s="79">
        <f t="shared" si="94"/>
        <v>938.1985468614065</v>
      </c>
      <c r="AA147" s="79">
        <f t="shared" si="94"/>
        <v>1459.3174969023617</v>
      </c>
    </row>
    <row r="148" spans="1:27" x14ac:dyDescent="0.15">
      <c r="A148" s="41"/>
      <c r="B148" s="41"/>
      <c r="C148" s="41" t="s">
        <v>98</v>
      </c>
      <c r="D148" s="43"/>
      <c r="E148" s="46"/>
      <c r="F148" s="41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110">
        <f t="shared" ref="R148:AA148" si="95">Q75*$C$156*O$155</f>
        <v>1.008880145722941</v>
      </c>
      <c r="S148" s="110">
        <f t="shared" si="95"/>
        <v>9.744505144208043</v>
      </c>
      <c r="T148" s="110">
        <f t="shared" si="95"/>
        <v>20.881517715751201</v>
      </c>
      <c r="U148" s="110">
        <f t="shared" si="95"/>
        <v>47.26644717306884</v>
      </c>
      <c r="V148" s="110">
        <f t="shared" si="95"/>
        <v>94.689526906384188</v>
      </c>
      <c r="W148" s="110">
        <f t="shared" si="95"/>
        <v>211.28927872734883</v>
      </c>
      <c r="X148" s="110">
        <f t="shared" si="95"/>
        <v>385.96288132446898</v>
      </c>
      <c r="Y148" s="110">
        <f t="shared" si="95"/>
        <v>649.00587710782986</v>
      </c>
      <c r="Z148" s="110">
        <f t="shared" si="95"/>
        <v>1046.4638016797544</v>
      </c>
      <c r="AA148" s="110">
        <f t="shared" si="95"/>
        <v>1648.3223203780983</v>
      </c>
    </row>
    <row r="149" spans="1:27" x14ac:dyDescent="0.15">
      <c r="A149" s="41"/>
      <c r="B149" s="41"/>
      <c r="C149" s="41"/>
      <c r="D149" s="43"/>
      <c r="E149" s="41"/>
      <c r="F149" s="41"/>
      <c r="G149" s="79"/>
      <c r="H149" s="79"/>
      <c r="I149" s="80"/>
      <c r="J149" s="80"/>
      <c r="K149" s="80"/>
      <c r="L149" s="80"/>
      <c r="M149" s="80"/>
      <c r="N149" s="80"/>
      <c r="O149" s="81"/>
      <c r="P149" s="81"/>
      <c r="Q149" s="81"/>
      <c r="R149" s="81"/>
      <c r="S149" s="81"/>
      <c r="T149" s="81"/>
      <c r="U149" s="81"/>
      <c r="V149" s="81"/>
      <c r="W149" s="81"/>
      <c r="X149" s="81"/>
      <c r="Y149" s="81"/>
      <c r="Z149" s="81"/>
      <c r="AA149" s="81"/>
    </row>
    <row r="150" spans="1:27" x14ac:dyDescent="0.15">
      <c r="A150" s="41"/>
      <c r="B150" s="41"/>
      <c r="C150" s="41"/>
      <c r="D150" s="43"/>
      <c r="E150" s="41"/>
      <c r="F150" s="41"/>
      <c r="G150" s="62">
        <v>2010</v>
      </c>
      <c r="H150" s="62">
        <v>2011</v>
      </c>
      <c r="I150" s="62">
        <v>2012</v>
      </c>
      <c r="J150" s="62">
        <v>2013</v>
      </c>
      <c r="K150" s="62">
        <v>2014</v>
      </c>
      <c r="L150" s="62">
        <v>2015</v>
      </c>
      <c r="M150" s="62">
        <v>2016</v>
      </c>
      <c r="N150" s="62">
        <v>2017</v>
      </c>
      <c r="O150" s="62">
        <v>2018</v>
      </c>
      <c r="P150" s="62">
        <v>2019</v>
      </c>
      <c r="Q150" s="62">
        <v>2020</v>
      </c>
      <c r="R150" s="62">
        <v>2021</v>
      </c>
      <c r="S150" s="62">
        <v>2022</v>
      </c>
      <c r="T150" s="62">
        <v>2023</v>
      </c>
      <c r="U150" s="62">
        <v>2024</v>
      </c>
      <c r="V150" s="62">
        <v>2025</v>
      </c>
      <c r="W150" s="62">
        <v>2026</v>
      </c>
      <c r="X150" s="62">
        <v>2027</v>
      </c>
      <c r="Y150" s="62">
        <v>2028</v>
      </c>
      <c r="Z150" s="62">
        <v>2029</v>
      </c>
      <c r="AA150" s="62">
        <v>2030</v>
      </c>
    </row>
    <row r="151" spans="1:27" ht="27" x14ac:dyDescent="0.2">
      <c r="A151" s="41" t="s">
        <v>108</v>
      </c>
      <c r="B151" s="41"/>
      <c r="C151" s="41"/>
      <c r="D151" s="82"/>
      <c r="E151" s="196"/>
      <c r="F151" s="197" t="s">
        <v>46</v>
      </c>
      <c r="G151" s="198">
        <f>SUM(G140:G147)</f>
        <v>341.54511811764701</v>
      </c>
      <c r="H151" s="198">
        <f t="shared" ref="H151:P151" si="96">SUM(H140:H147)</f>
        <v>347.26748215856458</v>
      </c>
      <c r="I151" s="198">
        <f t="shared" si="96"/>
        <v>356.84476655656232</v>
      </c>
      <c r="J151" s="198">
        <f t="shared" si="96"/>
        <v>364.01662876488831</v>
      </c>
      <c r="K151" s="198">
        <f t="shared" si="96"/>
        <v>375.8214587823457</v>
      </c>
      <c r="L151" s="198">
        <f t="shared" si="96"/>
        <v>389.65414563752807</v>
      </c>
      <c r="M151" s="198">
        <f t="shared" si="96"/>
        <v>402.24497261400722</v>
      </c>
      <c r="N151" s="198">
        <f t="shared" si="96"/>
        <v>411.20391838942635</v>
      </c>
      <c r="O151" s="198">
        <f>SUM(O140:O147)</f>
        <v>447.7565005727231</v>
      </c>
      <c r="P151" s="198">
        <f t="shared" si="96"/>
        <v>497.11754856423858</v>
      </c>
      <c r="Q151" s="198">
        <f>SUM(Q140:Q147)</f>
        <v>569.81989008956964</v>
      </c>
      <c r="R151" s="198">
        <f>R140+R142+R144+R146+R148</f>
        <v>688.04747760887676</v>
      </c>
      <c r="S151" s="198">
        <f t="shared" ref="S151:Z151" si="97">S140+S142+S144+S146+S148</f>
        <v>804.27972122285018</v>
      </c>
      <c r="T151" s="198">
        <f t="shared" si="97"/>
        <v>1008.7816418582904</v>
      </c>
      <c r="U151" s="198">
        <f t="shared" si="97"/>
        <v>1242.6385842008287</v>
      </c>
      <c r="V151" s="198">
        <f t="shared" si="97"/>
        <v>1539.9506773402898</v>
      </c>
      <c r="W151" s="198">
        <f t="shared" si="97"/>
        <v>1584.2873716395591</v>
      </c>
      <c r="X151" s="198">
        <f>X140+X142+X144+X146+X148</f>
        <v>1690.3110695910684</v>
      </c>
      <c r="Y151" s="198">
        <f t="shared" si="97"/>
        <v>1888.1366559610992</v>
      </c>
      <c r="Z151" s="198">
        <f t="shared" si="97"/>
        <v>2223.6380415903604</v>
      </c>
      <c r="AA151" s="198">
        <f>AA140+AA142+AA144+AA146+AA148</f>
        <v>2766.6378482931741</v>
      </c>
    </row>
    <row r="152" spans="1:27" ht="15" x14ac:dyDescent="0.2">
      <c r="B152" s="41" t="s">
        <v>111</v>
      </c>
      <c r="C152" s="41">
        <v>14</v>
      </c>
      <c r="D152" s="83"/>
      <c r="E152" s="199"/>
      <c r="F152" s="197" t="s">
        <v>47</v>
      </c>
      <c r="G152" s="200">
        <f>G179+G197</f>
        <v>204.1</v>
      </c>
      <c r="H152" s="200">
        <f t="shared" ref="H152:Z152" si="98">H179+H197</f>
        <v>224.4</v>
      </c>
      <c r="I152" s="200">
        <f t="shared" si="98"/>
        <v>247.64000000000001</v>
      </c>
      <c r="J152" s="200">
        <f t="shared" si="98"/>
        <v>296.17891276595742</v>
      </c>
      <c r="K152" s="200">
        <f t="shared" si="98"/>
        <v>356.44877506914895</v>
      </c>
      <c r="L152" s="200">
        <f t="shared" si="98"/>
        <v>431.58031052182179</v>
      </c>
      <c r="M152" s="200">
        <f t="shared" si="98"/>
        <v>525.5717197157212</v>
      </c>
      <c r="N152" s="200">
        <f t="shared" si="98"/>
        <v>643.53217436800969</v>
      </c>
      <c r="O152" s="200">
        <f t="shared" si="98"/>
        <v>791.99395351408486</v>
      </c>
      <c r="P152" s="200">
        <f t="shared" si="98"/>
        <v>979.31259970848419</v>
      </c>
      <c r="Q152" s="200">
        <f t="shared" si="98"/>
        <v>1216.1799462280183</v>
      </c>
      <c r="R152" s="200">
        <f t="shared" si="98"/>
        <v>1516.2818853212452</v>
      </c>
      <c r="S152" s="200">
        <f t="shared" si="98"/>
        <v>1897.1417493545619</v>
      </c>
      <c r="T152" s="200">
        <f t="shared" si="98"/>
        <v>2381.2017213845711</v>
      </c>
      <c r="U152" s="200">
        <f t="shared" si="98"/>
        <v>2997.2094975880123</v>
      </c>
      <c r="V152" s="200">
        <f t="shared" si="98"/>
        <v>3781.9964123858131</v>
      </c>
      <c r="W152" s="200">
        <f t="shared" si="98"/>
        <v>0</v>
      </c>
      <c r="X152" s="200">
        <f t="shared" si="98"/>
        <v>0</v>
      </c>
      <c r="Y152" s="200">
        <f t="shared" si="98"/>
        <v>0</v>
      </c>
      <c r="Z152" s="200">
        <f t="shared" si="98"/>
        <v>0</v>
      </c>
      <c r="AA152" s="200">
        <f>AA179+AA197</f>
        <v>0</v>
      </c>
    </row>
    <row r="153" spans="1:27" ht="15" x14ac:dyDescent="0.2">
      <c r="A153" s="41"/>
      <c r="B153" s="41" t="s">
        <v>112</v>
      </c>
      <c r="C153" s="41">
        <v>40</v>
      </c>
      <c r="D153" s="83"/>
      <c r="E153" s="199"/>
      <c r="F153" s="196" t="s">
        <v>59</v>
      </c>
      <c r="G153" s="205">
        <f>SUM(G151:G152)</f>
        <v>545.64511811764703</v>
      </c>
      <c r="H153" s="205">
        <f t="shared" ref="H153:Z153" si="99">SUM(H151:H152)</f>
        <v>571.66748215856455</v>
      </c>
      <c r="I153" s="205">
        <f t="shared" si="99"/>
        <v>604.48476655656236</v>
      </c>
      <c r="J153" s="205">
        <f t="shared" si="99"/>
        <v>660.19554153084573</v>
      </c>
      <c r="K153" s="205">
        <f t="shared" si="99"/>
        <v>732.2702338514946</v>
      </c>
      <c r="L153" s="205">
        <f t="shared" si="99"/>
        <v>821.23445615934986</v>
      </c>
      <c r="M153" s="205">
        <f t="shared" si="99"/>
        <v>927.81669232972843</v>
      </c>
      <c r="N153" s="205">
        <f t="shared" si="99"/>
        <v>1054.7360927574359</v>
      </c>
      <c r="O153" s="205">
        <f t="shared" si="99"/>
        <v>1239.7504540868081</v>
      </c>
      <c r="P153" s="205">
        <f t="shared" si="99"/>
        <v>1476.4301482727228</v>
      </c>
      <c r="Q153" s="205">
        <f t="shared" si="99"/>
        <v>1785.9998363175878</v>
      </c>
      <c r="R153" s="205">
        <f t="shared" si="99"/>
        <v>2204.329362930122</v>
      </c>
      <c r="S153" s="205">
        <f t="shared" si="99"/>
        <v>2701.421470577412</v>
      </c>
      <c r="T153" s="205">
        <f t="shared" si="99"/>
        <v>3389.9833632428617</v>
      </c>
      <c r="U153" s="205">
        <f t="shared" si="99"/>
        <v>4239.8480817888412</v>
      </c>
      <c r="V153" s="205">
        <f t="shared" si="99"/>
        <v>5321.9470897261026</v>
      </c>
      <c r="W153" s="205">
        <f t="shared" si="99"/>
        <v>1584.2873716395591</v>
      </c>
      <c r="X153" s="205">
        <f t="shared" si="99"/>
        <v>1690.3110695910684</v>
      </c>
      <c r="Y153" s="205">
        <f t="shared" si="99"/>
        <v>1888.1366559610992</v>
      </c>
      <c r="Z153" s="205">
        <f t="shared" si="99"/>
        <v>2223.6380415903604</v>
      </c>
      <c r="AA153" s="205">
        <f>SUM(AA151:AA152)</f>
        <v>2766.6378482931741</v>
      </c>
    </row>
    <row r="154" spans="1:27" ht="15" x14ac:dyDescent="0.2">
      <c r="A154" s="41" t="s">
        <v>43</v>
      </c>
      <c r="B154" s="41" t="s">
        <v>113</v>
      </c>
      <c r="C154" s="41">
        <v>3.5</v>
      </c>
      <c r="D154" s="85" t="s">
        <v>49</v>
      </c>
      <c r="E154" s="126"/>
      <c r="F154" s="199"/>
      <c r="G154" s="199"/>
      <c r="H154" s="199"/>
      <c r="I154" s="199"/>
      <c r="J154" s="133"/>
      <c r="K154" s="133"/>
      <c r="L154" s="133"/>
      <c r="M154" s="133"/>
      <c r="N154" s="202"/>
      <c r="O154" s="126"/>
      <c r="P154" s="126"/>
      <c r="Q154" s="126"/>
      <c r="R154" s="126"/>
      <c r="S154" s="126"/>
      <c r="T154" s="126"/>
      <c r="U154" s="126"/>
      <c r="V154" s="126"/>
      <c r="W154" s="126"/>
      <c r="X154" s="126"/>
      <c r="Y154" s="126"/>
      <c r="Z154" s="126"/>
      <c r="AA154" s="126"/>
    </row>
    <row r="155" spans="1:27" ht="15" x14ac:dyDescent="0.2">
      <c r="A155" s="41"/>
      <c r="B155" s="41" t="s">
        <v>114</v>
      </c>
      <c r="C155" s="41">
        <v>1.37</v>
      </c>
      <c r="D155" s="86" t="s">
        <v>50</v>
      </c>
      <c r="E155" s="126"/>
      <c r="F155" s="203">
        <v>0.9</v>
      </c>
      <c r="G155" s="203">
        <f t="shared" ref="G155:O155" si="100">F155*$F$155</f>
        <v>0.81</v>
      </c>
      <c r="H155" s="204">
        <f t="shared" si="100"/>
        <v>0.72900000000000009</v>
      </c>
      <c r="I155" s="204">
        <f t="shared" si="100"/>
        <v>0.65610000000000013</v>
      </c>
      <c r="J155" s="204">
        <f t="shared" si="100"/>
        <v>0.59049000000000018</v>
      </c>
      <c r="K155" s="204">
        <f t="shared" si="100"/>
        <v>0.53144100000000016</v>
      </c>
      <c r="L155" s="204">
        <f t="shared" si="100"/>
        <v>0.47829690000000014</v>
      </c>
      <c r="M155" s="204">
        <f t="shared" si="100"/>
        <v>0.43046721000000016</v>
      </c>
      <c r="N155" s="204">
        <f t="shared" si="100"/>
        <v>0.38742048900000015</v>
      </c>
      <c r="O155" s="204">
        <f t="shared" si="100"/>
        <v>0.34867844010000015</v>
      </c>
      <c r="P155" s="204">
        <f>O155*$F$157</f>
        <v>0.33124451809500011</v>
      </c>
      <c r="Q155" s="204">
        <f t="shared" ref="Q155:X155" si="101">P155*$F$157</f>
        <v>0.31468229219025007</v>
      </c>
      <c r="R155" s="204">
        <f>Q155*$F$157</f>
        <v>0.29894817758073755</v>
      </c>
      <c r="S155" s="204">
        <f t="shared" si="101"/>
        <v>0.28400076870170066</v>
      </c>
      <c r="T155" s="204">
        <f t="shared" si="101"/>
        <v>0.26980073026661561</v>
      </c>
      <c r="U155" s="204">
        <f t="shared" si="101"/>
        <v>0.2563106937532848</v>
      </c>
      <c r="V155" s="204">
        <f t="shared" si="101"/>
        <v>0.24349515906562055</v>
      </c>
      <c r="W155" s="204">
        <f t="shared" si="101"/>
        <v>0.23132040111233951</v>
      </c>
      <c r="X155" s="204">
        <f t="shared" si="101"/>
        <v>0.21975438105672251</v>
      </c>
      <c r="Y155" s="203"/>
      <c r="Z155" s="203"/>
      <c r="AA155" s="203"/>
    </row>
    <row r="156" spans="1:27" x14ac:dyDescent="0.15">
      <c r="A156" s="41"/>
      <c r="B156" s="41" t="s">
        <v>115</v>
      </c>
      <c r="C156" s="41">
        <v>0.13700000000000001</v>
      </c>
      <c r="D156" s="84"/>
      <c r="E156" s="65" t="s">
        <v>106</v>
      </c>
      <c r="F156" s="112">
        <v>2012</v>
      </c>
      <c r="G156" s="112">
        <v>2013</v>
      </c>
      <c r="H156" s="112">
        <v>2014</v>
      </c>
      <c r="I156" s="112">
        <v>2015</v>
      </c>
      <c r="J156" s="112">
        <v>2016</v>
      </c>
      <c r="K156" s="112">
        <v>2017</v>
      </c>
      <c r="L156" s="112">
        <v>2018</v>
      </c>
      <c r="M156" s="112">
        <v>2019</v>
      </c>
      <c r="N156" s="112">
        <v>2020</v>
      </c>
      <c r="O156" s="112">
        <v>2021</v>
      </c>
      <c r="P156" s="112">
        <v>2022</v>
      </c>
      <c r="Q156" s="112">
        <v>2023</v>
      </c>
      <c r="R156" s="112">
        <v>2024</v>
      </c>
      <c r="S156" s="112">
        <v>2025</v>
      </c>
      <c r="T156" s="112">
        <v>2026</v>
      </c>
      <c r="U156" s="112">
        <v>2027</v>
      </c>
      <c r="V156" s="112">
        <v>2028</v>
      </c>
      <c r="W156" s="112">
        <v>2029</v>
      </c>
      <c r="X156" s="112">
        <v>2030</v>
      </c>
    </row>
    <row r="157" spans="1:27" x14ac:dyDescent="0.15">
      <c r="A157" s="41"/>
      <c r="C157" s="87"/>
      <c r="D157" s="84"/>
      <c r="E157" s="41"/>
      <c r="F157" s="62">
        <v>0.95</v>
      </c>
    </row>
    <row r="158" spans="1:27" x14ac:dyDescent="0.15">
      <c r="A158" s="41"/>
      <c r="B158" s="41"/>
      <c r="C158" s="87"/>
      <c r="D158" s="84"/>
      <c r="E158" s="41"/>
      <c r="F158" s="41"/>
      <c r="G158" s="62">
        <v>2010</v>
      </c>
      <c r="H158" s="62">
        <v>2011</v>
      </c>
      <c r="I158" s="62">
        <v>2012</v>
      </c>
      <c r="J158" s="62">
        <v>2013</v>
      </c>
      <c r="K158" s="62">
        <v>2014</v>
      </c>
      <c r="L158" s="62">
        <v>2015</v>
      </c>
      <c r="M158" s="62">
        <v>2016</v>
      </c>
      <c r="N158" s="62">
        <v>2017</v>
      </c>
      <c r="O158" s="62">
        <v>2018</v>
      </c>
      <c r="P158" s="62">
        <v>2019</v>
      </c>
      <c r="Q158" s="62">
        <v>2020</v>
      </c>
      <c r="R158" s="62">
        <v>2021</v>
      </c>
      <c r="S158" s="62">
        <v>2022</v>
      </c>
      <c r="T158" s="62">
        <v>2023</v>
      </c>
      <c r="U158" s="62">
        <v>2024</v>
      </c>
      <c r="V158" s="62">
        <v>2025</v>
      </c>
      <c r="W158" s="62">
        <v>2026</v>
      </c>
      <c r="X158" s="62">
        <v>2027</v>
      </c>
      <c r="Y158" s="62">
        <v>2028</v>
      </c>
      <c r="Z158" s="62">
        <v>2029</v>
      </c>
      <c r="AA158" s="62">
        <v>2030</v>
      </c>
    </row>
    <row r="159" spans="1:27" x14ac:dyDescent="0.15">
      <c r="A159" s="41"/>
      <c r="B159" s="41"/>
      <c r="C159" s="87"/>
      <c r="D159" s="84"/>
      <c r="E159" s="41"/>
      <c r="F159" s="41"/>
      <c r="G159" s="41"/>
      <c r="H159" s="41"/>
      <c r="I159" s="41"/>
      <c r="J159" s="41"/>
      <c r="K159" s="41"/>
      <c r="L159" s="41"/>
      <c r="M159" s="41"/>
      <c r="N159" s="41"/>
    </row>
    <row r="163" spans="1:43" ht="30" x14ac:dyDescent="0.3">
      <c r="I163" s="30">
        <f>2^(1/1.5)</f>
        <v>1.5874010519681994</v>
      </c>
      <c r="L163" s="116" t="s">
        <v>254</v>
      </c>
    </row>
    <row r="165" spans="1:43" x14ac:dyDescent="0.15">
      <c r="G165" s="30" t="s">
        <v>316</v>
      </c>
      <c r="H165" s="30" t="s">
        <v>318</v>
      </c>
      <c r="I165" s="30">
        <v>1</v>
      </c>
      <c r="J165" s="30">
        <f>I165*1.58</f>
        <v>1.58</v>
      </c>
      <c r="K165" s="449"/>
      <c r="L165" s="449"/>
      <c r="M165" s="449"/>
      <c r="N165" s="449"/>
      <c r="O165" s="449"/>
      <c r="P165" s="449"/>
      <c r="Q165" s="449"/>
      <c r="R165" s="449"/>
      <c r="S165" s="449"/>
      <c r="T165" s="449"/>
      <c r="U165" s="449"/>
      <c r="V165" s="449"/>
      <c r="W165" s="449"/>
      <c r="X165" s="449"/>
      <c r="Y165" s="449"/>
    </row>
    <row r="166" spans="1:43" x14ac:dyDescent="0.15">
      <c r="D166" s="90"/>
      <c r="F166" s="91"/>
      <c r="G166" s="30" t="s">
        <v>315</v>
      </c>
      <c r="H166" s="30" t="s">
        <v>317</v>
      </c>
      <c r="I166" s="30">
        <f>2^(1/1.57)</f>
        <v>1.5550302821063127</v>
      </c>
      <c r="K166" s="449"/>
      <c r="L166" s="449"/>
      <c r="M166" s="449"/>
      <c r="N166" s="449"/>
      <c r="O166" s="449"/>
      <c r="P166" s="449"/>
      <c r="Q166" s="449"/>
      <c r="R166" s="449"/>
      <c r="S166" s="449"/>
      <c r="T166" s="449"/>
      <c r="U166" s="449"/>
      <c r="V166" s="449"/>
      <c r="W166" s="449"/>
      <c r="X166" s="449"/>
      <c r="Y166" s="449"/>
    </row>
    <row r="167" spans="1:43" ht="14" thickBot="1" x14ac:dyDescent="0.2">
      <c r="D167" s="90"/>
      <c r="F167" s="91"/>
      <c r="K167" s="449"/>
      <c r="L167" s="449"/>
      <c r="M167" s="449"/>
      <c r="N167" s="449"/>
      <c r="O167" s="449"/>
      <c r="P167" s="449"/>
      <c r="Q167" s="449"/>
      <c r="R167" s="449"/>
      <c r="S167" s="449"/>
      <c r="T167" s="449"/>
      <c r="U167" s="449"/>
      <c r="V167" s="449"/>
      <c r="W167" s="449"/>
      <c r="X167" s="449"/>
      <c r="Y167" s="449"/>
    </row>
    <row r="168" spans="1:43" x14ac:dyDescent="0.15">
      <c r="G168" s="62">
        <v>2010</v>
      </c>
      <c r="H168" s="62">
        <v>2011</v>
      </c>
      <c r="I168" s="62">
        <v>2012</v>
      </c>
      <c r="J168" s="62">
        <v>2013</v>
      </c>
      <c r="K168" s="487">
        <v>2014</v>
      </c>
      <c r="L168" s="308">
        <v>2015</v>
      </c>
      <c r="M168" s="309">
        <v>2016</v>
      </c>
      <c r="N168" s="309">
        <v>2017</v>
      </c>
      <c r="O168" s="309">
        <v>2018</v>
      </c>
      <c r="P168" s="309">
        <v>2019</v>
      </c>
      <c r="Q168" s="309">
        <v>2020</v>
      </c>
      <c r="R168" s="309">
        <v>2021</v>
      </c>
      <c r="S168" s="309">
        <v>2022</v>
      </c>
      <c r="T168" s="309">
        <v>2023</v>
      </c>
      <c r="U168" s="309">
        <v>2024</v>
      </c>
      <c r="V168" s="310">
        <v>2025</v>
      </c>
      <c r="W168" s="487">
        <v>2026</v>
      </c>
      <c r="X168" s="487">
        <v>2027</v>
      </c>
      <c r="Y168" s="487">
        <v>2028</v>
      </c>
      <c r="Z168" s="62">
        <v>2029</v>
      </c>
      <c r="AA168" s="62">
        <v>2030</v>
      </c>
    </row>
    <row r="169" spans="1:43" x14ac:dyDescent="0.15">
      <c r="K169" s="449"/>
      <c r="L169" s="531"/>
      <c r="M169" s="449"/>
      <c r="N169" s="449"/>
      <c r="O169" s="449"/>
      <c r="P169" s="449"/>
      <c r="Q169" s="449"/>
      <c r="R169" s="449"/>
      <c r="S169" s="449"/>
      <c r="T169" s="449"/>
      <c r="U169" s="449"/>
      <c r="V169" s="532"/>
      <c r="W169" s="449"/>
      <c r="X169" s="449"/>
      <c r="Y169" s="449"/>
    </row>
    <row r="170" spans="1:43" ht="52" x14ac:dyDescent="0.15">
      <c r="A170" s="30" t="s">
        <v>84</v>
      </c>
      <c r="B170" s="41" t="s">
        <v>138</v>
      </c>
      <c r="C170" s="30" t="s">
        <v>230</v>
      </c>
      <c r="G170" s="81">
        <f>Traffic!B18</f>
        <v>325</v>
      </c>
      <c r="H170" s="81">
        <f>Traffic!C18</f>
        <v>390</v>
      </c>
      <c r="I170" s="81">
        <f>Traffic!D18</f>
        <v>470</v>
      </c>
      <c r="J170" s="81">
        <f>Traffic!E18</f>
        <v>567.79999999999995</v>
      </c>
      <c r="K170" s="450">
        <f>Traffic!F18</f>
        <v>688.89199999999994</v>
      </c>
      <c r="L170" s="533">
        <f>Traffic!G13</f>
        <v>780.20718999999985</v>
      </c>
      <c r="M170" s="533">
        <f>Traffic!H13</f>
        <v>928.5091246999998</v>
      </c>
      <c r="N170" s="533">
        <f>Traffic!I13</f>
        <v>1107.8090609109997</v>
      </c>
      <c r="O170" s="533">
        <f>Traffic!J13</f>
        <v>1325.0664263294298</v>
      </c>
      <c r="P170" s="533">
        <f>Traffic!K13</f>
        <v>1588.8777961272554</v>
      </c>
      <c r="Q170" s="533">
        <f>Traffic!L13</f>
        <v>1909.8728275925487</v>
      </c>
      <c r="R170" s="533">
        <f>Traffic!M13</f>
        <v>2301.2074426405175</v>
      </c>
      <c r="S170" s="533">
        <f>Traffic!N13</f>
        <v>2779.1783445099563</v>
      </c>
      <c r="T170" s="533">
        <f>Traffic!O13</f>
        <v>3363.9889472039654</v>
      </c>
      <c r="U170" s="533">
        <f>Traffic!P13</f>
        <v>4080.7042827251244</v>
      </c>
      <c r="V170" s="533">
        <f>Traffic!Q13</f>
        <v>4960.4418049601945</v>
      </c>
      <c r="W170" s="450"/>
      <c r="X170" s="450"/>
      <c r="Y170" s="450"/>
      <c r="Z170" s="81"/>
      <c r="AA170" s="81"/>
    </row>
    <row r="171" spans="1:43" ht="16" thickBot="1" x14ac:dyDescent="0.25">
      <c r="C171" s="30" t="s">
        <v>231</v>
      </c>
      <c r="G171" s="181">
        <v>162</v>
      </c>
      <c r="H171" s="181">
        <v>178</v>
      </c>
      <c r="I171" s="181">
        <v>196.24</v>
      </c>
      <c r="J171" s="181">
        <f>(J$170/I$170)*I171*(1-$E174)</f>
        <v>183.73283148936173</v>
      </c>
      <c r="K171" s="181">
        <f>(K$170/J$170)*J171*(1-$E174)</f>
        <v>172.76040904638302</v>
      </c>
      <c r="L171" s="534">
        <f>(L$170/K$170)*K171*(1-$E174)</f>
        <v>151.63684263444782</v>
      </c>
      <c r="M171" s="535">
        <f>(M$170/L$170)*L171*(1-$E174)</f>
        <v>139.85650250256816</v>
      </c>
      <c r="N171" s="535">
        <f t="shared" ref="N171:P171" si="102">(N$170/M$170)*M171*(1-$E174)</f>
        <v>129.31922783315423</v>
      </c>
      <c r="O171" s="535">
        <f t="shared" si="102"/>
        <v>119.87746279871092</v>
      </c>
      <c r="P171" s="535">
        <f t="shared" si="102"/>
        <v>111.40176991280259</v>
      </c>
      <c r="Q171" s="535">
        <f>(Q$170/P$170)*P171*(1-$E174)</f>
        <v>103.77858555962989</v>
      </c>
      <c r="R171" s="535">
        <f>(R$170/Q$170)*Q171*(1-$E174)</f>
        <v>96.908254188635993</v>
      </c>
      <c r="S171" s="535">
        <f>(S$170/R$170)*R171*(1-$E176)</f>
        <v>111.18469835968899</v>
      </c>
      <c r="T171" s="535">
        <f>(T$170/S$170)*S171*(1-$E176)</f>
        <v>127.85177758134969</v>
      </c>
      <c r="U171" s="535">
        <f t="shared" ref="U171" si="103">(U$170/T$170)*T171*(1-$E176)</f>
        <v>147.33670035559436</v>
      </c>
      <c r="V171" s="536">
        <f>(V$170/U$170)*U171*(1-$E176)</f>
        <v>170.14523066412389</v>
      </c>
      <c r="W171" s="181"/>
      <c r="X171" s="181"/>
      <c r="Y171" s="181"/>
      <c r="Z171" s="181"/>
      <c r="AA171" s="181"/>
      <c r="AB171" s="264"/>
      <c r="AE171" s="243"/>
      <c r="AF171" s="243"/>
      <c r="AG171" s="243"/>
      <c r="AH171" s="243"/>
      <c r="AI171" s="243"/>
      <c r="AJ171" s="243"/>
      <c r="AK171" s="243"/>
      <c r="AL171" s="243"/>
      <c r="AM171" s="243"/>
      <c r="AN171" s="243"/>
      <c r="AO171" s="243"/>
    </row>
    <row r="172" spans="1:43" ht="14" thickBot="1" x14ac:dyDescent="0.2">
      <c r="F172" s="30" t="s">
        <v>276</v>
      </c>
      <c r="G172" s="243">
        <f>G171/G170</f>
        <v>0.49846153846153846</v>
      </c>
      <c r="H172" s="243">
        <f t="shared" ref="H172:U172" si="104">H171/H170</f>
        <v>0.4564102564102564</v>
      </c>
      <c r="I172" s="243">
        <f t="shared" si="104"/>
        <v>0.41753191489361702</v>
      </c>
      <c r="J172" s="243">
        <f t="shared" si="104"/>
        <v>0.32358723404255324</v>
      </c>
      <c r="K172" s="488">
        <f t="shared" si="104"/>
        <v>0.25078010638297882</v>
      </c>
      <c r="L172" s="488">
        <f>L171/L170</f>
        <v>0.19435458244680859</v>
      </c>
      <c r="M172" s="488">
        <f>M171/M170</f>
        <v>0.15062480139627668</v>
      </c>
      <c r="N172" s="488">
        <f t="shared" si="104"/>
        <v>0.11673422108211444</v>
      </c>
      <c r="O172" s="488">
        <f t="shared" si="104"/>
        <v>9.0469021338638711E-2</v>
      </c>
      <c r="P172" s="488">
        <f t="shared" si="104"/>
        <v>7.0113491537445005E-2</v>
      </c>
      <c r="Q172" s="488">
        <f t="shared" si="104"/>
        <v>5.4337955941519869E-2</v>
      </c>
      <c r="R172" s="488">
        <f t="shared" si="104"/>
        <v>4.2111915854677898E-2</v>
      </c>
      <c r="S172" s="488">
        <f t="shared" si="104"/>
        <v>4.0006320061944003E-2</v>
      </c>
      <c r="T172" s="488">
        <f t="shared" si="104"/>
        <v>3.8006004058846805E-2</v>
      </c>
      <c r="U172" s="488">
        <f t="shared" si="104"/>
        <v>3.6105703855904461E-2</v>
      </c>
      <c r="V172" s="488">
        <f>V171/V170</f>
        <v>3.4300418663109226E-2</v>
      </c>
      <c r="W172" s="488"/>
      <c r="X172" s="488"/>
      <c r="Y172" s="488"/>
      <c r="Z172" s="243"/>
      <c r="AA172" s="243"/>
      <c r="AB172" s="260"/>
      <c r="AE172" s="453"/>
      <c r="AF172" s="453"/>
      <c r="AG172" s="453"/>
      <c r="AH172" s="453"/>
      <c r="AI172" s="453"/>
      <c r="AJ172" s="453"/>
      <c r="AK172" s="453"/>
      <c r="AL172" s="453"/>
      <c r="AM172" s="453"/>
      <c r="AN172" s="453"/>
      <c r="AO172" s="453"/>
    </row>
    <row r="173" spans="1:43" ht="52" x14ac:dyDescent="0.15">
      <c r="B173" s="41" t="s">
        <v>140</v>
      </c>
      <c r="C173" s="30" t="s">
        <v>230</v>
      </c>
      <c r="D173" s="90"/>
      <c r="E173" s="91" t="s">
        <v>92</v>
      </c>
      <c r="G173" s="81">
        <f>Traffic!B18</f>
        <v>325</v>
      </c>
      <c r="H173" s="81">
        <f>Traffic!C18</f>
        <v>390</v>
      </c>
      <c r="I173" s="81">
        <f>Traffic!D18</f>
        <v>470</v>
      </c>
      <c r="J173" s="81">
        <f>Traffic!E18</f>
        <v>567.79999999999995</v>
      </c>
      <c r="K173" s="450">
        <f>Traffic!F18</f>
        <v>688.89199999999994</v>
      </c>
      <c r="L173" s="489">
        <f>Traffic!G18</f>
        <v>839.41687999999999</v>
      </c>
      <c r="M173" s="490">
        <f>Traffic!H18</f>
        <v>1043</v>
      </c>
      <c r="N173" s="490">
        <f>Traffic!I18</f>
        <v>1282.6199999999999</v>
      </c>
      <c r="O173" s="490">
        <f>Traffic!J18</f>
        <v>1583.8667999999998</v>
      </c>
      <c r="P173" s="490">
        <f>Traffic!K18</f>
        <v>1963.792152</v>
      </c>
      <c r="Q173" s="490">
        <f>Traffic!L18</f>
        <v>2444.36225328</v>
      </c>
      <c r="R173" s="490">
        <f>Traffic!M18</f>
        <v>3053.9039287392002</v>
      </c>
      <c r="S173" s="490">
        <f>Traffic!N18</f>
        <v>3828.9807267626879</v>
      </c>
      <c r="T173" s="490">
        <f>Traffic!O18</f>
        <v>4816.8273509094643</v>
      </c>
      <c r="U173" s="490">
        <f>Traffic!P18</f>
        <v>6078.5092991567899</v>
      </c>
      <c r="V173" s="491">
        <f>Traffic!Q18</f>
        <v>7693.0245558947408</v>
      </c>
      <c r="W173" s="450"/>
      <c r="X173" s="450"/>
      <c r="Y173" s="450"/>
      <c r="Z173" s="81"/>
      <c r="AA173" s="81"/>
      <c r="AB173" s="260"/>
      <c r="AE173" s="113"/>
      <c r="AF173" s="113"/>
      <c r="AG173" s="113"/>
      <c r="AH173" s="113"/>
      <c r="AI173" s="113"/>
      <c r="AJ173" s="113"/>
      <c r="AK173" s="113"/>
      <c r="AL173" s="113"/>
      <c r="AM173" s="113"/>
      <c r="AN173" s="113"/>
      <c r="AO173" s="113"/>
    </row>
    <row r="174" spans="1:43" ht="16" thickBot="1" x14ac:dyDescent="0.25">
      <c r="C174" s="30" t="s">
        <v>231</v>
      </c>
      <c r="D174" s="90" t="s">
        <v>326</v>
      </c>
      <c r="E174" s="163">
        <v>0.22500000000000001</v>
      </c>
      <c r="G174" s="192">
        <v>162</v>
      </c>
      <c r="H174" s="192">
        <v>178</v>
      </c>
      <c r="I174" s="192">
        <v>196.24</v>
      </c>
      <c r="J174" s="192">
        <f>(J$173/I$173)*I174*(1-$E175)</f>
        <v>201.5134280851064</v>
      </c>
      <c r="K174" s="192">
        <f t="shared" ref="K174:Q174" si="105">(K$173/J$173)*J174*(1-$E175)</f>
        <v>207.81585104851064</v>
      </c>
      <c r="L174" s="492">
        <f>(L$173/K$173)*K174*(1-$E175)</f>
        <v>215.24057951962382</v>
      </c>
      <c r="M174" s="493">
        <f>(M$173/L$173)*L171*(1-$E175)</f>
        <v>160.1512264532609</v>
      </c>
      <c r="N174" s="493">
        <f>(N$173/M$173)*M174*(1-$E175)</f>
        <v>167.40286784511915</v>
      </c>
      <c r="O174" s="493">
        <f t="shared" si="105"/>
        <v>175.71242294208025</v>
      </c>
      <c r="P174" s="493">
        <f t="shared" si="105"/>
        <v>185.18178145105239</v>
      </c>
      <c r="Q174" s="493">
        <f t="shared" si="105"/>
        <v>195.92381642636491</v>
      </c>
      <c r="R174" s="493">
        <f>(R$173/Q$173)*Q174*(1-$E175)</f>
        <v>208.06352868847375</v>
      </c>
      <c r="S174" s="493">
        <f>(S$173/R$173)*R174*(1-$E176)</f>
        <v>247.82628952520483</v>
      </c>
      <c r="T174" s="493">
        <f t="shared" ref="T174:U174" si="106">(T$173/S$173)*S174*(1-$E176)</f>
        <v>296.17532918094776</v>
      </c>
      <c r="U174" s="493">
        <f t="shared" si="106"/>
        <v>355.06551167002777</v>
      </c>
      <c r="V174" s="494">
        <f>(V$173/U$173)*U174*(1-$E176)</f>
        <v>426.90587239496085</v>
      </c>
      <c r="W174" s="192"/>
      <c r="X174" s="192"/>
      <c r="Y174" s="192"/>
      <c r="Z174" s="192"/>
      <c r="AA174" s="192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Q174" s="233"/>
    </row>
    <row r="175" spans="1:43" ht="15" x14ac:dyDescent="0.2">
      <c r="E175" s="165">
        <v>0.15</v>
      </c>
      <c r="F175" s="30" t="s">
        <v>276</v>
      </c>
      <c r="G175" s="243">
        <f>G174/G173</f>
        <v>0.49846153846153846</v>
      </c>
      <c r="H175" s="243">
        <f t="shared" ref="H175:V175" si="107">H174/H173</f>
        <v>0.4564102564102564</v>
      </c>
      <c r="I175" s="243">
        <f t="shared" si="107"/>
        <v>0.41753191489361702</v>
      </c>
      <c r="J175" s="243">
        <f t="shared" si="107"/>
        <v>0.35490212765957452</v>
      </c>
      <c r="K175" s="243">
        <f t="shared" si="107"/>
        <v>0.30166680851063832</v>
      </c>
      <c r="L175" s="243">
        <f t="shared" si="107"/>
        <v>0.25641678723404254</v>
      </c>
      <c r="M175" s="243">
        <f t="shared" si="107"/>
        <v>0.1535486351421485</v>
      </c>
      <c r="N175" s="243">
        <f t="shared" si="107"/>
        <v>0.13051633987082625</v>
      </c>
      <c r="O175" s="243">
        <f t="shared" si="107"/>
        <v>0.1109388888902023</v>
      </c>
      <c r="P175" s="243">
        <f t="shared" si="107"/>
        <v>9.4298055556671964E-2</v>
      </c>
      <c r="Q175" s="243">
        <f t="shared" si="107"/>
        <v>8.0153347223171162E-2</v>
      </c>
      <c r="R175" s="243">
        <f t="shared" si="107"/>
        <v>6.81303451396955E-2</v>
      </c>
      <c r="S175" s="243">
        <f t="shared" si="107"/>
        <v>6.4723827882710722E-2</v>
      </c>
      <c r="T175" s="243">
        <f t="shared" si="107"/>
        <v>6.1487636488575192E-2</v>
      </c>
      <c r="U175" s="243">
        <f t="shared" si="107"/>
        <v>5.8413254664146423E-2</v>
      </c>
      <c r="V175" s="243">
        <f t="shared" si="107"/>
        <v>5.5492591930939097E-2</v>
      </c>
      <c r="W175" s="243"/>
      <c r="X175" s="243"/>
      <c r="Y175" s="243"/>
      <c r="Z175" s="243"/>
      <c r="AA175" s="243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Q175" s="233"/>
    </row>
    <row r="176" spans="1:43" ht="15" x14ac:dyDescent="0.2">
      <c r="E176" s="167">
        <v>0.05</v>
      </c>
      <c r="F176" s="49"/>
      <c r="G176" s="81">
        <f>1/G175</f>
        <v>2.0061728395061729</v>
      </c>
      <c r="H176" s="81">
        <f t="shared" ref="H176:V176" si="108">1/H175</f>
        <v>2.1910112359550564</v>
      </c>
      <c r="I176" s="81">
        <f>1/I175</f>
        <v>2.3950264981655116</v>
      </c>
      <c r="J176" s="81">
        <f t="shared" si="108"/>
        <v>2.8176782331358958</v>
      </c>
      <c r="K176" s="81">
        <f t="shared" si="108"/>
        <v>3.3149155683951714</v>
      </c>
      <c r="L176" s="81">
        <f t="shared" si="108"/>
        <v>3.8999006687002025</v>
      </c>
      <c r="M176" s="81">
        <f t="shared" si="108"/>
        <v>6.5125945214312351</v>
      </c>
      <c r="N176" s="81">
        <f t="shared" si="108"/>
        <v>7.6618759075661576</v>
      </c>
      <c r="O176" s="81">
        <f t="shared" si="108"/>
        <v>9.0139716559601872</v>
      </c>
      <c r="P176" s="81">
        <f t="shared" si="108"/>
        <v>10.604672536423749</v>
      </c>
      <c r="Q176" s="81">
        <f t="shared" si="108"/>
        <v>12.476085336969117</v>
      </c>
      <c r="R176" s="81">
        <f t="shared" si="108"/>
        <v>14.677747455257782</v>
      </c>
      <c r="S176" s="81">
        <f t="shared" si="108"/>
        <v>15.450260479218718</v>
      </c>
      <c r="T176" s="81">
        <f t="shared" si="108"/>
        <v>16.263432083388121</v>
      </c>
      <c r="U176" s="81">
        <f t="shared" si="108"/>
        <v>17.119402193040131</v>
      </c>
      <c r="V176" s="81">
        <f t="shared" si="108"/>
        <v>18.020423361094878</v>
      </c>
      <c r="W176" s="81"/>
      <c r="X176" s="81"/>
      <c r="Y176" s="81"/>
      <c r="Z176" s="81"/>
      <c r="AA176" s="81"/>
    </row>
    <row r="177" spans="2:43" x14ac:dyDescent="0.15">
      <c r="E177" s="49"/>
      <c r="F177" s="49"/>
      <c r="G177" s="81"/>
      <c r="H177" s="81"/>
      <c r="I177" s="81"/>
      <c r="J177" s="81"/>
      <c r="K177" s="81"/>
      <c r="L177" s="81"/>
      <c r="M177" s="81"/>
      <c r="N177" s="81"/>
      <c r="O177" s="81"/>
      <c r="P177" s="81"/>
      <c r="Q177" s="81"/>
      <c r="R177" s="81"/>
      <c r="S177" s="81"/>
      <c r="T177" s="81"/>
      <c r="U177" s="81"/>
      <c r="V177" s="81"/>
      <c r="W177" s="81"/>
      <c r="X177" s="81"/>
      <c r="Y177" s="81"/>
      <c r="Z177" s="81"/>
      <c r="AA177" s="81"/>
    </row>
    <row r="178" spans="2:43" ht="39" x14ac:dyDescent="0.15">
      <c r="B178" s="41" t="s">
        <v>139</v>
      </c>
      <c r="C178" s="30" t="s">
        <v>230</v>
      </c>
      <c r="G178" s="81">
        <f>Traffic!B23</f>
        <v>325</v>
      </c>
      <c r="H178" s="81">
        <f>Traffic!C23</f>
        <v>390</v>
      </c>
      <c r="I178" s="81">
        <f>Traffic!D23</f>
        <v>470</v>
      </c>
      <c r="J178" s="81">
        <f>Traffic!E23</f>
        <v>580.5</v>
      </c>
      <c r="K178" s="81">
        <f>Traffic!F23</f>
        <v>721.57500000000005</v>
      </c>
      <c r="L178" s="81">
        <f>Traffic!G23</f>
        <v>902.71125000000006</v>
      </c>
      <c r="M178" s="81">
        <f>Traffic!H23</f>
        <v>1136.5329375000001</v>
      </c>
      <c r="N178" s="81">
        <f>Traffic!I23</f>
        <v>1439.873128125</v>
      </c>
      <c r="O178" s="81">
        <f>Traffic!J23</f>
        <v>1835.21543484375</v>
      </c>
      <c r="P178" s="81">
        <f>Traffic!K23</f>
        <v>2352.6355556953126</v>
      </c>
      <c r="Q178" s="81">
        <f>Traffic!L23</f>
        <v>3032.4169266433596</v>
      </c>
      <c r="R178" s="81">
        <f>Traffic!M23</f>
        <v>3928.5756163914261</v>
      </c>
      <c r="S178" s="81">
        <f>Traffic!N23</f>
        <v>5113.6117623647497</v>
      </c>
      <c r="T178" s="81">
        <f>Traffic!O23</f>
        <v>6684.9157614641854</v>
      </c>
      <c r="U178" s="81">
        <f>Traffic!P23</f>
        <v>8773.4071425891889</v>
      </c>
      <c r="V178" s="81">
        <f>Traffic!Q23</f>
        <v>11555.186136799826</v>
      </c>
      <c r="W178" s="81"/>
      <c r="X178" s="81"/>
      <c r="Y178" s="81"/>
      <c r="Z178" s="81"/>
      <c r="AA178" s="81"/>
    </row>
    <row r="179" spans="2:43" ht="15" x14ac:dyDescent="0.2">
      <c r="C179" s="30" t="s">
        <v>231</v>
      </c>
      <c r="G179" s="201">
        <v>162</v>
      </c>
      <c r="H179" s="201">
        <v>178</v>
      </c>
      <c r="I179" s="201">
        <v>196.24</v>
      </c>
      <c r="J179" s="201">
        <f t="shared" ref="J179:V179" si="109">(J$178/I$178)*I179*(1-$E176)</f>
        <v>230.25841276595744</v>
      </c>
      <c r="K179" s="201">
        <f t="shared" si="109"/>
        <v>271.90573381914896</v>
      </c>
      <c r="L179" s="201">
        <f t="shared" si="109"/>
        <v>323.1538601186968</v>
      </c>
      <c r="M179" s="201">
        <f t="shared" si="109"/>
        <v>386.51479707371345</v>
      </c>
      <c r="N179" s="201">
        <f t="shared" si="109"/>
        <v>465.19167107963466</v>
      </c>
      <c r="O179" s="201">
        <f t="shared" si="109"/>
        <v>563.2722580467439</v>
      </c>
      <c r="P179" s="201">
        <f t="shared" si="109"/>
        <v>685.97702527161937</v>
      </c>
      <c r="Q179" s="201">
        <f t="shared" si="109"/>
        <v>839.9770720127392</v>
      </c>
      <c r="R179" s="201">
        <f t="shared" si="109"/>
        <v>1033.80169914015</v>
      </c>
      <c r="S179" s="201">
        <f t="shared" si="109"/>
        <v>1278.3609105773071</v>
      </c>
      <c r="T179" s="201">
        <f t="shared" si="109"/>
        <v>1587.6152956527419</v>
      </c>
      <c r="U179" s="201">
        <f t="shared" si="109"/>
        <v>1979.434906586941</v>
      </c>
      <c r="V179" s="201">
        <f t="shared" si="109"/>
        <v>2476.7004994269396</v>
      </c>
      <c r="W179" s="201"/>
      <c r="X179" s="201"/>
      <c r="Y179" s="201"/>
      <c r="Z179" s="201"/>
      <c r="AA179" s="201"/>
    </row>
    <row r="180" spans="2:43" x14ac:dyDescent="0.15">
      <c r="F180" s="30" t="s">
        <v>276</v>
      </c>
      <c r="G180" s="243">
        <f>G179/G178</f>
        <v>0.49846153846153846</v>
      </c>
      <c r="H180" s="243">
        <f t="shared" ref="H180:V180" si="110">H179/H178</f>
        <v>0.4564102564102564</v>
      </c>
      <c r="I180" s="243">
        <f t="shared" si="110"/>
        <v>0.41753191489361702</v>
      </c>
      <c r="J180" s="243">
        <f t="shared" si="110"/>
        <v>0.39665531914893615</v>
      </c>
      <c r="K180" s="243">
        <f t="shared" si="110"/>
        <v>0.37682255319148938</v>
      </c>
      <c r="L180" s="243">
        <f t="shared" si="110"/>
        <v>0.35798142553191487</v>
      </c>
      <c r="M180" s="243">
        <f t="shared" si="110"/>
        <v>0.34008235425531907</v>
      </c>
      <c r="N180" s="243">
        <f t="shared" si="110"/>
        <v>0.32307823654255313</v>
      </c>
      <c r="O180" s="243">
        <f t="shared" si="110"/>
        <v>0.30692432471542547</v>
      </c>
      <c r="P180" s="243">
        <f t="shared" si="110"/>
        <v>0.29157810847965421</v>
      </c>
      <c r="Q180" s="243">
        <f t="shared" si="110"/>
        <v>0.27699920305567149</v>
      </c>
      <c r="R180" s="243">
        <f t="shared" si="110"/>
        <v>0.26314924290288794</v>
      </c>
      <c r="S180" s="243">
        <f t="shared" si="110"/>
        <v>0.24999178075774356</v>
      </c>
      <c r="T180" s="243">
        <f t="shared" si="110"/>
        <v>0.23749219171985636</v>
      </c>
      <c r="U180" s="243">
        <f t="shared" si="110"/>
        <v>0.22561758213386349</v>
      </c>
      <c r="V180" s="243">
        <f t="shared" si="110"/>
        <v>0.21433670302717031</v>
      </c>
      <c r="W180" s="243"/>
      <c r="X180" s="243"/>
      <c r="Y180" s="243"/>
      <c r="Z180" s="243"/>
      <c r="AA180" s="243"/>
    </row>
    <row r="181" spans="2:43" x14ac:dyDescent="0.15">
      <c r="G181" s="81"/>
      <c r="H181" s="81"/>
      <c r="I181" s="104"/>
      <c r="J181" s="81"/>
      <c r="K181" s="81"/>
      <c r="L181" s="81"/>
      <c r="M181" s="81"/>
      <c r="N181" s="81"/>
      <c r="O181" s="81"/>
      <c r="P181" s="81"/>
      <c r="Q181" s="81"/>
      <c r="R181" s="81"/>
      <c r="S181" s="81"/>
      <c r="T181" s="81"/>
      <c r="U181" s="81"/>
      <c r="V181" s="81"/>
      <c r="W181" s="81"/>
      <c r="X181" s="81"/>
      <c r="Y181" s="81"/>
      <c r="Z181" s="81"/>
      <c r="AA181" s="81"/>
    </row>
    <row r="182" spans="2:43" x14ac:dyDescent="0.15">
      <c r="G182" s="81"/>
      <c r="H182" s="81"/>
      <c r="I182" s="104"/>
      <c r="J182" s="81"/>
      <c r="K182" s="81"/>
      <c r="L182" s="81"/>
      <c r="M182" s="81"/>
      <c r="N182" s="81"/>
      <c r="O182" s="81"/>
      <c r="P182" s="81"/>
      <c r="Q182" s="81"/>
      <c r="R182" s="81"/>
      <c r="S182" s="81"/>
      <c r="T182" s="81"/>
      <c r="U182" s="81"/>
      <c r="V182" s="81"/>
      <c r="W182" s="81"/>
      <c r="X182" s="81"/>
      <c r="Y182" s="81"/>
      <c r="Z182" s="81"/>
      <c r="AA182" s="81"/>
    </row>
    <row r="183" spans="2:43" x14ac:dyDescent="0.15">
      <c r="G183" s="81"/>
      <c r="H183" s="81"/>
      <c r="I183" s="104"/>
      <c r="J183" s="81"/>
      <c r="K183" s="81"/>
      <c r="L183" s="81"/>
      <c r="M183" s="81"/>
      <c r="N183" s="81"/>
      <c r="O183" s="81"/>
      <c r="P183" s="81"/>
      <c r="Q183" s="81"/>
      <c r="R183" s="81"/>
      <c r="S183" s="81"/>
      <c r="T183" s="81"/>
      <c r="U183" s="81"/>
      <c r="V183" s="81"/>
      <c r="W183" s="81"/>
      <c r="X183" s="81"/>
      <c r="Y183" s="81"/>
      <c r="Z183" s="81"/>
      <c r="AA183" s="81"/>
    </row>
    <row r="184" spans="2:43" ht="30" x14ac:dyDescent="0.3">
      <c r="G184" s="81"/>
      <c r="H184" s="81"/>
      <c r="I184" s="104"/>
      <c r="J184" s="81"/>
      <c r="L184" s="116" t="s">
        <v>259</v>
      </c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81"/>
      <c r="Y184" s="81"/>
      <c r="Z184" s="81"/>
      <c r="AA184" s="81"/>
    </row>
    <row r="185" spans="2:43" x14ac:dyDescent="0.15">
      <c r="G185" s="81"/>
      <c r="H185" s="81"/>
      <c r="I185" s="104"/>
      <c r="J185" s="81"/>
      <c r="K185" s="81"/>
      <c r="L185" s="81"/>
      <c r="M185" s="81"/>
      <c r="N185" s="81"/>
      <c r="O185" s="81"/>
      <c r="P185" s="81"/>
      <c r="Q185" s="81"/>
      <c r="R185" s="81"/>
      <c r="S185" s="81"/>
      <c r="T185" s="81"/>
      <c r="U185" s="81"/>
      <c r="V185" s="81"/>
      <c r="W185" s="81"/>
      <c r="X185" s="81"/>
      <c r="Y185" s="81"/>
      <c r="Z185" s="81"/>
      <c r="AA185" s="81"/>
    </row>
    <row r="186" spans="2:43" x14ac:dyDescent="0.15">
      <c r="G186" s="81"/>
      <c r="H186" s="81"/>
      <c r="I186" s="104"/>
      <c r="J186" s="81"/>
      <c r="K186" s="81"/>
      <c r="L186" s="81"/>
      <c r="M186" s="81"/>
      <c r="N186" s="81"/>
      <c r="O186" s="81"/>
      <c r="P186" s="81"/>
      <c r="Q186" s="81"/>
      <c r="R186" s="81"/>
      <c r="S186" s="81"/>
      <c r="T186" s="81"/>
      <c r="U186" s="81"/>
      <c r="V186" s="81"/>
      <c r="W186" s="81"/>
      <c r="X186" s="81"/>
      <c r="Y186" s="81"/>
      <c r="Z186" s="81"/>
      <c r="AA186" s="81"/>
    </row>
    <row r="187" spans="2:43" x14ac:dyDescent="0.15">
      <c r="G187" s="81"/>
      <c r="H187" s="81"/>
      <c r="I187" s="104"/>
      <c r="J187" s="81"/>
      <c r="K187" s="81"/>
      <c r="L187" s="81"/>
      <c r="M187" s="81"/>
      <c r="N187" s="81"/>
      <c r="O187" s="81"/>
      <c r="P187" s="81"/>
      <c r="Q187" s="81"/>
      <c r="R187" s="81"/>
      <c r="S187" s="81"/>
      <c r="T187" s="81"/>
      <c r="U187" s="81"/>
      <c r="V187" s="81"/>
      <c r="W187" s="81"/>
      <c r="X187" s="81"/>
      <c r="Y187" s="81"/>
      <c r="Z187" s="81"/>
      <c r="AA187" s="81"/>
    </row>
    <row r="188" spans="2:43" x14ac:dyDescent="0.15">
      <c r="C188" s="30" t="s">
        <v>257</v>
      </c>
      <c r="G188" s="81">
        <f>Traffic!B17</f>
        <v>118</v>
      </c>
      <c r="H188" s="81">
        <f>Traffic!C17</f>
        <v>154</v>
      </c>
      <c r="I188" s="81">
        <f>Traffic!D17</f>
        <v>200</v>
      </c>
      <c r="J188" s="81">
        <f>Traffic!E17</f>
        <v>260</v>
      </c>
      <c r="K188" s="81">
        <f>Traffic!F17</f>
        <v>338</v>
      </c>
      <c r="L188" s="450">
        <f>Traffic!G12</f>
        <v>390.625</v>
      </c>
      <c r="M188" s="450">
        <f>Traffic!H12</f>
        <v>488.28125</v>
      </c>
      <c r="N188" s="450">
        <f>Traffic!I12</f>
        <v>610.3515625</v>
      </c>
      <c r="O188" s="450">
        <f>Traffic!J12</f>
        <v>762.939453125</v>
      </c>
      <c r="P188" s="450">
        <f>Traffic!K12</f>
        <v>953.67431640625</v>
      </c>
      <c r="Q188" s="450">
        <f>Traffic!L12</f>
        <v>1192.0928955078125</v>
      </c>
      <c r="R188" s="450">
        <f>Traffic!M12</f>
        <v>1490.1161193847656</v>
      </c>
      <c r="S188" s="450">
        <f>Traffic!N12</f>
        <v>1862.645149230957</v>
      </c>
      <c r="T188" s="450">
        <f>Traffic!O12</f>
        <v>2328.3064365386963</v>
      </c>
      <c r="U188" s="450">
        <f>Traffic!P12</f>
        <v>2910.3830456733704</v>
      </c>
      <c r="V188" s="450">
        <f>Traffic!Q12</f>
        <v>3637.978807091713</v>
      </c>
      <c r="W188" s="450"/>
      <c r="X188" s="81"/>
      <c r="Y188" s="81"/>
      <c r="Z188" s="81"/>
      <c r="AA188" s="81"/>
    </row>
    <row r="189" spans="2:43" ht="15" x14ac:dyDescent="0.2">
      <c r="C189" s="30" t="s">
        <v>258</v>
      </c>
      <c r="G189" s="181">
        <v>42.1</v>
      </c>
      <c r="H189" s="181">
        <v>46.4</v>
      </c>
      <c r="I189" s="181">
        <f>51.4</f>
        <v>51.4</v>
      </c>
      <c r="J189" s="181">
        <f>(J$188/I$188)*I189*(1-$E192)</f>
        <v>51.785500000000006</v>
      </c>
      <c r="K189" s="181">
        <f>(K$188/J$188)*J189*(1-$E192)</f>
        <v>52.173891250000018</v>
      </c>
      <c r="L189" s="181">
        <f>(L$188/K$188)*K189*(1-$E192)</f>
        <v>46.730267333984393</v>
      </c>
      <c r="M189" s="181">
        <f>(M$188/L$188)*L189*(1-$E192)</f>
        <v>45.269946479797383</v>
      </c>
      <c r="N189" s="181">
        <f t="shared" ref="N189:R189" si="111">(N$188/M$188)*M189*(1-$E192)</f>
        <v>43.85526065230372</v>
      </c>
      <c r="O189" s="181">
        <f t="shared" si="111"/>
        <v>42.484783756919228</v>
      </c>
      <c r="P189" s="181">
        <f t="shared" si="111"/>
        <v>41.157134264515506</v>
      </c>
      <c r="Q189" s="181">
        <f t="shared" si="111"/>
        <v>39.870973818749391</v>
      </c>
      <c r="R189" s="181">
        <f t="shared" si="111"/>
        <v>38.625005886913478</v>
      </c>
      <c r="S189" s="181">
        <f>(S$188/R$188)*R189*(1-$E194)</f>
        <v>45.86719449070975</v>
      </c>
      <c r="T189" s="181">
        <f t="shared" ref="T189:V189" si="112">(T$188/S$188)*S189*(1-$E194)</f>
        <v>54.467293457717822</v>
      </c>
      <c r="U189" s="181">
        <f t="shared" si="112"/>
        <v>64.67991098103991</v>
      </c>
      <c r="V189" s="181">
        <f t="shared" si="112"/>
        <v>76.807394289984899</v>
      </c>
      <c r="W189" s="181"/>
      <c r="X189" s="181"/>
      <c r="Y189" s="181"/>
      <c r="Z189" s="181"/>
      <c r="AA189" s="181"/>
      <c r="AB189" s="264"/>
      <c r="AE189" s="243"/>
      <c r="AF189" s="243"/>
      <c r="AG189" s="243"/>
      <c r="AH189" s="243"/>
      <c r="AI189" s="243"/>
      <c r="AJ189" s="243"/>
      <c r="AK189" s="243"/>
      <c r="AL189" s="243"/>
      <c r="AM189" s="243"/>
      <c r="AN189" s="243"/>
      <c r="AO189" s="243"/>
    </row>
    <row r="190" spans="2:43" ht="14" thickBot="1" x14ac:dyDescent="0.2">
      <c r="F190" s="30" t="s">
        <v>276</v>
      </c>
      <c r="G190" s="243">
        <f>G189/G188</f>
        <v>0.35677966101694919</v>
      </c>
      <c r="H190" s="243">
        <f t="shared" ref="H190:V190" si="113">H189/H188</f>
        <v>0.30129870129870129</v>
      </c>
      <c r="I190" s="243">
        <f t="shared" si="113"/>
        <v>0.25700000000000001</v>
      </c>
      <c r="J190" s="243">
        <f t="shared" si="113"/>
        <v>0.19917500000000002</v>
      </c>
      <c r="K190" s="243">
        <f t="shared" si="113"/>
        <v>0.15436062500000006</v>
      </c>
      <c r="L190" s="243">
        <f t="shared" si="113"/>
        <v>0.11962948437500005</v>
      </c>
      <c r="M190" s="243">
        <f t="shared" si="113"/>
        <v>9.2712850390625046E-2</v>
      </c>
      <c r="N190" s="243">
        <f t="shared" si="113"/>
        <v>7.1852459052734421E-2</v>
      </c>
      <c r="O190" s="243">
        <f t="shared" si="113"/>
        <v>5.5685655765869167E-2</v>
      </c>
      <c r="P190" s="243">
        <f t="shared" si="113"/>
        <v>4.3156383218548609E-2</v>
      </c>
      <c r="Q190" s="243">
        <f t="shared" si="113"/>
        <v>3.344619699437517E-2</v>
      </c>
      <c r="R190" s="243">
        <f t="shared" si="113"/>
        <v>2.5920802670640758E-2</v>
      </c>
      <c r="S190" s="243">
        <f t="shared" si="113"/>
        <v>2.462476253710872E-2</v>
      </c>
      <c r="T190" s="243">
        <f t="shared" si="113"/>
        <v>2.3393524410253282E-2</v>
      </c>
      <c r="U190" s="243">
        <f t="shared" si="113"/>
        <v>2.2223848189740616E-2</v>
      </c>
      <c r="V190" s="243">
        <f t="shared" si="113"/>
        <v>2.1112655780253585E-2</v>
      </c>
      <c r="W190" s="243"/>
      <c r="X190" s="243"/>
      <c r="Y190" s="243"/>
      <c r="Z190" s="243"/>
      <c r="AA190" s="243"/>
      <c r="AB190" s="260"/>
      <c r="AE190" s="453"/>
      <c r="AF190" s="453"/>
      <c r="AG190" s="453"/>
      <c r="AH190" s="453"/>
      <c r="AI190" s="453"/>
      <c r="AJ190" s="453"/>
      <c r="AK190" s="453"/>
      <c r="AL190" s="453"/>
      <c r="AM190" s="453"/>
      <c r="AN190" s="453"/>
      <c r="AO190" s="453"/>
    </row>
    <row r="191" spans="2:43" ht="52" x14ac:dyDescent="0.15">
      <c r="C191" s="30" t="s">
        <v>257</v>
      </c>
      <c r="D191" s="90"/>
      <c r="E191" s="91" t="s">
        <v>92</v>
      </c>
      <c r="G191" s="81">
        <f>Traffic!B17</f>
        <v>118</v>
      </c>
      <c r="H191" s="81">
        <f>Traffic!C17</f>
        <v>154</v>
      </c>
      <c r="I191" s="81">
        <f>Traffic!D17</f>
        <v>200</v>
      </c>
      <c r="J191" s="81">
        <f>Traffic!E17</f>
        <v>260</v>
      </c>
      <c r="K191" s="81">
        <f>Traffic!F17</f>
        <v>338</v>
      </c>
      <c r="L191" s="489">
        <f>Traffic!G17</f>
        <v>439.40000000000003</v>
      </c>
      <c r="M191" s="490">
        <f>Traffic!H17</f>
        <v>585</v>
      </c>
      <c r="N191" s="490">
        <f>Traffic!I17</f>
        <v>760.5</v>
      </c>
      <c r="O191" s="490">
        <f>Traffic!J17</f>
        <v>988.65</v>
      </c>
      <c r="P191" s="490">
        <f>Traffic!K17</f>
        <v>1285.2450000000001</v>
      </c>
      <c r="Q191" s="490">
        <f>Traffic!L17</f>
        <v>1670.8185000000003</v>
      </c>
      <c r="R191" s="490">
        <f>Traffic!M17</f>
        <v>2172.0640500000004</v>
      </c>
      <c r="S191" s="490">
        <f>Traffic!N17</f>
        <v>2823.6832650000006</v>
      </c>
      <c r="T191" s="490">
        <f>Traffic!O17</f>
        <v>3670.7882445000009</v>
      </c>
      <c r="U191" s="490">
        <f>Traffic!P17</f>
        <v>4772.0247178500013</v>
      </c>
      <c r="V191" s="490">
        <f>Traffic!Q17</f>
        <v>6203.632133205002</v>
      </c>
      <c r="W191" s="491"/>
      <c r="X191" s="81"/>
      <c r="Y191" s="81"/>
      <c r="Z191" s="81"/>
      <c r="AA191" s="81"/>
      <c r="AB191" s="260"/>
      <c r="AE191" s="113"/>
      <c r="AF191" s="113"/>
      <c r="AG191" s="113"/>
      <c r="AH191" s="113"/>
      <c r="AI191" s="113"/>
      <c r="AJ191" s="113"/>
      <c r="AK191" s="113"/>
      <c r="AL191" s="113"/>
      <c r="AM191" s="113"/>
      <c r="AN191" s="113"/>
      <c r="AO191" s="113"/>
    </row>
    <row r="192" spans="2:43" ht="16" thickBot="1" x14ac:dyDescent="0.25">
      <c r="C192" s="30" t="s">
        <v>258</v>
      </c>
      <c r="E192" s="163">
        <v>0.22500000000000001</v>
      </c>
      <c r="G192" s="192">
        <v>42.1</v>
      </c>
      <c r="H192" s="192">
        <v>46.4</v>
      </c>
      <c r="I192" s="192">
        <f>51.4</f>
        <v>51.4</v>
      </c>
      <c r="J192" s="192">
        <f>(J$191/I$191)*I192*(1-$E193)</f>
        <v>56.797000000000004</v>
      </c>
      <c r="K192" s="192">
        <f>(K$191/J$191)*J192*(1-$E193)</f>
        <v>62.760685000000002</v>
      </c>
      <c r="L192" s="492">
        <f>(L$191/K$191)*K192*(1-$E193)</f>
        <v>69.350556925000006</v>
      </c>
      <c r="M192" s="493">
        <f>(M$191/L$191)*L189*(1-$E193)</f>
        <v>52.882625015529669</v>
      </c>
      <c r="N192" s="493">
        <f t="shared" ref="N192:R192" si="114">(N$191/M$191)*M192*(1-$E193)</f>
        <v>58.435300642160286</v>
      </c>
      <c r="O192" s="493">
        <f t="shared" si="114"/>
        <v>64.571007209587123</v>
      </c>
      <c r="P192" s="493">
        <f t="shared" si="114"/>
        <v>71.350962966593769</v>
      </c>
      <c r="Q192" s="493">
        <f t="shared" si="114"/>
        <v>78.842814078086121</v>
      </c>
      <c r="R192" s="493">
        <f t="shared" si="114"/>
        <v>87.121309556285169</v>
      </c>
      <c r="S192" s="493">
        <f>(S$191/R$191)*R192*(1-$E194)</f>
        <v>107.59481730201219</v>
      </c>
      <c r="T192" s="493">
        <f t="shared" ref="T192:U192" si="115">(T$191/S$191)*S192*(1-$E194)</f>
        <v>132.87959936798507</v>
      </c>
      <c r="U192" s="493">
        <f t="shared" si="115"/>
        <v>164.10630521946155</v>
      </c>
      <c r="V192" s="493">
        <f>(V$191/U$191)*U192*(1-$E194)</f>
        <v>202.67128694603502</v>
      </c>
      <c r="W192" s="493"/>
      <c r="X192" s="192"/>
      <c r="Y192" s="192"/>
      <c r="Z192" s="192"/>
      <c r="AA192" s="192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Q192" s="233"/>
    </row>
    <row r="193" spans="3:43" ht="15" x14ac:dyDescent="0.2">
      <c r="D193" s="101" t="s">
        <v>327</v>
      </c>
      <c r="E193" s="165">
        <v>0.15</v>
      </c>
      <c r="F193" s="30" t="s">
        <v>276</v>
      </c>
      <c r="G193" s="243">
        <f>G192/G191</f>
        <v>0.35677966101694919</v>
      </c>
      <c r="H193" s="243">
        <f t="shared" ref="H193:V193" si="116">H192/H191</f>
        <v>0.30129870129870129</v>
      </c>
      <c r="I193" s="243">
        <f t="shared" si="116"/>
        <v>0.25700000000000001</v>
      </c>
      <c r="J193" s="243">
        <f t="shared" si="116"/>
        <v>0.21845000000000001</v>
      </c>
      <c r="K193" s="243">
        <f t="shared" si="116"/>
        <v>0.1856825</v>
      </c>
      <c r="L193" s="243">
        <f t="shared" si="116"/>
        <v>0.15783012500000002</v>
      </c>
      <c r="M193" s="243">
        <f t="shared" si="116"/>
        <v>9.0397649599196009E-2</v>
      </c>
      <c r="N193" s="243">
        <f t="shared" si="116"/>
        <v>7.6838002159316618E-2</v>
      </c>
      <c r="O193" s="243">
        <f t="shared" si="116"/>
        <v>6.5312301835419126E-2</v>
      </c>
      <c r="P193" s="243">
        <f t="shared" si="116"/>
        <v>5.5515456560106258E-2</v>
      </c>
      <c r="Q193" s="243">
        <f t="shared" si="116"/>
        <v>4.7188138076090312E-2</v>
      </c>
      <c r="R193" s="243">
        <f t="shared" si="116"/>
        <v>4.010991736467677E-2</v>
      </c>
      <c r="S193" s="243">
        <f t="shared" si="116"/>
        <v>3.8104421496442935E-2</v>
      </c>
      <c r="T193" s="243">
        <f t="shared" si="116"/>
        <v>3.6199200421620788E-2</v>
      </c>
      <c r="U193" s="243">
        <f t="shared" si="116"/>
        <v>3.4389240400539749E-2</v>
      </c>
      <c r="V193" s="243">
        <f t="shared" si="116"/>
        <v>3.2669778380512757E-2</v>
      </c>
      <c r="W193" s="243"/>
      <c r="X193" s="243"/>
      <c r="Y193" s="243"/>
      <c r="Z193" s="243"/>
      <c r="AA193" s="243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Q193" s="233"/>
    </row>
    <row r="194" spans="3:43" ht="15" x14ac:dyDescent="0.2">
      <c r="E194" s="167">
        <v>0.05</v>
      </c>
      <c r="F194" s="49"/>
      <c r="G194" s="81"/>
      <c r="H194" s="81"/>
      <c r="I194" s="81"/>
      <c r="J194" s="81"/>
      <c r="K194" s="81"/>
      <c r="L194" s="81"/>
      <c r="M194" s="81"/>
      <c r="N194" s="81"/>
      <c r="O194" s="81"/>
      <c r="P194" s="81"/>
      <c r="Q194" s="81"/>
      <c r="R194" s="81"/>
      <c r="S194" s="81"/>
      <c r="T194" s="81"/>
      <c r="U194" s="81"/>
      <c r="V194" s="81"/>
      <c r="W194" s="81"/>
      <c r="X194" s="81"/>
      <c r="Y194" s="81"/>
      <c r="Z194" s="81"/>
      <c r="AA194" s="81"/>
    </row>
    <row r="195" spans="3:43" x14ac:dyDescent="0.15">
      <c r="E195" s="49"/>
      <c r="F195" s="49"/>
      <c r="G195" s="81"/>
      <c r="H195" s="81"/>
      <c r="I195" s="81"/>
      <c r="J195" s="81"/>
      <c r="K195" s="81"/>
      <c r="L195" s="81"/>
      <c r="M195" s="81"/>
      <c r="N195" s="81"/>
      <c r="O195" s="81"/>
      <c r="P195" s="81"/>
      <c r="Q195" s="81"/>
      <c r="R195" s="81"/>
      <c r="S195" s="81"/>
      <c r="T195" s="81"/>
      <c r="U195" s="81"/>
      <c r="V195" s="81"/>
      <c r="W195" s="81"/>
      <c r="X195" s="81"/>
      <c r="Y195" s="81"/>
      <c r="Z195" s="81"/>
      <c r="AA195" s="81"/>
    </row>
    <row r="196" spans="3:43" x14ac:dyDescent="0.15">
      <c r="C196" s="30" t="s">
        <v>257</v>
      </c>
      <c r="D196" s="30">
        <f>2^(1/18)</f>
        <v>1.0392592260318434</v>
      </c>
      <c r="G196" s="81">
        <f>Traffic!B22</f>
        <v>118</v>
      </c>
      <c r="H196" s="81">
        <f>Traffic!C22</f>
        <v>154</v>
      </c>
      <c r="I196" s="81">
        <f>Traffic!D22</f>
        <v>200</v>
      </c>
      <c r="J196" s="81">
        <f>Traffic!E22</f>
        <v>270</v>
      </c>
      <c r="K196" s="81">
        <f>Traffic!F22</f>
        <v>364.5</v>
      </c>
      <c r="L196" s="81">
        <f>Traffic!G22</f>
        <v>492.07500000000005</v>
      </c>
      <c r="M196" s="81">
        <f>Traffic!H22</f>
        <v>664.3012500000001</v>
      </c>
      <c r="N196" s="81">
        <f>Traffic!I22</f>
        <v>896.80668750000018</v>
      </c>
      <c r="O196" s="81">
        <f>Traffic!J22</f>
        <v>1210.6890281250003</v>
      </c>
      <c r="P196" s="81">
        <f>Traffic!K22</f>
        <v>1634.4301879687505</v>
      </c>
      <c r="Q196" s="81">
        <f>Traffic!L22</f>
        <v>2206.4807537578131</v>
      </c>
      <c r="R196" s="81">
        <f>Traffic!M22</f>
        <v>2978.7490175730477</v>
      </c>
      <c r="S196" s="81">
        <f>Traffic!N22</f>
        <v>4021.3111737236145</v>
      </c>
      <c r="T196" s="81">
        <f>Traffic!O22</f>
        <v>5428.7700845268801</v>
      </c>
      <c r="U196" s="81">
        <f>Traffic!P22</f>
        <v>7328.8396141112889</v>
      </c>
      <c r="V196" s="81">
        <f>Traffic!Q22</f>
        <v>9893.9334790502398</v>
      </c>
      <c r="W196" s="81"/>
      <c r="X196" s="81"/>
      <c r="Y196" s="81"/>
      <c r="Z196" s="81"/>
      <c r="AA196" s="81"/>
    </row>
    <row r="197" spans="3:43" ht="15" x14ac:dyDescent="0.2">
      <c r="C197" s="30" t="s">
        <v>258</v>
      </c>
      <c r="D197" s="30">
        <f>D196^12</f>
        <v>1.5874010519681994</v>
      </c>
      <c r="G197" s="201">
        <v>42.1</v>
      </c>
      <c r="H197" s="201">
        <v>46.4</v>
      </c>
      <c r="I197" s="201">
        <f>51.4</f>
        <v>51.4</v>
      </c>
      <c r="J197" s="201">
        <f>(J$196/I$196)*I197*(1-$E194)</f>
        <v>65.920500000000004</v>
      </c>
      <c r="K197" s="201">
        <f t="shared" ref="K197:V197" si="117">(K$196/J$196)*J197*(1-$E194)</f>
        <v>84.543041250000002</v>
      </c>
      <c r="L197" s="201">
        <f t="shared" si="117"/>
        <v>108.426450403125</v>
      </c>
      <c r="M197" s="201">
        <f t="shared" si="117"/>
        <v>139.05692264200781</v>
      </c>
      <c r="N197" s="201">
        <f t="shared" si="117"/>
        <v>178.340503288375</v>
      </c>
      <c r="O197" s="201">
        <f t="shared" si="117"/>
        <v>228.72169546734094</v>
      </c>
      <c r="P197" s="201">
        <f t="shared" si="117"/>
        <v>293.33557443686476</v>
      </c>
      <c r="Q197" s="201">
        <f t="shared" si="117"/>
        <v>376.202874215279</v>
      </c>
      <c r="R197" s="201">
        <f t="shared" si="117"/>
        <v>482.48018618109529</v>
      </c>
      <c r="S197" s="201">
        <f t="shared" si="117"/>
        <v>618.78083877725476</v>
      </c>
      <c r="T197" s="201">
        <f t="shared" si="117"/>
        <v>793.58642573182931</v>
      </c>
      <c r="U197" s="201">
        <f t="shared" si="117"/>
        <v>1017.7745910010711</v>
      </c>
      <c r="V197" s="201">
        <f t="shared" si="117"/>
        <v>1305.2959129588735</v>
      </c>
      <c r="W197" s="201"/>
      <c r="X197" s="201"/>
      <c r="Y197" s="201"/>
      <c r="Z197" s="201"/>
      <c r="AA197" s="201"/>
    </row>
    <row r="198" spans="3:43" x14ac:dyDescent="0.15">
      <c r="F198" s="30" t="s">
        <v>276</v>
      </c>
      <c r="G198" s="243">
        <f>G197/G196</f>
        <v>0.35677966101694919</v>
      </c>
      <c r="H198" s="243">
        <f t="shared" ref="H198:V198" si="118">H197/H196</f>
        <v>0.30129870129870129</v>
      </c>
      <c r="I198" s="243">
        <f t="shared" si="118"/>
        <v>0.25700000000000001</v>
      </c>
      <c r="J198" s="243">
        <f t="shared" si="118"/>
        <v>0.24415000000000001</v>
      </c>
      <c r="K198" s="243">
        <f t="shared" si="118"/>
        <v>0.2319425</v>
      </c>
      <c r="L198" s="243">
        <f t="shared" si="118"/>
        <v>0.22034537499999998</v>
      </c>
      <c r="M198" s="243">
        <f t="shared" si="118"/>
        <v>0.20932810624999995</v>
      </c>
      <c r="N198" s="243">
        <f t="shared" si="118"/>
        <v>0.19886170093749994</v>
      </c>
      <c r="O198" s="243">
        <f t="shared" si="118"/>
        <v>0.18891861589062495</v>
      </c>
      <c r="P198" s="243">
        <f t="shared" si="118"/>
        <v>0.17947268509609368</v>
      </c>
      <c r="Q198" s="243">
        <f t="shared" si="118"/>
        <v>0.17049905084128897</v>
      </c>
      <c r="R198" s="243">
        <f t="shared" si="118"/>
        <v>0.16197409829922452</v>
      </c>
      <c r="S198" s="243">
        <f t="shared" si="118"/>
        <v>0.15387539338426329</v>
      </c>
      <c r="T198" s="243">
        <f t="shared" si="118"/>
        <v>0.14618162371505014</v>
      </c>
      <c r="U198" s="243">
        <f t="shared" si="118"/>
        <v>0.13887254252929762</v>
      </c>
      <c r="V198" s="243">
        <f t="shared" si="118"/>
        <v>0.13192891540283272</v>
      </c>
      <c r="W198" s="243"/>
      <c r="X198" s="243"/>
      <c r="Y198" s="243"/>
      <c r="Z198" s="243"/>
      <c r="AA198" s="243"/>
    </row>
    <row r="199" spans="3:43" x14ac:dyDescent="0.15">
      <c r="G199" s="243"/>
      <c r="H199" s="243"/>
      <c r="I199" s="243"/>
      <c r="J199" s="243"/>
      <c r="K199" s="243"/>
      <c r="L199" s="243"/>
      <c r="M199" s="243"/>
      <c r="N199" s="243"/>
      <c r="O199" s="243"/>
      <c r="P199" s="243"/>
      <c r="Q199" s="243"/>
      <c r="R199" s="243"/>
      <c r="S199" s="243"/>
      <c r="T199" s="243"/>
      <c r="U199" s="243"/>
      <c r="V199" s="243"/>
      <c r="W199" s="243"/>
      <c r="X199" s="243"/>
      <c r="Y199" s="243"/>
      <c r="Z199" s="243"/>
      <c r="AA199" s="243"/>
    </row>
    <row r="200" spans="3:43" x14ac:dyDescent="0.15">
      <c r="G200" s="243"/>
      <c r="H200" s="243"/>
      <c r="I200" s="243"/>
      <c r="J200" s="243"/>
      <c r="K200" s="243"/>
      <c r="L200" s="243"/>
      <c r="M200" s="243"/>
      <c r="N200" s="243"/>
      <c r="O200" s="243"/>
      <c r="P200" s="243"/>
      <c r="Q200" s="243"/>
      <c r="R200" s="243"/>
      <c r="S200" s="243"/>
      <c r="T200" s="243"/>
      <c r="U200" s="243"/>
      <c r="V200" s="243"/>
      <c r="W200" s="243"/>
      <c r="X200" s="243"/>
      <c r="Y200" s="243"/>
      <c r="Z200" s="243"/>
      <c r="AA200" s="243"/>
    </row>
    <row r="201" spans="3:43" x14ac:dyDescent="0.15">
      <c r="G201" s="243"/>
      <c r="H201" s="243"/>
      <c r="I201" s="243"/>
      <c r="J201" s="243"/>
      <c r="K201" s="243"/>
      <c r="L201" s="243"/>
      <c r="M201" s="243"/>
      <c r="N201" s="243"/>
      <c r="O201" s="243"/>
      <c r="P201" s="243"/>
      <c r="Q201" s="243"/>
      <c r="R201" s="243"/>
      <c r="S201" s="243"/>
      <c r="T201" s="243"/>
      <c r="U201" s="243"/>
      <c r="V201" s="243"/>
      <c r="W201" s="243"/>
      <c r="X201" s="243"/>
      <c r="Y201" s="243"/>
      <c r="Z201" s="243"/>
      <c r="AA201" s="243"/>
    </row>
    <row r="202" spans="3:43" x14ac:dyDescent="0.15">
      <c r="G202" s="243"/>
      <c r="H202" s="243"/>
      <c r="I202" s="243"/>
      <c r="J202" s="243"/>
      <c r="K202" s="243"/>
      <c r="L202" s="243"/>
      <c r="M202" s="243"/>
      <c r="N202" s="243"/>
      <c r="O202" s="243"/>
      <c r="P202" s="243"/>
      <c r="Q202" s="243"/>
      <c r="R202" s="243"/>
      <c r="S202" s="243"/>
      <c r="T202" s="243"/>
      <c r="U202" s="243"/>
      <c r="V202" s="243"/>
      <c r="W202" s="243"/>
      <c r="X202" s="243"/>
      <c r="Y202" s="243"/>
      <c r="Z202" s="243"/>
      <c r="AA202" s="243"/>
    </row>
    <row r="203" spans="3:43" x14ac:dyDescent="0.15">
      <c r="G203" s="243"/>
      <c r="H203" s="243"/>
      <c r="I203" s="243"/>
      <c r="J203" s="243"/>
      <c r="K203" s="243"/>
      <c r="L203" s="243"/>
      <c r="M203" s="243"/>
      <c r="N203" s="243"/>
      <c r="O203" s="243"/>
      <c r="P203" s="243"/>
      <c r="Q203" s="243"/>
      <c r="R203" s="243"/>
      <c r="S203" s="243"/>
      <c r="T203" s="243"/>
      <c r="U203" s="243"/>
      <c r="V203" s="243"/>
      <c r="W203" s="243"/>
      <c r="X203" s="243"/>
      <c r="Y203" s="243"/>
      <c r="Z203" s="243"/>
      <c r="AA203" s="243"/>
    </row>
    <row r="204" spans="3:43" ht="52" x14ac:dyDescent="0.15">
      <c r="E204" s="91" t="s">
        <v>92</v>
      </c>
      <c r="G204" s="243"/>
      <c r="H204" s="243"/>
      <c r="I204" s="243"/>
      <c r="J204" s="243"/>
      <c r="K204" s="243"/>
      <c r="L204" s="243"/>
      <c r="M204" s="243"/>
      <c r="N204" s="243"/>
      <c r="O204" s="243"/>
      <c r="P204" s="243"/>
      <c r="Q204" s="243"/>
      <c r="R204" s="243"/>
      <c r="S204" s="243"/>
      <c r="T204" s="243"/>
      <c r="U204" s="243"/>
      <c r="V204" s="243"/>
      <c r="W204" s="243"/>
      <c r="X204" s="243"/>
      <c r="Y204" s="243"/>
      <c r="Z204" s="243"/>
      <c r="AA204" s="243"/>
    </row>
    <row r="205" spans="3:43" ht="15" x14ac:dyDescent="0.2">
      <c r="E205" s="163">
        <v>0.15</v>
      </c>
      <c r="G205" s="181">
        <v>42.1</v>
      </c>
      <c r="H205" s="181">
        <v>46.4</v>
      </c>
      <c r="I205" s="181">
        <f>51.4</f>
        <v>51.4</v>
      </c>
      <c r="J205" s="243">
        <f>I205*1.25*(1-$E$205)</f>
        <v>54.612499999999997</v>
      </c>
      <c r="K205" s="243">
        <f t="shared" ref="K205:Z205" si="119">J205*1.25*(1-$E$205)</f>
        <v>58.025781250000001</v>
      </c>
      <c r="L205" s="243">
        <f t="shared" si="119"/>
        <v>61.652392578124996</v>
      </c>
      <c r="M205" s="243">
        <f t="shared" si="119"/>
        <v>65.505667114257804</v>
      </c>
      <c r="N205" s="243">
        <f t="shared" si="119"/>
        <v>69.599771308898909</v>
      </c>
      <c r="O205" s="243">
        <f t="shared" si="119"/>
        <v>73.949757015705089</v>
      </c>
      <c r="P205" s="243">
        <f t="shared" si="119"/>
        <v>78.571616829186652</v>
      </c>
      <c r="Q205" s="243">
        <f t="shared" si="119"/>
        <v>83.482342881010823</v>
      </c>
      <c r="R205" s="243">
        <f t="shared" si="119"/>
        <v>88.699989311073992</v>
      </c>
      <c r="S205" s="243">
        <f t="shared" si="119"/>
        <v>94.243738643016115</v>
      </c>
      <c r="T205" s="243">
        <f t="shared" si="119"/>
        <v>100.13397230820462</v>
      </c>
      <c r="U205" s="243">
        <f t="shared" si="119"/>
        <v>106.39234557746741</v>
      </c>
      <c r="V205" s="243">
        <f t="shared" si="119"/>
        <v>113.04186717605911</v>
      </c>
      <c r="W205" s="243">
        <f t="shared" si="119"/>
        <v>120.10698387456281</v>
      </c>
      <c r="X205" s="243">
        <f t="shared" si="119"/>
        <v>127.613670366723</v>
      </c>
      <c r="Y205" s="243">
        <f t="shared" si="119"/>
        <v>135.58952476464319</v>
      </c>
      <c r="Z205" s="243">
        <f t="shared" si="119"/>
        <v>144.06387006243338</v>
      </c>
      <c r="AA205" s="243">
        <f>Z205*1.25*(1-$E$205)</f>
        <v>153.06786194133545</v>
      </c>
    </row>
    <row r="206" spans="3:43" ht="15" x14ac:dyDescent="0.2">
      <c r="E206" s="165">
        <v>0.1</v>
      </c>
      <c r="G206" s="192">
        <v>42.1</v>
      </c>
      <c r="H206" s="192">
        <v>46.4</v>
      </c>
      <c r="I206" s="192">
        <f>51.4</f>
        <v>51.4</v>
      </c>
      <c r="J206" s="243">
        <f>I206*1.3*(1-$E$206)</f>
        <v>60.138000000000005</v>
      </c>
      <c r="K206" s="243">
        <f t="shared" ref="K206:AA206" si="120">J206*1.3*(1-$E$206)</f>
        <v>70.361460000000022</v>
      </c>
      <c r="L206" s="243">
        <f t="shared" si="120"/>
        <v>82.322908200000029</v>
      </c>
      <c r="M206" s="243">
        <f t="shared" si="120"/>
        <v>96.317802594000042</v>
      </c>
      <c r="N206" s="243">
        <f t="shared" si="120"/>
        <v>112.69182903498006</v>
      </c>
      <c r="O206" s="243">
        <f t="shared" si="120"/>
        <v>131.84943997092668</v>
      </c>
      <c r="P206" s="243">
        <f t="shared" si="120"/>
        <v>154.26384476598423</v>
      </c>
      <c r="Q206" s="243">
        <f t="shared" si="120"/>
        <v>180.48869837620157</v>
      </c>
      <c r="R206" s="243">
        <f t="shared" si="120"/>
        <v>211.17177710015582</v>
      </c>
      <c r="S206" s="243">
        <f t="shared" si="120"/>
        <v>247.07097920718232</v>
      </c>
      <c r="T206" s="243">
        <f t="shared" si="120"/>
        <v>289.07304567240334</v>
      </c>
      <c r="U206" s="243">
        <f t="shared" si="120"/>
        <v>338.2154634367119</v>
      </c>
      <c r="V206" s="243">
        <f t="shared" si="120"/>
        <v>395.71209222095291</v>
      </c>
      <c r="W206" s="243">
        <f t="shared" si="120"/>
        <v>462.98314789851491</v>
      </c>
      <c r="X206" s="243">
        <f t="shared" si="120"/>
        <v>541.69028304126243</v>
      </c>
      <c r="Y206" s="243">
        <f t="shared" si="120"/>
        <v>633.77763115827713</v>
      </c>
      <c r="Z206" s="243">
        <f t="shared" si="120"/>
        <v>741.51982845518421</v>
      </c>
      <c r="AA206" s="243">
        <f t="shared" si="120"/>
        <v>867.57819929256561</v>
      </c>
    </row>
    <row r="207" spans="3:43" ht="15" x14ac:dyDescent="0.2">
      <c r="E207" s="167">
        <v>0.05</v>
      </c>
      <c r="G207" s="201">
        <v>42.1</v>
      </c>
      <c r="H207" s="201">
        <v>46.4</v>
      </c>
      <c r="I207" s="201">
        <f>51.4</f>
        <v>51.4</v>
      </c>
      <c r="J207" s="243">
        <f>I207*1.35*(1-$E$207)</f>
        <v>65.920500000000004</v>
      </c>
      <c r="K207" s="243">
        <f t="shared" ref="K207:AA207" si="121">J207*1.35*(1-$E$207)</f>
        <v>84.543041250000002</v>
      </c>
      <c r="L207" s="243">
        <f t="shared" si="121"/>
        <v>108.426450403125</v>
      </c>
      <c r="M207" s="243">
        <f t="shared" si="121"/>
        <v>139.05692264200781</v>
      </c>
      <c r="N207" s="243">
        <f t="shared" si="121"/>
        <v>178.340503288375</v>
      </c>
      <c r="O207" s="243">
        <f t="shared" si="121"/>
        <v>228.72169546734094</v>
      </c>
      <c r="P207" s="243">
        <f t="shared" si="121"/>
        <v>293.33557443686476</v>
      </c>
      <c r="Q207" s="243">
        <f t="shared" si="121"/>
        <v>376.20287421527911</v>
      </c>
      <c r="R207" s="243">
        <f t="shared" si="121"/>
        <v>482.48018618109546</v>
      </c>
      <c r="S207" s="243">
        <f t="shared" si="121"/>
        <v>618.78083877725498</v>
      </c>
      <c r="T207" s="243">
        <f t="shared" si="121"/>
        <v>793.58642573182954</v>
      </c>
      <c r="U207" s="243">
        <f t="shared" si="121"/>
        <v>1017.7745910010714</v>
      </c>
      <c r="V207" s="243">
        <f t="shared" si="121"/>
        <v>1305.2959129588742</v>
      </c>
      <c r="W207" s="243">
        <f t="shared" si="121"/>
        <v>1674.0420083697561</v>
      </c>
      <c r="X207" s="243">
        <f t="shared" si="121"/>
        <v>2146.9588757342121</v>
      </c>
      <c r="Y207" s="243">
        <f t="shared" si="121"/>
        <v>2753.4747581291272</v>
      </c>
      <c r="Z207" s="243">
        <f>Y207*1.35*(1-$E$207)</f>
        <v>3531.3313773006057</v>
      </c>
      <c r="AA207" s="243">
        <f t="shared" si="121"/>
        <v>4528.9324913880273</v>
      </c>
    </row>
    <row r="208" spans="3:43" x14ac:dyDescent="0.15">
      <c r="G208" s="243"/>
      <c r="H208" s="243"/>
      <c r="I208" s="243"/>
      <c r="J208" s="243"/>
      <c r="K208" s="243"/>
      <c r="L208" s="243"/>
      <c r="M208" s="243"/>
      <c r="N208" s="243"/>
      <c r="O208" s="243"/>
      <c r="P208" s="243"/>
      <c r="Q208" s="243"/>
      <c r="R208" s="243"/>
      <c r="S208" s="243"/>
      <c r="T208" s="243"/>
      <c r="U208" s="243"/>
      <c r="V208" s="243"/>
      <c r="W208" s="243"/>
      <c r="X208" s="243"/>
      <c r="Y208" s="243"/>
      <c r="Z208" s="243"/>
      <c r="AA208" s="243"/>
    </row>
    <row r="209" spans="3:27" x14ac:dyDescent="0.15">
      <c r="G209" s="243"/>
      <c r="H209" s="243"/>
      <c r="I209" s="243"/>
      <c r="J209" s="243"/>
      <c r="K209" s="243"/>
      <c r="L209" s="243"/>
      <c r="M209" s="243"/>
      <c r="N209" s="243"/>
      <c r="O209" s="243"/>
      <c r="P209" s="243"/>
      <c r="Q209" s="243"/>
      <c r="R209" s="243"/>
      <c r="S209" s="243"/>
      <c r="T209" s="243"/>
      <c r="U209" s="243"/>
      <c r="V209" s="243"/>
      <c r="W209" s="243"/>
      <c r="X209" s="243"/>
      <c r="Y209" s="243"/>
      <c r="Z209" s="243"/>
      <c r="AA209" s="243"/>
    </row>
    <row r="210" spans="3:27" x14ac:dyDescent="0.15">
      <c r="G210" s="243"/>
      <c r="H210" s="243"/>
      <c r="I210" s="243"/>
      <c r="J210" s="243"/>
      <c r="K210" s="243"/>
      <c r="L210" s="243"/>
      <c r="M210" s="243"/>
      <c r="N210" s="243"/>
      <c r="O210" s="243"/>
      <c r="P210" s="243"/>
      <c r="Q210" s="243"/>
      <c r="R210" s="243"/>
      <c r="S210" s="243"/>
      <c r="T210" s="243"/>
      <c r="U210" s="243"/>
      <c r="V210" s="243"/>
      <c r="W210" s="243"/>
      <c r="X210" s="243"/>
      <c r="Y210" s="243"/>
      <c r="Z210" s="243"/>
      <c r="AA210" s="243"/>
    </row>
    <row r="211" spans="3:27" x14ac:dyDescent="0.15">
      <c r="G211" s="243"/>
      <c r="H211" s="243"/>
      <c r="I211" s="243"/>
      <c r="J211" s="243"/>
      <c r="K211" s="243"/>
      <c r="L211" s="243"/>
      <c r="M211" s="243"/>
      <c r="N211" s="243"/>
      <c r="O211" s="243"/>
      <c r="P211" s="243"/>
      <c r="Q211" s="243"/>
      <c r="R211" s="243"/>
      <c r="S211" s="243"/>
      <c r="T211" s="243"/>
      <c r="U211" s="243"/>
      <c r="V211" s="243"/>
      <c r="W211" s="243"/>
      <c r="X211" s="243"/>
      <c r="Y211" s="243"/>
      <c r="Z211" s="243"/>
      <c r="AA211" s="243"/>
    </row>
    <row r="212" spans="3:27" x14ac:dyDescent="0.15">
      <c r="G212" s="243"/>
      <c r="H212" s="243"/>
      <c r="I212" s="243"/>
      <c r="J212" s="243"/>
      <c r="K212" s="243"/>
      <c r="L212" s="243"/>
      <c r="M212" s="243"/>
      <c r="N212" s="243"/>
      <c r="O212" s="243"/>
      <c r="P212" s="243"/>
      <c r="Q212" s="243"/>
      <c r="R212" s="243"/>
      <c r="S212" s="243"/>
      <c r="T212" s="243"/>
      <c r="U212" s="243"/>
      <c r="V212" s="243"/>
      <c r="W212" s="243"/>
      <c r="X212" s="243"/>
      <c r="Y212" s="243"/>
      <c r="Z212" s="243"/>
      <c r="AA212" s="243"/>
    </row>
    <row r="213" spans="3:27" x14ac:dyDescent="0.15">
      <c r="G213" s="243"/>
      <c r="H213" s="243"/>
      <c r="I213" s="243"/>
      <c r="J213" s="243"/>
      <c r="K213" s="243"/>
      <c r="L213" s="243"/>
      <c r="M213" s="243"/>
      <c r="N213" s="243"/>
      <c r="O213" s="243"/>
      <c r="P213" s="243"/>
      <c r="Q213" s="243"/>
      <c r="R213" s="243"/>
      <c r="S213" s="243"/>
      <c r="T213" s="243"/>
      <c r="U213" s="243"/>
      <c r="V213" s="243"/>
      <c r="W213" s="243"/>
      <c r="X213" s="243"/>
      <c r="Y213" s="243"/>
      <c r="Z213" s="243"/>
      <c r="AA213" s="243"/>
    </row>
    <row r="214" spans="3:27" x14ac:dyDescent="0.15">
      <c r="G214" s="243"/>
      <c r="H214" s="243"/>
      <c r="I214" s="243"/>
      <c r="J214" s="243"/>
      <c r="K214" s="243"/>
      <c r="L214" s="243"/>
      <c r="M214" s="243"/>
      <c r="N214" s="243"/>
      <c r="O214" s="243"/>
      <c r="P214" s="243"/>
      <c r="Q214" s="243"/>
      <c r="R214" s="243"/>
      <c r="S214" s="243"/>
      <c r="T214" s="243"/>
      <c r="U214" s="243"/>
      <c r="V214" s="243"/>
      <c r="W214" s="243"/>
      <c r="X214" s="243"/>
      <c r="Y214" s="243"/>
      <c r="Z214" s="243"/>
      <c r="AA214" s="243"/>
    </row>
    <row r="215" spans="3:27" x14ac:dyDescent="0.15">
      <c r="G215" s="81"/>
      <c r="H215" s="81"/>
      <c r="I215" s="104"/>
      <c r="J215" s="81"/>
      <c r="K215" s="81"/>
      <c r="L215" s="81"/>
      <c r="M215" s="81"/>
      <c r="N215" s="81"/>
      <c r="O215" s="81"/>
      <c r="P215" s="81"/>
      <c r="Q215" s="81"/>
      <c r="R215" s="81"/>
      <c r="S215" s="81"/>
      <c r="T215" s="81"/>
      <c r="U215" s="81"/>
      <c r="V215" s="81"/>
      <c r="W215" s="81"/>
      <c r="X215" s="81"/>
      <c r="Y215" s="81"/>
      <c r="Z215" s="81"/>
      <c r="AA215" s="81"/>
    </row>
    <row r="216" spans="3:27" x14ac:dyDescent="0.15">
      <c r="G216" s="81"/>
      <c r="H216" s="81"/>
      <c r="I216" s="104"/>
      <c r="J216" s="81"/>
      <c r="K216" s="81"/>
      <c r="L216" s="81"/>
      <c r="M216" s="81"/>
      <c r="N216" s="81"/>
      <c r="O216" s="81"/>
      <c r="P216" s="81"/>
      <c r="Q216" s="81"/>
      <c r="R216" s="81"/>
      <c r="S216" s="81"/>
      <c r="T216" s="81"/>
      <c r="U216" s="81"/>
      <c r="V216" s="81"/>
      <c r="W216" s="81"/>
      <c r="X216" s="81"/>
      <c r="Y216" s="81"/>
      <c r="Z216" s="81"/>
      <c r="AA216" s="81"/>
    </row>
    <row r="217" spans="3:27" x14ac:dyDescent="0.15">
      <c r="G217" s="81"/>
      <c r="H217" s="81"/>
      <c r="I217" s="104"/>
      <c r="J217" s="81"/>
      <c r="K217" s="81"/>
      <c r="L217" s="81"/>
      <c r="M217" s="81"/>
      <c r="N217" s="81"/>
      <c r="O217" s="81"/>
      <c r="P217" s="81"/>
      <c r="Q217" s="81"/>
      <c r="R217" s="81"/>
      <c r="S217" s="81"/>
      <c r="T217" s="81"/>
      <c r="U217" s="81"/>
      <c r="V217" s="81"/>
      <c r="W217" s="81"/>
      <c r="X217" s="81"/>
      <c r="Y217" s="81"/>
      <c r="Z217" s="81"/>
      <c r="AA217" s="81"/>
    </row>
    <row r="218" spans="3:27" x14ac:dyDescent="0.15">
      <c r="G218" s="81"/>
      <c r="H218" s="81"/>
      <c r="I218" s="104"/>
      <c r="J218" s="81"/>
      <c r="K218" s="81"/>
      <c r="L218" s="81"/>
      <c r="M218" s="81"/>
      <c r="N218" s="81"/>
      <c r="O218" s="81"/>
      <c r="P218" s="81"/>
      <c r="Q218" s="81"/>
      <c r="R218" s="81"/>
      <c r="S218" s="81"/>
      <c r="T218" s="81"/>
      <c r="U218" s="81"/>
      <c r="V218" s="81"/>
      <c r="W218" s="81"/>
      <c r="X218" s="81"/>
      <c r="Y218" s="81"/>
      <c r="Z218" s="81"/>
      <c r="AA218" s="81"/>
    </row>
    <row r="219" spans="3:27" x14ac:dyDescent="0.15">
      <c r="G219" s="81"/>
      <c r="H219" s="81"/>
      <c r="I219" s="104"/>
      <c r="J219" s="81"/>
      <c r="K219" s="81"/>
      <c r="L219" s="81"/>
      <c r="M219" s="81"/>
      <c r="N219" s="81"/>
      <c r="O219" s="81"/>
      <c r="P219" s="81"/>
      <c r="Q219" s="81"/>
      <c r="R219" s="81"/>
      <c r="S219" s="81"/>
      <c r="T219" s="81"/>
      <c r="U219" s="81"/>
      <c r="V219" s="81"/>
      <c r="W219" s="81"/>
      <c r="X219" s="81"/>
      <c r="Y219" s="81"/>
      <c r="Z219" s="81"/>
      <c r="AA219" s="81"/>
    </row>
    <row r="220" spans="3:27" x14ac:dyDescent="0.15">
      <c r="G220" s="81"/>
      <c r="H220" s="81"/>
      <c r="I220" s="104"/>
      <c r="J220" s="81"/>
      <c r="K220" s="81"/>
      <c r="L220" s="81"/>
      <c r="M220" s="81"/>
      <c r="N220" s="81"/>
      <c r="O220" s="81"/>
      <c r="P220" s="81"/>
      <c r="Q220" s="81"/>
      <c r="R220" s="81"/>
      <c r="S220" s="81"/>
      <c r="T220" s="81"/>
      <c r="U220" s="81"/>
      <c r="V220" s="81"/>
      <c r="W220" s="81"/>
      <c r="X220" s="81"/>
      <c r="Y220" s="81"/>
      <c r="Z220" s="81"/>
      <c r="AA220" s="81"/>
    </row>
    <row r="221" spans="3:27" x14ac:dyDescent="0.15">
      <c r="E221" s="62">
        <v>2010</v>
      </c>
      <c r="F221" s="62">
        <v>2011</v>
      </c>
      <c r="G221" s="62">
        <v>2012</v>
      </c>
      <c r="H221" s="62">
        <v>2013</v>
      </c>
      <c r="I221" s="62">
        <v>2014</v>
      </c>
      <c r="J221" s="62">
        <v>2015</v>
      </c>
      <c r="K221" s="62">
        <v>2016</v>
      </c>
      <c r="L221" s="62">
        <v>2017</v>
      </c>
      <c r="M221" s="62">
        <v>2018</v>
      </c>
      <c r="N221" s="62">
        <v>2019</v>
      </c>
      <c r="O221" s="62">
        <v>2020</v>
      </c>
      <c r="P221" s="62">
        <v>2021</v>
      </c>
      <c r="Q221" s="62">
        <v>2022</v>
      </c>
      <c r="R221" s="62">
        <v>2023</v>
      </c>
      <c r="S221" s="62">
        <v>2024</v>
      </c>
      <c r="T221" s="62">
        <v>2025</v>
      </c>
      <c r="U221" s="62">
        <v>2026</v>
      </c>
      <c r="V221" s="62">
        <v>2027</v>
      </c>
      <c r="W221" s="62">
        <v>2028</v>
      </c>
      <c r="X221" s="62">
        <v>2029</v>
      </c>
      <c r="Y221" s="62">
        <v>2030</v>
      </c>
      <c r="Z221" s="81"/>
      <c r="AA221" s="81"/>
    </row>
    <row r="222" spans="3:27" x14ac:dyDescent="0.15">
      <c r="C222" s="47" t="s">
        <v>197</v>
      </c>
      <c r="E222" s="81">
        <f>G94</f>
        <v>93.741176470588215</v>
      </c>
      <c r="F222" s="81">
        <f t="shared" ref="F222:Y223" si="122">H94</f>
        <v>79.679999999999978</v>
      </c>
      <c r="G222" s="81">
        <f t="shared" si="122"/>
        <v>65.618823529411742</v>
      </c>
      <c r="H222" s="81">
        <f t="shared" si="122"/>
        <v>45.933176470588222</v>
      </c>
      <c r="I222" s="81">
        <f t="shared" si="122"/>
        <v>32.153223529411747</v>
      </c>
      <c r="J222" s="81">
        <f t="shared" si="122"/>
        <v>22.507256470588224</v>
      </c>
      <c r="K222" s="81">
        <f t="shared" si="122"/>
        <v>15.755079529411756</v>
      </c>
      <c r="L222" s="81">
        <f t="shared" si="122"/>
        <v>11.028555670588227</v>
      </c>
      <c r="M222" s="81">
        <f t="shared" si="122"/>
        <v>7.7199889694117596</v>
      </c>
      <c r="N222" s="81">
        <f t="shared" si="122"/>
        <v>5.4039922785882313</v>
      </c>
      <c r="O222" s="81">
        <f t="shared" si="122"/>
        <v>3.7827945950117621</v>
      </c>
      <c r="P222" s="81">
        <f t="shared" si="122"/>
        <v>2.6479562165082333</v>
      </c>
      <c r="Q222" s="81">
        <f t="shared" si="122"/>
        <v>2.5155584056828215</v>
      </c>
      <c r="R222" s="81">
        <f t="shared" si="122"/>
        <v>2.3897804853986804</v>
      </c>
      <c r="S222" s="81">
        <f t="shared" si="122"/>
        <v>2.2702914611287461</v>
      </c>
      <c r="T222" s="81">
        <f t="shared" si="122"/>
        <v>2.1567768880723088</v>
      </c>
      <c r="U222" s="81">
        <f t="shared" si="122"/>
        <v>2.0489380436686933</v>
      </c>
      <c r="V222" s="81">
        <f t="shared" si="122"/>
        <v>1.9464911414852586</v>
      </c>
      <c r="W222" s="81">
        <f t="shared" si="122"/>
        <v>1.8491665844109957</v>
      </c>
      <c r="X222" s="81">
        <f t="shared" si="122"/>
        <v>1.7567082551904456</v>
      </c>
      <c r="Y222" s="81">
        <f t="shared" si="122"/>
        <v>1.6688728424309234</v>
      </c>
      <c r="Z222" s="81"/>
      <c r="AA222" s="81"/>
    </row>
    <row r="223" spans="3:27" x14ac:dyDescent="0.15">
      <c r="C223" s="47" t="s">
        <v>188</v>
      </c>
      <c r="E223" s="81">
        <f>G95</f>
        <v>36.096000000000004</v>
      </c>
      <c r="F223" s="81">
        <f>H95</f>
        <v>37.795895999999999</v>
      </c>
      <c r="G223" s="81">
        <f t="shared" si="122"/>
        <v>37.870005599999992</v>
      </c>
      <c r="H223" s="81">
        <f t="shared" si="122"/>
        <v>34.40279619839999</v>
      </c>
      <c r="I223" s="81">
        <f t="shared" si="122"/>
        <v>30.764700500419188</v>
      </c>
      <c r="J223" s="81">
        <f t="shared" si="122"/>
        <v>26.388421854234561</v>
      </c>
      <c r="K223" s="81">
        <f t="shared" si="122"/>
        <v>21.230889021192034</v>
      </c>
      <c r="L223" s="81">
        <f t="shared" si="122"/>
        <v>16.420084330552196</v>
      </c>
      <c r="M223" s="81">
        <f t="shared" si="122"/>
        <v>13.257247686801229</v>
      </c>
      <c r="N223" s="81">
        <f t="shared" si="122"/>
        <v>10.703636637369577</v>
      </c>
      <c r="O223" s="81">
        <f t="shared" si="122"/>
        <v>8.5568295500826768</v>
      </c>
      <c r="P223" s="81">
        <f>R96</f>
        <v>6.2641711218239964</v>
      </c>
      <c r="Q223" s="81">
        <f t="shared" ref="Q223:Y223" si="123">S96</f>
        <v>5.9509625657327963</v>
      </c>
      <c r="R223" s="81">
        <f t="shared" si="123"/>
        <v>5.6534144374461563</v>
      </c>
      <c r="S223" s="81">
        <f t="shared" si="123"/>
        <v>5.3707437155738482</v>
      </c>
      <c r="T223" s="81">
        <f t="shared" si="123"/>
        <v>5.1022065297951551</v>
      </c>
      <c r="U223" s="81">
        <f t="shared" si="123"/>
        <v>4.8470962033053979</v>
      </c>
      <c r="V223" s="81">
        <f t="shared" si="123"/>
        <v>4.6047413931401273</v>
      </c>
      <c r="W223" s="81">
        <f t="shared" si="123"/>
        <v>4.3745043234831211</v>
      </c>
      <c r="X223" s="81">
        <f t="shared" si="123"/>
        <v>4.1557791073089652</v>
      </c>
      <c r="Y223" s="81">
        <f t="shared" si="123"/>
        <v>3.9479901519435163</v>
      </c>
      <c r="Z223" s="81"/>
      <c r="AA223" s="81"/>
    </row>
    <row r="224" spans="3:27" x14ac:dyDescent="0.15">
      <c r="C224" s="47" t="s">
        <v>189</v>
      </c>
      <c r="E224" s="81">
        <f>G97</f>
        <v>4.8</v>
      </c>
      <c r="F224" s="81">
        <f t="shared" ref="F224:O224" si="124">H97</f>
        <v>8.2619999999999987</v>
      </c>
      <c r="G224" s="81">
        <f t="shared" si="124"/>
        <v>12.096</v>
      </c>
      <c r="H224" s="81">
        <f t="shared" si="124"/>
        <v>14.347199999999999</v>
      </c>
      <c r="I224" s="81">
        <f t="shared" si="124"/>
        <v>13.541639999999996</v>
      </c>
      <c r="J224" s="81">
        <f t="shared" si="124"/>
        <v>11.848934999999999</v>
      </c>
      <c r="K224" s="81">
        <f t="shared" si="124"/>
        <v>10.447231199999997</v>
      </c>
      <c r="L224" s="81">
        <f t="shared" si="124"/>
        <v>7.9060127999999947</v>
      </c>
      <c r="M224" s="81">
        <f t="shared" si="124"/>
        <v>6.995240125439997</v>
      </c>
      <c r="N224" s="81">
        <f t="shared" si="124"/>
        <v>5.0772327235459178</v>
      </c>
      <c r="O224" s="81">
        <f t="shared" si="124"/>
        <v>3.7436129281611907</v>
      </c>
      <c r="P224" s="81">
        <f>R98</f>
        <v>2.6100713007599987</v>
      </c>
      <c r="Q224" s="81">
        <f t="shared" ref="Q224:Y224" si="125">S98</f>
        <v>2.4795677357219987</v>
      </c>
      <c r="R224" s="81">
        <f t="shared" si="125"/>
        <v>2.3555893489358986</v>
      </c>
      <c r="S224" s="81">
        <f t="shared" si="125"/>
        <v>2.2378098814891034</v>
      </c>
      <c r="T224" s="81">
        <f t="shared" si="125"/>
        <v>2.125919387414648</v>
      </c>
      <c r="U224" s="81">
        <f t="shared" si="125"/>
        <v>2.0196234180439157</v>
      </c>
      <c r="V224" s="81">
        <f t="shared" si="125"/>
        <v>1.9186422471417199</v>
      </c>
      <c r="W224" s="81">
        <f t="shared" si="125"/>
        <v>1.822710134784634</v>
      </c>
      <c r="X224" s="81">
        <f t="shared" si="125"/>
        <v>1.7315746280454021</v>
      </c>
      <c r="Y224" s="81">
        <f t="shared" si="125"/>
        <v>1.6449958966431319</v>
      </c>
      <c r="Z224" s="81"/>
      <c r="AA224" s="81"/>
    </row>
    <row r="225" spans="3:27" x14ac:dyDescent="0.15">
      <c r="C225" s="47" t="s">
        <v>190</v>
      </c>
      <c r="E225" s="81">
        <f>G99</f>
        <v>5.7599999999999998E-2</v>
      </c>
      <c r="F225" s="81">
        <f t="shared" ref="F225:O225" si="126">H99</f>
        <v>0.16524</v>
      </c>
      <c r="G225" s="81">
        <f t="shared" si="126"/>
        <v>0.41580000000000006</v>
      </c>
      <c r="H225" s="81">
        <f t="shared" si="126"/>
        <v>0.98783999999999983</v>
      </c>
      <c r="I225" s="81">
        <f t="shared" si="126"/>
        <v>2.304959999999999</v>
      </c>
      <c r="J225" s="81">
        <f t="shared" si="126"/>
        <v>3.7239509999999991</v>
      </c>
      <c r="K225" s="81">
        <f t="shared" si="126"/>
        <v>4.850500199999999</v>
      </c>
      <c r="L225" s="81">
        <f t="shared" si="126"/>
        <v>5.9295095999999967</v>
      </c>
      <c r="M225" s="81">
        <f t="shared" si="126"/>
        <v>6.995240125439997</v>
      </c>
      <c r="N225" s="81">
        <f t="shared" si="126"/>
        <v>8.365345344508988</v>
      </c>
      <c r="O225" s="81">
        <f t="shared" si="126"/>
        <v>9.62643324384306</v>
      </c>
      <c r="P225" s="81">
        <f>R100</f>
        <v>9.5006595347663954</v>
      </c>
      <c r="Q225" s="81">
        <f t="shared" ref="Q225:Y225" si="127">S100</f>
        <v>11.108463456034553</v>
      </c>
      <c r="R225" s="81">
        <f t="shared" si="127"/>
        <v>13.850865371743078</v>
      </c>
      <c r="S225" s="81">
        <f t="shared" si="127"/>
        <v>15.965430818495856</v>
      </c>
      <c r="T225" s="81">
        <f>V100</f>
        <v>17.96725022112264</v>
      </c>
      <c r="U225" s="81">
        <f t="shared" si="127"/>
        <v>17.068887710066509</v>
      </c>
      <c r="V225" s="81">
        <f t="shared" si="127"/>
        <v>16.215443324563182</v>
      </c>
      <c r="W225" s="81">
        <f t="shared" si="127"/>
        <v>15.404671158335024</v>
      </c>
      <c r="X225" s="81">
        <f t="shared" si="127"/>
        <v>14.634437600418272</v>
      </c>
      <c r="Y225" s="81">
        <f t="shared" si="127"/>
        <v>13.902715720397357</v>
      </c>
      <c r="Z225" s="81"/>
      <c r="AA225" s="81"/>
    </row>
    <row r="226" spans="3:27" x14ac:dyDescent="0.15">
      <c r="C226" s="47" t="s">
        <v>191</v>
      </c>
      <c r="E226" s="81">
        <f>G101</f>
        <v>5.3290705182007515E-18</v>
      </c>
      <c r="F226" s="81">
        <f t="shared" ref="F226:O226" si="128">H101</f>
        <v>-8.5373999999998262E-4</v>
      </c>
      <c r="G226" s="81">
        <f t="shared" si="128"/>
        <v>-1.7501400000000193E-4</v>
      </c>
      <c r="H226" s="81">
        <f t="shared" si="128"/>
        <v>-1.3349904959999929E-3</v>
      </c>
      <c r="I226" s="81">
        <f t="shared" si="128"/>
        <v>-2.0005512510480037E-3</v>
      </c>
      <c r="J226" s="81">
        <f t="shared" si="128"/>
        <v>1.7371453644135695E-3</v>
      </c>
      <c r="K226" s="81">
        <f t="shared" si="128"/>
        <v>-8.4106655298012882E-4</v>
      </c>
      <c r="L226" s="81">
        <f t="shared" si="128"/>
        <v>-1.520146826380556E-3</v>
      </c>
      <c r="M226" s="81">
        <f t="shared" si="128"/>
        <v>1.8330814101968173E-3</v>
      </c>
      <c r="N226" s="81">
        <f t="shared" si="128"/>
        <v>2.2536668268385005E-3</v>
      </c>
      <c r="O226" s="81">
        <f t="shared" si="128"/>
        <v>1.0696036937603529E-2</v>
      </c>
      <c r="P226" s="81">
        <f>R102</f>
        <v>2.6100713007599891E-2</v>
      </c>
      <c r="Q226" s="81">
        <f t="shared" ref="Q226:Y226" si="129">S102</f>
        <v>0.22058736767916703</v>
      </c>
      <c r="R226" s="81">
        <f t="shared" si="129"/>
        <v>0.4136099358725393</v>
      </c>
      <c r="S226" s="81">
        <f t="shared" si="129"/>
        <v>0.81919994485125081</v>
      </c>
      <c r="T226" s="81">
        <f t="shared" si="129"/>
        <v>1.4359752504501921</v>
      </c>
      <c r="U226" s="81">
        <f t="shared" si="129"/>
        <v>2.8036934151458186</v>
      </c>
      <c r="V226" s="81">
        <f t="shared" si="129"/>
        <v>4.4813271925379841</v>
      </c>
      <c r="W226" s="81">
        <f t="shared" si="129"/>
        <v>6.5935271179894936</v>
      </c>
      <c r="X226" s="81">
        <f t="shared" si="129"/>
        <v>9.3025375201194365</v>
      </c>
      <c r="Y226" s="81">
        <f t="shared" si="129"/>
        <v>12.82116273894064</v>
      </c>
      <c r="Z226" s="81"/>
      <c r="AA226" s="81"/>
    </row>
    <row r="227" spans="3:27" x14ac:dyDescent="0.15">
      <c r="Z227" s="81"/>
      <c r="AA227" s="81"/>
    </row>
    <row r="228" spans="3:27" ht="14" thickBot="1" x14ac:dyDescent="0.2">
      <c r="C228" s="47"/>
      <c r="E228" s="81"/>
      <c r="F228" s="81"/>
      <c r="G228" s="81"/>
      <c r="H228" s="81"/>
      <c r="I228" s="81"/>
      <c r="J228" s="81"/>
      <c r="K228" s="81"/>
      <c r="L228" s="81"/>
      <c r="M228" s="81"/>
      <c r="N228" s="81"/>
      <c r="O228" s="81"/>
      <c r="P228" s="81"/>
      <c r="Q228" s="81"/>
      <c r="R228" s="81"/>
      <c r="S228" s="81"/>
      <c r="T228" s="81"/>
      <c r="U228" s="81"/>
      <c r="V228" s="81"/>
      <c r="W228" s="81"/>
      <c r="X228" s="81"/>
      <c r="Y228" s="81"/>
      <c r="Z228" s="81"/>
      <c r="AA228" s="81"/>
    </row>
    <row r="229" spans="3:27" x14ac:dyDescent="0.15">
      <c r="E229" s="62">
        <v>2010</v>
      </c>
      <c r="F229" s="62">
        <v>2011</v>
      </c>
      <c r="G229" s="62">
        <v>2012</v>
      </c>
      <c r="H229" s="62">
        <v>2013</v>
      </c>
      <c r="I229" s="62">
        <v>2014</v>
      </c>
      <c r="J229" s="469">
        <v>2015</v>
      </c>
      <c r="K229" s="470">
        <v>2016</v>
      </c>
      <c r="L229" s="470">
        <v>2017</v>
      </c>
      <c r="M229" s="470">
        <v>2018</v>
      </c>
      <c r="N229" s="470">
        <v>2019</v>
      </c>
      <c r="O229" s="470">
        <v>2020</v>
      </c>
      <c r="P229" s="470">
        <v>2021</v>
      </c>
      <c r="Q229" s="470">
        <v>2022</v>
      </c>
      <c r="R229" s="470">
        <v>2023</v>
      </c>
      <c r="S229" s="470">
        <v>2024</v>
      </c>
      <c r="T229" s="471">
        <v>2025</v>
      </c>
      <c r="U229" s="62">
        <v>2026</v>
      </c>
      <c r="V229" s="62">
        <v>2027</v>
      </c>
      <c r="W229" s="62">
        <v>2028</v>
      </c>
      <c r="X229" s="62">
        <v>2029</v>
      </c>
      <c r="Y229" s="62">
        <v>2030</v>
      </c>
      <c r="Z229" s="81"/>
      <c r="AA229" s="81"/>
    </row>
    <row r="230" spans="3:27" x14ac:dyDescent="0.15">
      <c r="C230" s="47" t="s">
        <v>197</v>
      </c>
      <c r="E230" s="81">
        <f t="shared" ref="E230:Y231" si="130">G116</f>
        <v>131.23764705882348</v>
      </c>
      <c r="F230" s="81">
        <f t="shared" si="130"/>
        <v>116.8015058823529</v>
      </c>
      <c r="G230" s="81">
        <f t="shared" si="130"/>
        <v>102.36536470588231</v>
      </c>
      <c r="H230" s="81">
        <f>J116</f>
        <v>62.279087887058807</v>
      </c>
      <c r="I230" s="81">
        <f t="shared" si="130"/>
        <v>48.577688551905865</v>
      </c>
      <c r="J230" s="476">
        <f t="shared" si="130"/>
        <v>37.890597070486578</v>
      </c>
      <c r="K230" s="477">
        <f t="shared" si="130"/>
        <v>29.554665714979532</v>
      </c>
      <c r="L230" s="477">
        <f>N116</f>
        <v>23.052639257684035</v>
      </c>
      <c r="M230" s="477">
        <f t="shared" si="130"/>
        <v>17.981058620993547</v>
      </c>
      <c r="N230" s="477">
        <f t="shared" si="130"/>
        <v>14.025225724374966</v>
      </c>
      <c r="O230" s="477">
        <f t="shared" si="130"/>
        <v>10.939676065012474</v>
      </c>
      <c r="P230" s="477">
        <f t="shared" si="130"/>
        <v>8.5329473307097299</v>
      </c>
      <c r="Q230" s="477">
        <f t="shared" si="130"/>
        <v>8.1062999641742426</v>
      </c>
      <c r="R230" s="477">
        <f t="shared" si="130"/>
        <v>7.7009849659655298</v>
      </c>
      <c r="S230" s="477">
        <f t="shared" si="130"/>
        <v>7.3159357176672524</v>
      </c>
      <c r="T230" s="478">
        <f t="shared" si="130"/>
        <v>6.95013893178389</v>
      </c>
      <c r="U230" s="81">
        <f t="shared" si="130"/>
        <v>6.6026319851946944</v>
      </c>
      <c r="V230" s="81">
        <f t="shared" si="130"/>
        <v>6.2725003859349595</v>
      </c>
      <c r="W230" s="81">
        <f t="shared" si="130"/>
        <v>5.9588753666382113</v>
      </c>
      <c r="X230" s="81">
        <f t="shared" si="130"/>
        <v>5.6609315983063011</v>
      </c>
      <c r="Y230" s="81">
        <f t="shared" si="130"/>
        <v>5.3778850183909856</v>
      </c>
      <c r="Z230" s="81"/>
      <c r="AA230" s="81"/>
    </row>
    <row r="231" spans="3:27" x14ac:dyDescent="0.15">
      <c r="C231" s="47" t="s">
        <v>188</v>
      </c>
      <c r="E231" s="81">
        <f t="shared" si="130"/>
        <v>66.777600000000007</v>
      </c>
      <c r="F231" s="81">
        <f t="shared" si="130"/>
        <v>73.21287384</v>
      </c>
      <c r="G231" s="81">
        <f t="shared" si="130"/>
        <v>78.066311544000001</v>
      </c>
      <c r="H231" s="81">
        <f t="shared" si="130"/>
        <v>61.638661473172995</v>
      </c>
      <c r="I231" s="81">
        <f t="shared" si="130"/>
        <v>61.419844224943226</v>
      </c>
      <c r="J231" s="476">
        <f t="shared" si="130"/>
        <v>58.703770970681632</v>
      </c>
      <c r="K231" s="477">
        <f t="shared" si="130"/>
        <v>52.628055576856447</v>
      </c>
      <c r="L231" s="477">
        <f t="shared" si="130"/>
        <v>45.354573820158798</v>
      </c>
      <c r="M231" s="477">
        <f t="shared" si="130"/>
        <v>40.803333046453503</v>
      </c>
      <c r="N231" s="477">
        <f t="shared" si="130"/>
        <v>36.708800181907989</v>
      </c>
      <c r="O231" s="477">
        <f t="shared" si="130"/>
        <v>32.700039420970683</v>
      </c>
      <c r="P231" s="477">
        <f t="shared" ref="P231:Y231" si="131">R118</f>
        <v>28.57977427014983</v>
      </c>
      <c r="Q231" s="477">
        <f t="shared" si="131"/>
        <v>27.15078555664234</v>
      </c>
      <c r="R231" s="477">
        <f t="shared" si="131"/>
        <v>25.793246278810219</v>
      </c>
      <c r="S231" s="477">
        <f t="shared" si="131"/>
        <v>24.503583964869708</v>
      </c>
      <c r="T231" s="478">
        <f t="shared" si="131"/>
        <v>23.27840476662622</v>
      </c>
      <c r="U231" s="81">
        <f t="shared" si="131"/>
        <v>22.114484528294909</v>
      </c>
      <c r="V231" s="81">
        <f t="shared" si="131"/>
        <v>21.008760301880159</v>
      </c>
      <c r="W231" s="81">
        <f t="shared" si="131"/>
        <v>19.958322286786156</v>
      </c>
      <c r="X231" s="81">
        <f t="shared" si="131"/>
        <v>18.960406172446845</v>
      </c>
      <c r="Y231" s="81">
        <f t="shared" si="131"/>
        <v>18.012385863824502</v>
      </c>
      <c r="Z231" s="81"/>
      <c r="AA231" s="81"/>
    </row>
    <row r="232" spans="3:27" x14ac:dyDescent="0.15">
      <c r="C232" s="47" t="s">
        <v>189</v>
      </c>
      <c r="E232" s="81">
        <f t="shared" ref="E232:O232" si="132">G119</f>
        <v>5.5679999999999996</v>
      </c>
      <c r="F232" s="81">
        <f t="shared" si="132"/>
        <v>10.034928000000001</v>
      </c>
      <c r="G232" s="81">
        <f t="shared" si="132"/>
        <v>15.634944000000003</v>
      </c>
      <c r="H232" s="81">
        <f t="shared" si="132"/>
        <v>16.118063769599999</v>
      </c>
      <c r="I232" s="81">
        <f t="shared" si="132"/>
        <v>16.951711166207996</v>
      </c>
      <c r="J232" s="476">
        <f t="shared" si="132"/>
        <v>16.5279183870528</v>
      </c>
      <c r="K232" s="477">
        <f t="shared" si="132"/>
        <v>16.238152328522343</v>
      </c>
      <c r="L232" s="477">
        <f t="shared" si="132"/>
        <v>13.692712233781002</v>
      </c>
      <c r="M232" s="477">
        <f t="shared" si="132"/>
        <v>13.499918845529368</v>
      </c>
      <c r="N232" s="477">
        <f>P119</f>
        <v>10.918228115307445</v>
      </c>
      <c r="O232" s="477">
        <f t="shared" si="132"/>
        <v>8.9704162195365988</v>
      </c>
      <c r="P232" s="477">
        <f t="shared" ref="P232:Y232" si="133">R120</f>
        <v>7.4667878723814889</v>
      </c>
      <c r="Q232" s="477">
        <f t="shared" si="133"/>
        <v>7.0934484787624141</v>
      </c>
      <c r="R232" s="477">
        <f t="shared" si="133"/>
        <v>6.7387760548242923</v>
      </c>
      <c r="S232" s="477">
        <f t="shared" si="133"/>
        <v>6.4018372520830775</v>
      </c>
      <c r="T232" s="478">
        <f t="shared" si="133"/>
        <v>6.0817453894789235</v>
      </c>
      <c r="U232" s="81">
        <f t="shared" si="133"/>
        <v>5.7776581200049764</v>
      </c>
      <c r="V232" s="81">
        <f t="shared" si="133"/>
        <v>5.4887752140047272</v>
      </c>
      <c r="W232" s="81">
        <f t="shared" si="133"/>
        <v>5.2143364533044911</v>
      </c>
      <c r="X232" s="81">
        <f t="shared" si="133"/>
        <v>4.9536196306392668</v>
      </c>
      <c r="Y232" s="81">
        <f t="shared" si="133"/>
        <v>4.7059386491073028</v>
      </c>
      <c r="Z232" s="81"/>
      <c r="AA232" s="81"/>
    </row>
    <row r="233" spans="3:27" x14ac:dyDescent="0.15">
      <c r="C233" s="47" t="s">
        <v>190</v>
      </c>
      <c r="E233" s="81">
        <f t="shared" ref="E233:O233" si="134">G121</f>
        <v>6.9120000000000001E-2</v>
      </c>
      <c r="F233" s="81">
        <f t="shared" si="134"/>
        <v>0.2076192</v>
      </c>
      <c r="G233" s="81">
        <f t="shared" si="134"/>
        <v>0.55598400000000003</v>
      </c>
      <c r="H233" s="81">
        <f t="shared" si="134"/>
        <v>1.1480361984</v>
      </c>
      <c r="I233" s="81">
        <f t="shared" si="134"/>
        <v>2.98489411584</v>
      </c>
      <c r="J233" s="476">
        <f t="shared" si="134"/>
        <v>5.3736089337216013</v>
      </c>
      <c r="K233" s="477">
        <f t="shared" si="134"/>
        <v>7.7991125715809293</v>
      </c>
      <c r="L233" s="477">
        <f t="shared" si="134"/>
        <v>10.623656043450778</v>
      </c>
      <c r="M233" s="477">
        <f t="shared" si="134"/>
        <v>13.965433288478655</v>
      </c>
      <c r="N233" s="477">
        <f t="shared" si="134"/>
        <v>18.609393733479685</v>
      </c>
      <c r="O233" s="477">
        <f t="shared" si="134"/>
        <v>23.862190928816567</v>
      </c>
      <c r="P233" s="477">
        <f>R122</f>
        <v>28.116318471174431</v>
      </c>
      <c r="Q233" s="477">
        <f t="shared" ref="Q233:Y233" si="135">S122</f>
        <v>35.222640722130606</v>
      </c>
      <c r="R233" s="477">
        <f t="shared" si="135"/>
        <v>47.055246589721357</v>
      </c>
      <c r="S233" s="477">
        <f t="shared" si="135"/>
        <v>58.113229538305852</v>
      </c>
      <c r="T233" s="478">
        <f t="shared" si="135"/>
        <v>70.071144077918817</v>
      </c>
      <c r="U233" s="81">
        <f>W122</f>
        <v>66.567586874022865</v>
      </c>
      <c r="V233" s="81">
        <f t="shared" si="135"/>
        <v>63.239207530321721</v>
      </c>
      <c r="W233" s="81">
        <f t="shared" si="135"/>
        <v>60.077247153805629</v>
      </c>
      <c r="X233" s="81">
        <f t="shared" si="135"/>
        <v>57.073384796115349</v>
      </c>
      <c r="Y233" s="81">
        <f t="shared" si="135"/>
        <v>54.219715556309581</v>
      </c>
      <c r="Z233" s="81"/>
      <c r="AA233" s="81"/>
    </row>
    <row r="234" spans="3:27" ht="14" thickBot="1" x14ac:dyDescent="0.2">
      <c r="C234" s="47" t="s">
        <v>191</v>
      </c>
      <c r="E234" s="81">
        <f t="shared" ref="E234:O234" si="136">G123</f>
        <v>6.3948846218409015E-18</v>
      </c>
      <c r="F234" s="81">
        <f t="shared" si="136"/>
        <v>-1.072699199999978E-3</v>
      </c>
      <c r="G234" s="81">
        <f t="shared" si="136"/>
        <v>-2.3401872000000255E-4</v>
      </c>
      <c r="H234" s="81">
        <f t="shared" si="136"/>
        <v>-1.551483452712952E-3</v>
      </c>
      <c r="I234" s="81">
        <f t="shared" si="136"/>
        <v>-2.5906886269998347E-3</v>
      </c>
      <c r="J234" s="472">
        <f ca="1">SUM(J230:J234)</f>
        <v>0</v>
      </c>
      <c r="K234" s="473">
        <f t="shared" si="136"/>
        <v>-1.3523497487709746E-3</v>
      </c>
      <c r="L234" s="473">
        <f t="shared" si="136"/>
        <v>-2.7235839231983575E-3</v>
      </c>
      <c r="M234" s="473">
        <f t="shared" si="136"/>
        <v>3.6595993400360674E-3</v>
      </c>
      <c r="N234" s="473">
        <f t="shared" si="136"/>
        <v>5.013465863934528E-3</v>
      </c>
      <c r="O234" s="473">
        <f t="shared" si="136"/>
        <v>2.6513545476463167E-2</v>
      </c>
      <c r="P234" s="473">
        <f t="shared" ref="P234:Y234" si="137">R124</f>
        <v>7.724263316256684E-2</v>
      </c>
      <c r="Q234" s="473">
        <f t="shared" si="137"/>
        <v>0.69943693206129587</v>
      </c>
      <c r="R234" s="473">
        <f t="shared" si="137"/>
        <v>1.4051481262785452</v>
      </c>
      <c r="S234" s="473">
        <f t="shared" si="137"/>
        <v>2.9818396367830284</v>
      </c>
      <c r="T234" s="479">
        <f t="shared" si="137"/>
        <v>5.6002130224874191</v>
      </c>
      <c r="U234" s="81">
        <f t="shared" si="137"/>
        <v>11.715243975160533</v>
      </c>
      <c r="V234" s="81">
        <f t="shared" si="137"/>
        <v>20.062760699929861</v>
      </c>
      <c r="W234" s="81">
        <f t="shared" si="137"/>
        <v>31.627514187488465</v>
      </c>
      <c r="X234" s="81">
        <f t="shared" si="137"/>
        <v>47.809248394940688</v>
      </c>
      <c r="Y234" s="81">
        <f t="shared" si="137"/>
        <v>70.599418181664959</v>
      </c>
      <c r="Z234" s="81"/>
      <c r="AA234" s="81"/>
    </row>
    <row r="235" spans="3:27" x14ac:dyDescent="0.15">
      <c r="C235" s="47"/>
      <c r="E235" s="62">
        <v>2010</v>
      </c>
      <c r="F235" s="62">
        <v>2011</v>
      </c>
      <c r="G235" s="62">
        <v>2012</v>
      </c>
      <c r="H235" s="62">
        <v>2013</v>
      </c>
      <c r="I235" s="62">
        <v>2014</v>
      </c>
      <c r="J235" s="62">
        <v>2015</v>
      </c>
      <c r="K235" s="62">
        <v>2016</v>
      </c>
      <c r="L235" s="62">
        <v>2017</v>
      </c>
      <c r="M235" s="62">
        <v>2018</v>
      </c>
      <c r="N235" s="62">
        <v>2019</v>
      </c>
      <c r="O235" s="62">
        <v>2020</v>
      </c>
      <c r="P235" s="62">
        <v>2021</v>
      </c>
      <c r="Q235" s="62">
        <v>2022</v>
      </c>
      <c r="R235" s="62">
        <v>2023</v>
      </c>
      <c r="S235" s="62">
        <v>2024</v>
      </c>
      <c r="T235" s="62">
        <v>2025</v>
      </c>
      <c r="U235" s="81"/>
      <c r="V235" s="81"/>
      <c r="W235" s="81"/>
      <c r="X235" s="81"/>
      <c r="Y235" s="81"/>
      <c r="Z235" s="81"/>
      <c r="AA235" s="81"/>
    </row>
    <row r="236" spans="3:27" ht="28.75" customHeight="1" x14ac:dyDescent="0.25">
      <c r="D236" s="30" t="s">
        <v>331</v>
      </c>
      <c r="E236" s="81">
        <f>G128</f>
        <v>203.6523670588235</v>
      </c>
      <c r="F236" s="81">
        <f t="shared" ref="F236:I236" si="138">H128</f>
        <v>200.25585422315291</v>
      </c>
      <c r="G236" s="81">
        <f t="shared" si="138"/>
        <v>196.62237023116231</v>
      </c>
      <c r="H236" s="81">
        <f t="shared" si="138"/>
        <v>141.1822978447791</v>
      </c>
      <c r="I236" s="81">
        <f t="shared" si="138"/>
        <v>129.93154737027007</v>
      </c>
      <c r="J236" s="81">
        <f>L128</f>
        <v>118.49840203827894</v>
      </c>
      <c r="K236" s="81">
        <f t="shared" ref="K236:S236" si="139">M128</f>
        <v>106.21863384219048</v>
      </c>
      <c r="L236" s="81">
        <f t="shared" si="139"/>
        <v>92.720857771151429</v>
      </c>
      <c r="M236" s="81">
        <f t="shared" si="139"/>
        <v>86.253403400795108</v>
      </c>
      <c r="N236" s="81">
        <f t="shared" si="139"/>
        <v>80.266661220934012</v>
      </c>
      <c r="O236" s="81">
        <f t="shared" si="139"/>
        <v>76.498836179812798</v>
      </c>
      <c r="P236" s="81">
        <f t="shared" si="139"/>
        <v>76.470328285506454</v>
      </c>
      <c r="Q236" s="81">
        <f t="shared" si="139"/>
        <v>84.337051607117758</v>
      </c>
      <c r="R236" s="81">
        <f t="shared" si="139"/>
        <v>98.967202908127732</v>
      </c>
      <c r="S236" s="81">
        <f t="shared" si="139"/>
        <v>115.51035851898419</v>
      </c>
      <c r="T236" s="552">
        <f>V128</f>
        <v>136.51391963567548</v>
      </c>
      <c r="U236" s="81"/>
      <c r="V236" s="81"/>
      <c r="W236" s="81"/>
      <c r="X236" s="81"/>
      <c r="Y236" s="81"/>
      <c r="Z236" s="81"/>
      <c r="AA236" s="81"/>
    </row>
    <row r="237" spans="3:27" ht="11.5" customHeight="1" x14ac:dyDescent="0.2">
      <c r="D237" s="47" t="s">
        <v>332</v>
      </c>
      <c r="E237" s="49">
        <f>F67*0.1</f>
        <v>1.1520000000000001E-2</v>
      </c>
      <c r="F237" s="49">
        <f t="shared" ref="F237:O237" si="140">G67*0.1</f>
        <v>3.8879999999999998E-2</v>
      </c>
      <c r="G237" s="49">
        <f t="shared" si="140"/>
        <v>0.11880000000000002</v>
      </c>
      <c r="H237" s="49">
        <f t="shared" si="140"/>
        <v>0.4032</v>
      </c>
      <c r="I237" s="49">
        <f t="shared" si="140"/>
        <v>1.3439999999999999</v>
      </c>
      <c r="J237" s="49">
        <f t="shared" si="140"/>
        <v>3.1020000000000003</v>
      </c>
      <c r="K237" s="49">
        <f t="shared" si="140"/>
        <v>5.7720000000000011</v>
      </c>
      <c r="L237" s="49">
        <f t="shared" si="140"/>
        <v>10.079999999999998</v>
      </c>
      <c r="M237" s="49">
        <f t="shared" si="140"/>
        <v>16.988160000000001</v>
      </c>
      <c r="N237" s="49">
        <f t="shared" si="140"/>
        <v>29.022147840000002</v>
      </c>
      <c r="O237" s="49">
        <f t="shared" si="140"/>
        <v>47.710397952000008</v>
      </c>
      <c r="P237" s="49">
        <f>Q69*0.1</f>
        <v>72.072000000000003</v>
      </c>
      <c r="Q237" s="49">
        <f t="shared" ref="Q237:T237" si="141">R69*0.1</f>
        <v>95.04000000000002</v>
      </c>
      <c r="R237" s="49">
        <f t="shared" si="141"/>
        <v>133.65</v>
      </c>
      <c r="S237" s="49">
        <f t="shared" si="141"/>
        <v>173.745</v>
      </c>
      <c r="T237" s="540">
        <f t="shared" si="141"/>
        <v>220.52250000000004</v>
      </c>
      <c r="U237" s="81"/>
      <c r="V237" s="81"/>
      <c r="W237" s="81"/>
      <c r="X237" s="81"/>
      <c r="Y237" s="81"/>
      <c r="Z237" s="81"/>
      <c r="AA237" s="81"/>
    </row>
    <row r="238" spans="3:27" ht="11.5" customHeight="1" x14ac:dyDescent="0.15">
      <c r="D238" s="47" t="s">
        <v>333</v>
      </c>
      <c r="E238" s="49">
        <v>0</v>
      </c>
      <c r="F238" s="49">
        <v>0</v>
      </c>
      <c r="G238" s="49">
        <v>0</v>
      </c>
      <c r="H238" s="49">
        <v>0</v>
      </c>
      <c r="I238" s="49">
        <v>0</v>
      </c>
      <c r="J238" s="49">
        <v>0</v>
      </c>
      <c r="K238" s="49">
        <v>0</v>
      </c>
      <c r="L238" s="49">
        <v>0</v>
      </c>
      <c r="M238" s="49">
        <f t="shared" ref="M238:O238" si="142">N72*0.1</f>
        <v>4.4516956860705954E-2</v>
      </c>
      <c r="N238" s="49">
        <f t="shared" si="142"/>
        <v>7.8187150843142775E-2</v>
      </c>
      <c r="O238" s="49">
        <f t="shared" si="142"/>
        <v>0.53011553280000645</v>
      </c>
      <c r="P238" s="49">
        <f>Q74*0.1</f>
        <v>1.9799999999999931</v>
      </c>
      <c r="Q238" s="49">
        <f t="shared" ref="Q238:S238" si="143">R74*0.1</f>
        <v>18.872658227848099</v>
      </c>
      <c r="R238" s="49">
        <f t="shared" si="143"/>
        <v>39.910118570741865</v>
      </c>
      <c r="S238" s="49">
        <f t="shared" si="143"/>
        <v>89.150049276020752</v>
      </c>
      <c r="T238" s="49">
        <f>U74*0.1</f>
        <v>176.24558475571592</v>
      </c>
      <c r="U238" s="81"/>
      <c r="V238" s="81"/>
      <c r="W238" s="81"/>
      <c r="X238" s="81"/>
      <c r="Y238" s="81"/>
      <c r="Z238" s="81"/>
      <c r="AA238" s="81"/>
    </row>
    <row r="239" spans="3:27" ht="11.5" customHeight="1" x14ac:dyDescent="0.15">
      <c r="D239" s="47" t="s">
        <v>334</v>
      </c>
      <c r="E239" s="539">
        <f>G121/E236*100</f>
        <v>3.394018984323182E-2</v>
      </c>
      <c r="F239" s="539">
        <f t="shared" ref="F239:T239" si="144">H121/F236*100</f>
        <v>0.1036769690481267</v>
      </c>
      <c r="G239" s="539">
        <f t="shared" si="144"/>
        <v>0.28276741824765328</v>
      </c>
      <c r="H239" s="539">
        <f t="shared" si="144"/>
        <v>0.81315874293404145</v>
      </c>
      <c r="I239" s="539">
        <f t="shared" si="144"/>
        <v>2.2972820506276679</v>
      </c>
      <c r="J239" s="539">
        <f t="shared" si="144"/>
        <v>4.5347522340307558</v>
      </c>
      <c r="K239" s="539">
        <f t="shared" si="144"/>
        <v>7.3425088324597612</v>
      </c>
      <c r="L239" s="539">
        <f t="shared" si="144"/>
        <v>11.457676620800367</v>
      </c>
      <c r="M239" s="539">
        <f t="shared" si="144"/>
        <v>16.191167812341554</v>
      </c>
      <c r="N239" s="539">
        <f t="shared" si="144"/>
        <v>23.184462204373148</v>
      </c>
      <c r="O239" s="539">
        <f t="shared" si="144"/>
        <v>31.192880990669941</v>
      </c>
      <c r="P239" s="539">
        <f t="shared" si="144"/>
        <v>38.883731378934186</v>
      </c>
      <c r="Q239" s="539">
        <f t="shared" si="144"/>
        <v>46.523433794875636</v>
      </c>
      <c r="R239" s="539">
        <f t="shared" si="144"/>
        <v>55.789291788653998</v>
      </c>
      <c r="S239" s="539">
        <f t="shared" si="144"/>
        <v>62.180469667618866</v>
      </c>
      <c r="T239" s="539">
        <f t="shared" si="144"/>
        <v>66.823315311466629</v>
      </c>
      <c r="U239" s="81"/>
      <c r="V239" s="81"/>
      <c r="W239" s="81"/>
      <c r="X239" s="81"/>
      <c r="Y239" s="81"/>
      <c r="Z239" s="81"/>
      <c r="AA239" s="81"/>
    </row>
    <row r="240" spans="3:27" ht="11.5" customHeight="1" x14ac:dyDescent="0.15">
      <c r="D240" s="47" t="s">
        <v>335</v>
      </c>
      <c r="E240" s="539">
        <f>G123/E236*100</f>
        <v>3.1400983520087373E-18</v>
      </c>
      <c r="F240" s="539">
        <f t="shared" ref="F240:T240" si="145">H123/F236*100</f>
        <v>-5.3566434008197705E-4</v>
      </c>
      <c r="G240" s="539">
        <f t="shared" si="145"/>
        <v>-1.1901937695333171E-4</v>
      </c>
      <c r="H240" s="539">
        <f t="shared" si="145"/>
        <v>-1.0989220861235087E-3</v>
      </c>
      <c r="I240" s="539">
        <f t="shared" si="145"/>
        <v>-1.993887304071787E-3</v>
      </c>
      <c r="J240" s="539">
        <f t="shared" si="145"/>
        <v>2.1153672059891783E-3</v>
      </c>
      <c r="K240" s="539">
        <f t="shared" si="145"/>
        <v>-1.2731756188656756E-3</v>
      </c>
      <c r="L240" s="539">
        <f t="shared" si="145"/>
        <v>-2.937401560628957E-3</v>
      </c>
      <c r="M240" s="539">
        <f t="shared" si="145"/>
        <v>4.2428463060535096E-3</v>
      </c>
      <c r="N240" s="539">
        <f t="shared" si="145"/>
        <v>6.2460127127188739E-3</v>
      </c>
      <c r="O240" s="539">
        <f t="shared" si="145"/>
        <v>3.4658756656300346E-2</v>
      </c>
      <c r="P240" s="539">
        <f t="shared" si="145"/>
        <v>0.10682343785421441</v>
      </c>
      <c r="Q240" s="539">
        <f t="shared" si="145"/>
        <v>0.92384350336343202</v>
      </c>
      <c r="R240" s="539">
        <f t="shared" si="145"/>
        <v>1.6659612796579844</v>
      </c>
      <c r="S240" s="539">
        <f t="shared" si="145"/>
        <v>3.1905332152719996</v>
      </c>
      <c r="T240" s="539">
        <f t="shared" si="145"/>
        <v>5.3406406522622483</v>
      </c>
      <c r="U240" s="81"/>
      <c r="V240" s="81"/>
      <c r="W240" s="81"/>
      <c r="X240" s="81"/>
      <c r="Y240" s="81"/>
      <c r="Z240" s="81"/>
      <c r="AA240" s="81"/>
    </row>
    <row r="241" spans="3:27" ht="11.5" customHeight="1" x14ac:dyDescent="0.15">
      <c r="C241" s="47"/>
      <c r="D241" s="47" t="s">
        <v>330</v>
      </c>
      <c r="E241" s="49">
        <f>F62*0.1</f>
        <v>0.192</v>
      </c>
      <c r="F241" s="49">
        <f t="shared" ref="F241:O241" si="146">G62*0.1</f>
        <v>0.38880000000000003</v>
      </c>
      <c r="G241" s="49">
        <f t="shared" si="146"/>
        <v>0.69120000000000015</v>
      </c>
      <c r="H241" s="49">
        <f t="shared" si="146"/>
        <v>1.1712</v>
      </c>
      <c r="I241" s="49">
        <f t="shared" si="146"/>
        <v>1.5791999999999999</v>
      </c>
      <c r="J241" s="49">
        <f t="shared" si="146"/>
        <v>1.9740000000000002</v>
      </c>
      <c r="K241" s="49">
        <f t="shared" si="146"/>
        <v>2.4864000000000002</v>
      </c>
      <c r="L241" s="49">
        <f t="shared" si="146"/>
        <v>2.6879999999999997</v>
      </c>
      <c r="M241" s="49">
        <f t="shared" si="146"/>
        <v>3.3976320000000002</v>
      </c>
      <c r="N241" s="49">
        <f t="shared" si="146"/>
        <v>3.5229196799999998</v>
      </c>
      <c r="O241" s="49">
        <f t="shared" si="146"/>
        <v>3.710808729600001</v>
      </c>
      <c r="P241" s="49">
        <f>Q64*0.1</f>
        <v>3.9600000000000004</v>
      </c>
      <c r="Q241" s="49">
        <f t="shared" ref="Q241:T241" si="147">R64*0.1</f>
        <v>3.9600000000000004</v>
      </c>
      <c r="R241" s="49">
        <f t="shared" si="147"/>
        <v>3.9600000000000004</v>
      </c>
      <c r="S241" s="49">
        <f t="shared" si="147"/>
        <v>3.9600000000000004</v>
      </c>
      <c r="T241" s="49">
        <f t="shared" si="147"/>
        <v>3.9600000000000004</v>
      </c>
      <c r="U241" s="81"/>
      <c r="V241" s="81"/>
      <c r="W241" s="81"/>
      <c r="X241" s="81"/>
      <c r="Y241" s="81"/>
      <c r="Z241" s="81"/>
      <c r="AA241" s="81"/>
    </row>
    <row r="242" spans="3:27" ht="11.5" customHeight="1" x14ac:dyDescent="0.15">
      <c r="C242" s="47"/>
      <c r="D242" s="47" t="s">
        <v>329</v>
      </c>
      <c r="E242" s="49">
        <f>F57*0.1</f>
        <v>0.18048000000000003</v>
      </c>
      <c r="F242" s="49">
        <f t="shared" ref="F242:O242" si="148">G57*0.1</f>
        <v>0.22232880000000002</v>
      </c>
      <c r="G242" s="49">
        <f t="shared" si="148"/>
        <v>0.27050004</v>
      </c>
      <c r="H242" s="49">
        <f t="shared" si="148"/>
        <v>0.35104894079999999</v>
      </c>
      <c r="I242" s="49">
        <f t="shared" si="148"/>
        <v>0.44846502187199999</v>
      </c>
      <c r="J242" s="49">
        <f t="shared" si="148"/>
        <v>0.54952981787244004</v>
      </c>
      <c r="K242" s="49">
        <f t="shared" si="148"/>
        <v>0.63160852683977042</v>
      </c>
      <c r="L242" s="49">
        <f t="shared" si="148"/>
        <v>0.69784206965431927</v>
      </c>
      <c r="M242" s="49">
        <f t="shared" si="148"/>
        <v>0.80489104313929172</v>
      </c>
      <c r="N242" s="49">
        <f t="shared" si="148"/>
        <v>0.92836132915685932</v>
      </c>
      <c r="O242" s="49">
        <f t="shared" si="148"/>
        <v>1.0602310655999947</v>
      </c>
      <c r="P242" s="49">
        <f>Q59*0.1</f>
        <v>1.1879999999999999</v>
      </c>
      <c r="Q242" s="49">
        <f t="shared" ref="Q242:T242" si="149">R59*0.1</f>
        <v>1.1879999999999999</v>
      </c>
      <c r="R242" s="49">
        <f t="shared" si="149"/>
        <v>1.1879999999999999</v>
      </c>
      <c r="S242" s="49">
        <f t="shared" si="149"/>
        <v>1.1879999999999999</v>
      </c>
      <c r="T242" s="49">
        <f t="shared" si="149"/>
        <v>1.1879999999999999</v>
      </c>
      <c r="U242" s="81"/>
      <c r="V242" s="81"/>
      <c r="W242" s="81"/>
      <c r="X242" s="81"/>
      <c r="Y242" s="81"/>
      <c r="Z242" s="81"/>
      <c r="AA242" s="81"/>
    </row>
    <row r="243" spans="3:27" ht="11.5" customHeight="1" x14ac:dyDescent="0.15">
      <c r="C243" s="47"/>
      <c r="D243" s="47" t="s">
        <v>328</v>
      </c>
      <c r="E243" s="49">
        <f>F55*0.1</f>
        <v>1.8748235294117643</v>
      </c>
      <c r="F243" s="49">
        <f t="shared" ref="F243:T243" si="150">G55*0.1</f>
        <v>1.8748235294117643</v>
      </c>
      <c r="G243" s="49">
        <f t="shared" si="150"/>
        <v>1.8748235294117643</v>
      </c>
      <c r="H243" s="49">
        <f t="shared" si="150"/>
        <v>1.8748235294117643</v>
      </c>
      <c r="I243" s="49">
        <f t="shared" si="150"/>
        <v>1.8748235294117643</v>
      </c>
      <c r="J243" s="49">
        <f t="shared" si="150"/>
        <v>1.8748235294117643</v>
      </c>
      <c r="K243" s="49">
        <f t="shared" si="150"/>
        <v>1.8748235294117643</v>
      </c>
      <c r="L243" s="49">
        <f t="shared" si="150"/>
        <v>1.8748235294117643</v>
      </c>
      <c r="M243" s="49">
        <f t="shared" si="150"/>
        <v>1.8748235294117643</v>
      </c>
      <c r="N243" s="49">
        <f t="shared" si="150"/>
        <v>1.8748235294117643</v>
      </c>
      <c r="O243" s="49">
        <f t="shared" si="150"/>
        <v>1.8748235294117643</v>
      </c>
      <c r="P243" s="49">
        <f t="shared" si="150"/>
        <v>1.8748235294117643</v>
      </c>
      <c r="Q243" s="49">
        <f t="shared" si="150"/>
        <v>1.8748235294117643</v>
      </c>
      <c r="R243" s="49">
        <f t="shared" si="150"/>
        <v>1.8748235294117643</v>
      </c>
      <c r="S243" s="49">
        <f t="shared" si="150"/>
        <v>1.8748235294117643</v>
      </c>
      <c r="T243" s="49">
        <f t="shared" si="150"/>
        <v>1.8748235294117643</v>
      </c>
      <c r="U243" s="81"/>
      <c r="V243" s="81"/>
      <c r="W243" s="81"/>
      <c r="X243" s="81"/>
      <c r="Y243" s="81"/>
      <c r="Z243" s="81"/>
      <c r="AA243" s="81"/>
    </row>
    <row r="244" spans="3:27" x14ac:dyDescent="0.15">
      <c r="C244" s="47"/>
      <c r="E244" s="81"/>
      <c r="F244" s="81"/>
      <c r="G244" s="81"/>
      <c r="H244" s="81"/>
      <c r="I244" s="81"/>
      <c r="J244" s="81"/>
      <c r="K244" s="81"/>
      <c r="L244" s="81"/>
      <c r="M244" s="81"/>
      <c r="N244" s="81"/>
      <c r="O244" s="81"/>
      <c r="P244" s="81"/>
      <c r="Q244" s="81"/>
      <c r="R244" s="81"/>
      <c r="S244" s="81"/>
      <c r="T244" s="81"/>
      <c r="U244" s="81"/>
      <c r="V244" s="81"/>
      <c r="W244" s="81"/>
      <c r="X244" s="81"/>
      <c r="Y244" s="81"/>
      <c r="Z244" s="81"/>
      <c r="AA244" s="81"/>
    </row>
    <row r="245" spans="3:27" x14ac:dyDescent="0.15">
      <c r="E245" s="62">
        <v>2010</v>
      </c>
      <c r="F245" s="62">
        <v>2011</v>
      </c>
      <c r="G245" s="62">
        <v>2012</v>
      </c>
      <c r="H245" s="62">
        <v>2013</v>
      </c>
      <c r="I245" s="62">
        <v>2014</v>
      </c>
      <c r="J245" s="62">
        <v>2015</v>
      </c>
      <c r="K245" s="62">
        <v>2016</v>
      </c>
      <c r="L245" s="62">
        <v>2017</v>
      </c>
      <c r="M245" s="62">
        <v>2018</v>
      </c>
      <c r="N245" s="62">
        <v>2019</v>
      </c>
      <c r="O245" s="62">
        <v>2020</v>
      </c>
      <c r="P245" s="62">
        <v>2021</v>
      </c>
      <c r="Q245" s="62">
        <v>2022</v>
      </c>
      <c r="R245" s="62">
        <v>2023</v>
      </c>
      <c r="S245" s="62">
        <v>2024</v>
      </c>
      <c r="T245" s="62">
        <v>2025</v>
      </c>
      <c r="U245" s="62">
        <v>2026</v>
      </c>
      <c r="V245" s="62">
        <v>2027</v>
      </c>
      <c r="W245" s="62">
        <v>2028</v>
      </c>
      <c r="X245" s="62">
        <v>2029</v>
      </c>
      <c r="Y245" s="62">
        <v>2030</v>
      </c>
      <c r="Z245" s="81"/>
      <c r="AA245" s="81"/>
    </row>
    <row r="246" spans="3:27" x14ac:dyDescent="0.15">
      <c r="C246" s="47" t="s">
        <v>197</v>
      </c>
      <c r="E246" s="81">
        <f>G140</f>
        <v>262.47529411764697</v>
      </c>
      <c r="F246" s="81">
        <f>H140</f>
        <v>249.3515294117646</v>
      </c>
      <c r="G246" s="81">
        <f t="shared" ref="G246:V247" si="151">I140</f>
        <v>236.22776470588227</v>
      </c>
      <c r="H246" s="81">
        <f>J140</f>
        <v>212.60498823529406</v>
      </c>
      <c r="I246" s="81">
        <f t="shared" si="151"/>
        <v>191.34448941176467</v>
      </c>
      <c r="J246" s="81">
        <f t="shared" si="151"/>
        <v>172.21004047058821</v>
      </c>
      <c r="K246" s="81">
        <f t="shared" si="151"/>
        <v>154.9890364235294</v>
      </c>
      <c r="L246" s="81">
        <f t="shared" si="151"/>
        <v>139.49013278117647</v>
      </c>
      <c r="M246" s="81">
        <f t="shared" si="151"/>
        <v>125.54111950305881</v>
      </c>
      <c r="N246" s="81">
        <f t="shared" si="151"/>
        <v>112.98700755275294</v>
      </c>
      <c r="O246" s="81">
        <f>Q140</f>
        <v>101.68830679747765</v>
      </c>
      <c r="P246" s="81">
        <f t="shared" si="151"/>
        <v>91.519476117729894</v>
      </c>
      <c r="Q246" s="81">
        <f t="shared" si="151"/>
        <v>86.943502311843389</v>
      </c>
      <c r="R246" s="81">
        <f t="shared" si="151"/>
        <v>82.59632719625121</v>
      </c>
      <c r="S246" s="81">
        <f t="shared" si="151"/>
        <v>78.466510836438644</v>
      </c>
      <c r="T246" s="81">
        <f t="shared" si="151"/>
        <v>74.543185294616706</v>
      </c>
      <c r="U246" s="81">
        <f t="shared" si="151"/>
        <v>70.816026029885862</v>
      </c>
      <c r="V246" s="81">
        <f t="shared" si="151"/>
        <v>67.275224728391564</v>
      </c>
      <c r="W246" s="81">
        <f t="shared" ref="W246:X246" si="152">Y140</f>
        <v>63.911463491971986</v>
      </c>
      <c r="X246" s="81">
        <f t="shared" si="152"/>
        <v>60.715890317373386</v>
      </c>
      <c r="Y246" s="81">
        <f>AA140</f>
        <v>57.680095801504706</v>
      </c>
      <c r="Z246" s="81"/>
      <c r="AA246" s="81"/>
    </row>
    <row r="247" spans="3:27" x14ac:dyDescent="0.15">
      <c r="C247" s="47" t="s">
        <v>188</v>
      </c>
      <c r="E247" s="81">
        <f>G141</f>
        <v>72.192000000000007</v>
      </c>
      <c r="F247" s="81">
        <f>H141</f>
        <v>84.484943999999999</v>
      </c>
      <c r="G247" s="81">
        <f t="shared" si="151"/>
        <v>97.380014399999993</v>
      </c>
      <c r="H247" s="81">
        <f>J141</f>
        <v>113.73985681919999</v>
      </c>
      <c r="I247" s="81">
        <f t="shared" si="151"/>
        <v>130.77240037787521</v>
      </c>
      <c r="J247" s="81">
        <f t="shared" si="151"/>
        <v>144.21860540244319</v>
      </c>
      <c r="K247" s="81">
        <f t="shared" si="151"/>
        <v>149.18340760544643</v>
      </c>
      <c r="L247" s="81">
        <f t="shared" si="151"/>
        <v>148.3447549356645</v>
      </c>
      <c r="M247" s="81">
        <f t="shared" si="151"/>
        <v>153.99075630851584</v>
      </c>
      <c r="N247" s="81">
        <f t="shared" si="151"/>
        <v>159.85164449361798</v>
      </c>
      <c r="O247" s="81">
        <f>Q141</f>
        <v>164.30209515509645</v>
      </c>
      <c r="P247" s="81">
        <f>R142</f>
        <v>176.73812771788806</v>
      </c>
      <c r="Q247" s="81">
        <f t="shared" ref="Q247:Y247" si="153">S142</f>
        <v>167.90122133199364</v>
      </c>
      <c r="R247" s="81">
        <f t="shared" si="153"/>
        <v>159.50616026539396</v>
      </c>
      <c r="S247" s="81">
        <f t="shared" si="153"/>
        <v>151.53085225212425</v>
      </c>
      <c r="T247" s="81">
        <f t="shared" si="153"/>
        <v>143.95430963951802</v>
      </c>
      <c r="U247" s="81">
        <f t="shared" si="153"/>
        <v>136.75659415754211</v>
      </c>
      <c r="V247" s="81">
        <f t="shared" si="153"/>
        <v>129.91876444966499</v>
      </c>
      <c r="W247" s="81">
        <f t="shared" si="153"/>
        <v>123.42282622718174</v>
      </c>
      <c r="X247" s="81">
        <f t="shared" si="153"/>
        <v>117.25168491582265</v>
      </c>
      <c r="Y247" s="81">
        <f t="shared" si="153"/>
        <v>111.38910067003151</v>
      </c>
      <c r="Z247" s="81"/>
      <c r="AA247" s="81"/>
    </row>
    <row r="248" spans="3:27" x14ac:dyDescent="0.15">
      <c r="C248" s="47" t="s">
        <v>189</v>
      </c>
      <c r="E248" s="81">
        <f>G143</f>
        <v>6.72</v>
      </c>
      <c r="F248" s="81">
        <f t="shared" ref="F248:O248" si="154">H143</f>
        <v>12.9276</v>
      </c>
      <c r="G248" s="81">
        <f t="shared" si="154"/>
        <v>21.772800000000004</v>
      </c>
      <c r="H248" s="81">
        <f t="shared" si="154"/>
        <v>33.203519999999997</v>
      </c>
      <c r="I248" s="81">
        <f t="shared" si="154"/>
        <v>40.293287999999997</v>
      </c>
      <c r="J248" s="81">
        <f t="shared" si="154"/>
        <v>45.329949000000013</v>
      </c>
      <c r="K248" s="81">
        <f t="shared" si="154"/>
        <v>51.386801760000019</v>
      </c>
      <c r="L248" s="81">
        <f t="shared" si="154"/>
        <v>49.997969280000007</v>
      </c>
      <c r="M248" s="81">
        <f t="shared" si="154"/>
        <v>56.877689852928022</v>
      </c>
      <c r="N248" s="81">
        <f t="shared" si="154"/>
        <v>53.07754919962926</v>
      </c>
      <c r="O248" s="81">
        <f t="shared" si="154"/>
        <v>50.317516641248559</v>
      </c>
      <c r="P248" s="81">
        <f>R144</f>
        <v>51.548620584384032</v>
      </c>
      <c r="Q248" s="81">
        <f t="shared" ref="Q248:Y248" si="155">S144</f>
        <v>48.971189555164827</v>
      </c>
      <c r="R248" s="81">
        <f t="shared" si="155"/>
        <v>46.522630077406582</v>
      </c>
      <c r="S248" s="81">
        <f t="shared" si="155"/>
        <v>44.196498573536246</v>
      </c>
      <c r="T248" s="81">
        <f t="shared" si="155"/>
        <v>41.986673644859437</v>
      </c>
      <c r="U248" s="81">
        <f t="shared" si="155"/>
        <v>39.887339962616458</v>
      </c>
      <c r="V248" s="81">
        <f t="shared" si="155"/>
        <v>37.892972964485637</v>
      </c>
      <c r="W248" s="81">
        <f t="shared" si="155"/>
        <v>35.998324316261353</v>
      </c>
      <c r="X248" s="81">
        <f t="shared" si="155"/>
        <v>34.198408100448283</v>
      </c>
      <c r="Y248" s="81">
        <f t="shared" si="155"/>
        <v>32.48848769542586</v>
      </c>
      <c r="Z248" s="81"/>
      <c r="AA248" s="81"/>
    </row>
    <row r="249" spans="3:27" x14ac:dyDescent="0.15">
      <c r="C249" s="47" t="s">
        <v>190</v>
      </c>
      <c r="E249" s="81">
        <f>G145</f>
        <v>0.15782400000000002</v>
      </c>
      <c r="F249" s="81">
        <f t="shared" ref="F249:O249" si="156">H145</f>
        <v>0.50602320000000001</v>
      </c>
      <c r="G249" s="81">
        <f t="shared" si="156"/>
        <v>1.4648040000000004</v>
      </c>
      <c r="H249" s="81">
        <f t="shared" si="156"/>
        <v>4.4743104000000011</v>
      </c>
      <c r="I249" s="81">
        <f t="shared" si="156"/>
        <v>13.422931199999999</v>
      </c>
      <c r="J249" s="81">
        <f t="shared" si="156"/>
        <v>27.882544140000011</v>
      </c>
      <c r="K249" s="81">
        <f t="shared" si="156"/>
        <v>46.693823436000024</v>
      </c>
      <c r="L249" s="81">
        <f t="shared" si="156"/>
        <v>73.389876336000015</v>
      </c>
      <c r="M249" s="81">
        <f t="shared" si="156"/>
        <v>111.31776442644484</v>
      </c>
      <c r="N249" s="81">
        <f t="shared" si="156"/>
        <v>171.15523722182496</v>
      </c>
      <c r="O249" s="81">
        <f t="shared" si="156"/>
        <v>253.23060415779378</v>
      </c>
      <c r="P249" s="81">
        <f>R146</f>
        <v>367.23237304315177</v>
      </c>
      <c r="Q249" s="81">
        <f t="shared" ref="Q249:Y249" si="157">S146</f>
        <v>490.71930287964028</v>
      </c>
      <c r="R249" s="81">
        <f t="shared" si="157"/>
        <v>699.27500660348744</v>
      </c>
      <c r="S249" s="81">
        <f t="shared" si="157"/>
        <v>921.17827536566062</v>
      </c>
      <c r="T249" s="253">
        <f t="shared" si="157"/>
        <v>1184.7769818549114</v>
      </c>
      <c r="U249" s="253">
        <f t="shared" si="157"/>
        <v>1125.5381327621658</v>
      </c>
      <c r="V249" s="253">
        <f t="shared" si="157"/>
        <v>1069.2612261240572</v>
      </c>
      <c r="W249" s="253">
        <f t="shared" si="157"/>
        <v>1015.7981648178544</v>
      </c>
      <c r="X249" s="253">
        <f t="shared" si="157"/>
        <v>965.00825657696157</v>
      </c>
      <c r="Y249" s="253">
        <f t="shared" si="157"/>
        <v>916.75784374811349</v>
      </c>
      <c r="Z249" s="81"/>
      <c r="AA249" s="81"/>
    </row>
    <row r="250" spans="3:27" x14ac:dyDescent="0.15">
      <c r="C250" s="47" t="s">
        <v>191</v>
      </c>
      <c r="E250" s="81">
        <f>G147</f>
        <v>1.4601653219870059E-17</v>
      </c>
      <c r="F250" s="81">
        <f t="shared" ref="F250:O250" si="158">H147</f>
        <v>-2.6144531999999464E-3</v>
      </c>
      <c r="G250" s="81">
        <f t="shared" si="158"/>
        <v>-6.1654932000000683E-4</v>
      </c>
      <c r="H250" s="81">
        <f t="shared" si="158"/>
        <v>-6.0466896057599692E-3</v>
      </c>
      <c r="I250" s="81">
        <f t="shared" si="158"/>
        <v>-1.1650207294222588E-2</v>
      </c>
      <c r="J250" s="81">
        <f t="shared" si="158"/>
        <v>1.3006624496632143E-2</v>
      </c>
      <c r="K250" s="81">
        <f t="shared" si="158"/>
        <v>-8.0966109686541818E-3</v>
      </c>
      <c r="L250" s="81">
        <f t="shared" si="158"/>
        <v>-1.8814943414651349E-2</v>
      </c>
      <c r="M250" s="81">
        <f t="shared" si="158"/>
        <v>2.9170481775555875E-2</v>
      </c>
      <c r="N250" s="81">
        <f t="shared" si="158"/>
        <v>4.6110096413376662E-2</v>
      </c>
      <c r="O250" s="81">
        <f t="shared" si="158"/>
        <v>0.28136733795310753</v>
      </c>
      <c r="P250" s="81">
        <f t="shared" ref="P250:Y250" si="159">R148</f>
        <v>1.008880145722941</v>
      </c>
      <c r="Q250" s="81">
        <f t="shared" si="159"/>
        <v>9.744505144208043</v>
      </c>
      <c r="R250" s="81">
        <f t="shared" si="159"/>
        <v>20.881517715751201</v>
      </c>
      <c r="S250" s="81">
        <f t="shared" si="159"/>
        <v>47.26644717306884</v>
      </c>
      <c r="T250" s="253">
        <f t="shared" si="159"/>
        <v>94.689526906384188</v>
      </c>
      <c r="U250" s="253">
        <f t="shared" si="159"/>
        <v>211.28927872734883</v>
      </c>
      <c r="V250" s="253">
        <f t="shared" si="159"/>
        <v>385.96288132446898</v>
      </c>
      <c r="W250" s="253">
        <f t="shared" si="159"/>
        <v>649.00587710782986</v>
      </c>
      <c r="X250" s="253">
        <f t="shared" si="159"/>
        <v>1046.4638016797544</v>
      </c>
      <c r="Y250" s="253">
        <f t="shared" si="159"/>
        <v>1648.3223203780983</v>
      </c>
      <c r="Z250" s="81"/>
      <c r="AA250" s="81"/>
    </row>
    <row r="251" spans="3:27" x14ac:dyDescent="0.15">
      <c r="C251" s="47"/>
      <c r="E251" s="81"/>
      <c r="F251" s="81"/>
      <c r="G251" s="81"/>
      <c r="H251" s="81"/>
      <c r="I251" s="81"/>
      <c r="J251" s="81"/>
      <c r="K251" s="81"/>
      <c r="L251" s="81"/>
      <c r="M251" s="81"/>
      <c r="N251" s="81"/>
      <c r="O251" s="81"/>
      <c r="P251" s="81"/>
      <c r="Q251" s="81"/>
      <c r="R251" s="81"/>
      <c r="S251" s="81"/>
      <c r="T251" s="81"/>
      <c r="U251" s="81"/>
      <c r="V251" s="81"/>
      <c r="W251" s="81"/>
      <c r="X251" s="81"/>
      <c r="Y251" s="81"/>
      <c r="Z251" s="81"/>
      <c r="AA251" s="81"/>
    </row>
    <row r="252" spans="3:27" x14ac:dyDescent="0.15">
      <c r="C252" s="47"/>
      <c r="E252" s="81"/>
      <c r="F252" s="81"/>
      <c r="G252" s="81"/>
      <c r="H252" s="81"/>
      <c r="I252" s="81"/>
      <c r="J252" s="81"/>
      <c r="K252" s="81"/>
      <c r="L252" s="81"/>
      <c r="M252" s="81"/>
      <c r="N252" s="81"/>
      <c r="O252" s="81"/>
      <c r="P252" s="81"/>
      <c r="Q252" s="81"/>
      <c r="R252" s="81"/>
      <c r="S252" s="81"/>
      <c r="T252" s="81"/>
      <c r="U252" s="81"/>
      <c r="V252" s="81"/>
      <c r="W252" s="81"/>
      <c r="X252" s="81"/>
      <c r="Y252" s="81"/>
      <c r="Z252" s="81"/>
      <c r="AA252" s="81"/>
    </row>
    <row r="253" spans="3:27" x14ac:dyDescent="0.15">
      <c r="C253" s="47"/>
      <c r="E253" s="81"/>
      <c r="F253" s="81"/>
      <c r="G253" s="81"/>
      <c r="H253" s="81"/>
      <c r="I253" s="81"/>
      <c r="J253" s="81"/>
      <c r="K253" s="81"/>
      <c r="L253" s="81"/>
      <c r="M253" s="81"/>
      <c r="N253" s="81"/>
      <c r="O253" s="81"/>
      <c r="P253" s="81"/>
      <c r="Q253" s="81"/>
      <c r="R253" s="81"/>
      <c r="S253" s="81"/>
      <c r="T253" s="81"/>
      <c r="U253" s="81"/>
      <c r="V253" s="81"/>
      <c r="W253" s="81"/>
      <c r="X253" s="81"/>
      <c r="Y253" s="81"/>
      <c r="Z253" s="81"/>
      <c r="AA253" s="81"/>
    </row>
    <row r="254" spans="3:27" x14ac:dyDescent="0.15">
      <c r="C254" s="47"/>
      <c r="E254" s="81"/>
      <c r="F254" s="81"/>
      <c r="G254" s="81"/>
      <c r="H254" s="81"/>
      <c r="I254" s="81"/>
      <c r="J254" s="81"/>
      <c r="K254" s="81"/>
      <c r="L254" s="81"/>
      <c r="M254" s="81"/>
      <c r="N254" s="81"/>
      <c r="O254" s="81"/>
      <c r="P254" s="81"/>
      <c r="Q254" s="81"/>
      <c r="R254" s="81"/>
      <c r="S254" s="81"/>
      <c r="T254" s="81"/>
      <c r="U254" s="81"/>
      <c r="V254" s="81"/>
      <c r="W254" s="81"/>
      <c r="X254" s="81"/>
      <c r="Y254" s="81"/>
      <c r="Z254" s="81"/>
      <c r="AA254" s="81"/>
    </row>
    <row r="255" spans="3:27" x14ac:dyDescent="0.15">
      <c r="C255" s="47"/>
      <c r="E255" s="81"/>
      <c r="F255" s="81"/>
      <c r="G255" s="81"/>
      <c r="H255" s="81"/>
      <c r="I255" s="81"/>
      <c r="J255" s="81"/>
      <c r="K255" s="81"/>
      <c r="L255" s="81"/>
      <c r="M255" s="81"/>
      <c r="N255" s="81"/>
      <c r="O255" s="81"/>
      <c r="P255" s="81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</row>
    <row r="256" spans="3:27" x14ac:dyDescent="0.15">
      <c r="C256" s="47"/>
      <c r="E256" s="81"/>
      <c r="F256" s="81"/>
      <c r="G256" s="81"/>
      <c r="H256" s="81"/>
      <c r="I256" s="81"/>
      <c r="J256" s="81"/>
      <c r="K256" s="81"/>
      <c r="L256" s="81"/>
      <c r="M256" s="81"/>
      <c r="N256" s="81"/>
      <c r="O256" s="81"/>
      <c r="P256" s="81"/>
      <c r="Q256" s="81"/>
      <c r="R256" s="81"/>
      <c r="S256" s="81"/>
      <c r="T256" s="81"/>
      <c r="U256" s="81"/>
      <c r="V256" s="81"/>
      <c r="W256" s="81"/>
      <c r="X256" s="81"/>
      <c r="Y256" s="81"/>
      <c r="Z256" s="81"/>
      <c r="AA256" s="81"/>
    </row>
    <row r="257" spans="3:27" x14ac:dyDescent="0.15">
      <c r="C257" s="47"/>
      <c r="E257" s="81"/>
      <c r="F257" s="81"/>
      <c r="G257" s="81"/>
      <c r="H257" s="81"/>
      <c r="I257" s="81"/>
      <c r="J257" s="81"/>
      <c r="K257" s="81"/>
      <c r="L257" s="81"/>
      <c r="M257" s="81"/>
      <c r="N257" s="81"/>
      <c r="O257" s="81"/>
      <c r="P257" s="81"/>
      <c r="Q257" s="81"/>
      <c r="R257" s="81"/>
      <c r="S257" s="81"/>
      <c r="T257" s="81"/>
      <c r="U257" s="81"/>
      <c r="V257" s="81"/>
      <c r="W257" s="81"/>
      <c r="X257" s="81"/>
      <c r="Y257" s="81"/>
      <c r="Z257" s="81"/>
      <c r="AA257" s="81"/>
    </row>
    <row r="258" spans="3:27" x14ac:dyDescent="0.15">
      <c r="C258" s="47"/>
      <c r="E258" s="81"/>
      <c r="F258" s="81"/>
      <c r="G258" s="81"/>
      <c r="H258" s="81"/>
      <c r="I258" s="81"/>
      <c r="J258" s="81"/>
      <c r="K258" s="81"/>
      <c r="L258" s="81"/>
      <c r="M258" s="81"/>
      <c r="N258" s="81"/>
      <c r="O258" s="81"/>
      <c r="P258" s="81"/>
      <c r="Q258" s="81"/>
      <c r="R258" s="81"/>
      <c r="S258" s="81"/>
      <c r="T258" s="81"/>
      <c r="U258" s="81"/>
      <c r="V258" s="81"/>
      <c r="W258" s="81"/>
      <c r="X258" s="81"/>
      <c r="Y258" s="81"/>
      <c r="Z258" s="81"/>
      <c r="AA258" s="81"/>
    </row>
    <row r="259" spans="3:27" x14ac:dyDescent="0.15">
      <c r="C259" s="47"/>
      <c r="E259" s="81"/>
      <c r="F259" s="81"/>
      <c r="G259" s="81"/>
      <c r="H259" s="81"/>
      <c r="I259" s="81"/>
      <c r="J259" s="81"/>
      <c r="K259" s="81"/>
      <c r="L259" s="81"/>
      <c r="M259" s="81"/>
      <c r="N259" s="81"/>
      <c r="O259" s="81"/>
      <c r="P259" s="81"/>
      <c r="Q259" s="81"/>
      <c r="R259" s="81"/>
      <c r="S259" s="81"/>
      <c r="T259" s="81"/>
      <c r="U259" s="81"/>
      <c r="V259" s="81"/>
      <c r="W259" s="81"/>
      <c r="X259" s="81"/>
      <c r="Y259" s="81"/>
      <c r="Z259" s="81"/>
      <c r="AA259" s="81"/>
    </row>
    <row r="260" spans="3:27" x14ac:dyDescent="0.15">
      <c r="C260" s="47"/>
      <c r="E260" s="81"/>
      <c r="F260" s="81"/>
      <c r="G260" s="81"/>
      <c r="H260" s="81"/>
      <c r="I260" s="81"/>
      <c r="J260" s="81"/>
      <c r="K260" s="81"/>
      <c r="L260" s="81"/>
      <c r="M260" s="81"/>
      <c r="N260" s="81"/>
      <c r="O260" s="81"/>
      <c r="P260" s="81"/>
      <c r="Q260" s="81"/>
      <c r="R260" s="81"/>
      <c r="S260" s="81"/>
      <c r="T260" s="81"/>
      <c r="U260" s="81"/>
      <c r="V260" s="81"/>
      <c r="W260" s="81"/>
      <c r="X260" s="81"/>
      <c r="Y260" s="81"/>
      <c r="Z260" s="81"/>
      <c r="AA260" s="81"/>
    </row>
    <row r="261" spans="3:27" x14ac:dyDescent="0.15">
      <c r="C261" s="47"/>
      <c r="E261" s="81"/>
      <c r="F261" s="81"/>
      <c r="G261" s="81"/>
      <c r="H261" s="81"/>
      <c r="I261" s="81"/>
      <c r="J261" s="81"/>
      <c r="K261" s="81"/>
      <c r="L261" s="81"/>
      <c r="M261" s="81"/>
      <c r="N261" s="81"/>
      <c r="O261" s="81"/>
      <c r="P261" s="81"/>
      <c r="Q261" s="81"/>
      <c r="R261" s="81"/>
      <c r="S261" s="81"/>
      <c r="T261" s="81"/>
      <c r="U261" s="81"/>
      <c r="V261" s="81"/>
      <c r="W261" s="81"/>
      <c r="X261" s="81"/>
      <c r="Y261" s="81"/>
      <c r="Z261" s="81"/>
      <c r="AA261" s="81"/>
    </row>
    <row r="262" spans="3:27" x14ac:dyDescent="0.15">
      <c r="C262" s="47"/>
      <c r="E262" s="81"/>
      <c r="F262" s="81"/>
      <c r="G262" s="81"/>
      <c r="H262" s="81"/>
      <c r="I262" s="81"/>
      <c r="J262" s="81"/>
      <c r="K262" s="81"/>
      <c r="L262" s="81"/>
      <c r="M262" s="81"/>
      <c r="N262" s="81"/>
      <c r="O262" s="81"/>
      <c r="P262" s="81"/>
      <c r="Q262" s="81"/>
      <c r="R262" s="81"/>
      <c r="S262" s="81"/>
      <c r="T262" s="81"/>
      <c r="U262" s="81"/>
      <c r="V262" s="81"/>
      <c r="W262" s="81"/>
      <c r="X262" s="81"/>
      <c r="Y262" s="81"/>
      <c r="Z262" s="81"/>
      <c r="AA262" s="81"/>
    </row>
    <row r="263" spans="3:27" x14ac:dyDescent="0.15">
      <c r="C263" s="47"/>
      <c r="E263" s="81"/>
      <c r="F263" s="81"/>
      <c r="G263" s="81"/>
      <c r="H263" s="81"/>
      <c r="I263" s="81"/>
      <c r="J263" s="81"/>
      <c r="K263" s="81"/>
      <c r="L263" s="81"/>
      <c r="M263" s="81"/>
      <c r="N263" s="81"/>
      <c r="O263" s="81"/>
      <c r="P263" s="81"/>
      <c r="Q263" s="81"/>
      <c r="R263" s="81"/>
      <c r="S263" s="81"/>
      <c r="T263" s="81"/>
      <c r="U263" s="81"/>
      <c r="V263" s="81"/>
      <c r="W263" s="81"/>
      <c r="X263" s="81"/>
      <c r="Y263" s="81"/>
      <c r="Z263" s="81"/>
      <c r="AA263" s="81"/>
    </row>
    <row r="264" spans="3:27" x14ac:dyDescent="0.15">
      <c r="C264" s="47"/>
      <c r="E264" s="81"/>
      <c r="F264" s="81"/>
      <c r="G264" s="81"/>
      <c r="H264" s="81"/>
      <c r="I264" s="81"/>
      <c r="J264" s="81"/>
      <c r="K264" s="81"/>
      <c r="L264" s="81"/>
      <c r="M264" s="81"/>
      <c r="N264" s="81"/>
      <c r="O264" s="81"/>
      <c r="P264" s="81"/>
      <c r="Q264" s="81"/>
      <c r="R264" s="81"/>
      <c r="S264" s="81"/>
      <c r="T264" s="81"/>
      <c r="U264" s="81"/>
      <c r="V264" s="81"/>
      <c r="W264" s="81"/>
      <c r="X264" s="81"/>
      <c r="Y264" s="81"/>
      <c r="Z264" s="81"/>
      <c r="AA264" s="81"/>
    </row>
    <row r="265" spans="3:27" x14ac:dyDescent="0.15">
      <c r="C265" s="47"/>
      <c r="E265" s="81"/>
      <c r="F265" s="81"/>
      <c r="G265" s="81"/>
      <c r="H265" s="81"/>
      <c r="I265" s="81"/>
      <c r="J265" s="81"/>
      <c r="K265" s="81"/>
      <c r="L265" s="81"/>
      <c r="M265" s="81"/>
      <c r="N265" s="81"/>
      <c r="O265" s="81"/>
      <c r="P265" s="81"/>
      <c r="Q265" s="81"/>
      <c r="R265" s="81"/>
      <c r="S265" s="81"/>
      <c r="T265" s="81"/>
      <c r="U265" s="81"/>
      <c r="V265" s="81"/>
      <c r="W265" s="81"/>
      <c r="X265" s="81"/>
      <c r="Y265" s="81"/>
      <c r="Z265" s="81"/>
      <c r="AA265" s="81"/>
    </row>
    <row r="266" spans="3:27" x14ac:dyDescent="0.15">
      <c r="C266" s="47"/>
      <c r="E266" s="81"/>
      <c r="F266" s="81"/>
      <c r="G266" s="81"/>
      <c r="H266" s="81"/>
      <c r="I266" s="81"/>
      <c r="J266" s="81"/>
      <c r="K266" s="81"/>
      <c r="L266" s="81"/>
      <c r="M266" s="81"/>
      <c r="N266" s="81"/>
      <c r="O266" s="81"/>
      <c r="P266" s="81"/>
      <c r="Q266" s="81"/>
      <c r="R266" s="81"/>
      <c r="S266" s="81"/>
      <c r="T266" s="81"/>
      <c r="U266" s="81"/>
      <c r="V266" s="81"/>
      <c r="W266" s="81"/>
      <c r="X266" s="81"/>
      <c r="Y266" s="81"/>
      <c r="Z266" s="81"/>
      <c r="AA266" s="81"/>
    </row>
    <row r="267" spans="3:27" x14ac:dyDescent="0.15">
      <c r="C267" s="47"/>
      <c r="E267" s="81"/>
      <c r="F267" s="81"/>
      <c r="G267" s="81"/>
      <c r="H267" s="81"/>
      <c r="I267" s="81"/>
      <c r="J267" s="81"/>
      <c r="K267" s="81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</row>
    <row r="268" spans="3:27" x14ac:dyDescent="0.15">
      <c r="C268" s="47" t="s">
        <v>170</v>
      </c>
      <c r="E268" s="81">
        <v>10</v>
      </c>
      <c r="F268" s="81"/>
      <c r="G268" s="81"/>
      <c r="H268" s="81"/>
      <c r="I268" s="81"/>
      <c r="J268" s="81"/>
      <c r="K268" s="81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81"/>
    </row>
    <row r="269" spans="3:27" x14ac:dyDescent="0.15">
      <c r="C269" s="47" t="s">
        <v>171</v>
      </c>
      <c r="E269" s="81">
        <v>20</v>
      </c>
      <c r="F269" s="81"/>
      <c r="G269" s="81"/>
      <c r="H269" s="81"/>
      <c r="I269" s="81"/>
      <c r="J269" s="81"/>
      <c r="K269" s="81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</row>
    <row r="270" spans="3:27" x14ac:dyDescent="0.15">
      <c r="C270" s="47" t="s">
        <v>172</v>
      </c>
      <c r="E270" s="81">
        <v>30</v>
      </c>
      <c r="F270" s="81"/>
      <c r="G270" s="81"/>
      <c r="H270" s="81"/>
      <c r="I270" s="81"/>
      <c r="J270" s="81"/>
      <c r="K270" s="81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81"/>
    </row>
    <row r="271" spans="3:27" x14ac:dyDescent="0.15">
      <c r="C271" s="47" t="s">
        <v>173</v>
      </c>
      <c r="E271" s="81">
        <v>40</v>
      </c>
      <c r="F271" s="81"/>
      <c r="G271" s="81"/>
      <c r="H271" s="81"/>
      <c r="I271" s="81"/>
      <c r="J271" s="81"/>
      <c r="K271" s="81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81"/>
    </row>
    <row r="272" spans="3:27" x14ac:dyDescent="0.15">
      <c r="C272" s="47" t="s">
        <v>174</v>
      </c>
      <c r="E272" s="81">
        <v>50</v>
      </c>
      <c r="F272" s="81"/>
      <c r="G272" s="81"/>
      <c r="H272" s="81"/>
      <c r="I272" s="81"/>
      <c r="J272" s="81"/>
      <c r="K272" s="81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81"/>
    </row>
    <row r="273" spans="3:28" x14ac:dyDescent="0.15">
      <c r="C273" s="47" t="s">
        <v>175</v>
      </c>
      <c r="E273" s="81">
        <v>60</v>
      </c>
      <c r="F273" s="81"/>
      <c r="G273" s="81"/>
      <c r="H273" s="81"/>
      <c r="I273" s="81"/>
      <c r="J273" s="81"/>
      <c r="K273" s="81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81"/>
    </row>
    <row r="274" spans="3:28" x14ac:dyDescent="0.15">
      <c r="C274" s="47"/>
      <c r="E274" s="81"/>
      <c r="F274" s="81"/>
      <c r="G274" s="81"/>
      <c r="H274" s="81"/>
      <c r="I274" s="81"/>
      <c r="J274" s="81"/>
      <c r="K274" s="81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81"/>
    </row>
    <row r="275" spans="3:28" x14ac:dyDescent="0.15">
      <c r="C275" s="47" t="s">
        <v>176</v>
      </c>
      <c r="E275" s="234">
        <f>1/8*1/2^60</f>
        <v>1.0842021724855044E-19</v>
      </c>
      <c r="F275" s="30" t="s">
        <v>180</v>
      </c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81"/>
    </row>
    <row r="276" spans="3:28" x14ac:dyDescent="0.15">
      <c r="C276" s="47" t="s">
        <v>177</v>
      </c>
      <c r="E276" s="234">
        <f>1/1000000*1/3.6*1/1000000000</f>
        <v>2.7777777777777775E-16</v>
      </c>
      <c r="F276" s="81" t="s">
        <v>90</v>
      </c>
      <c r="G276" s="81"/>
      <c r="H276" s="81"/>
      <c r="I276" s="81"/>
      <c r="J276" s="81"/>
      <c r="K276" s="81"/>
      <c r="L276" s="81"/>
      <c r="M276" s="81"/>
      <c r="N276" s="81"/>
      <c r="O276" s="81"/>
      <c r="P276" s="81"/>
      <c r="Q276" s="81"/>
      <c r="R276" s="81"/>
      <c r="S276" s="81"/>
      <c r="T276" s="81"/>
      <c r="U276" s="81"/>
      <c r="V276" s="81"/>
      <c r="W276" s="81"/>
      <c r="X276" s="81"/>
      <c r="Y276" s="81"/>
      <c r="Z276" s="81"/>
      <c r="AA276" s="81"/>
    </row>
    <row r="277" spans="3:28" x14ac:dyDescent="0.15">
      <c r="C277" s="47"/>
      <c r="E277" s="81"/>
      <c r="F277" s="81"/>
      <c r="G277" s="81"/>
      <c r="H277" s="81"/>
      <c r="I277" s="81"/>
      <c r="J277" s="81"/>
      <c r="K277" s="81"/>
      <c r="L277" s="81"/>
      <c r="M277" s="81"/>
      <c r="N277" s="81"/>
      <c r="O277" s="81"/>
      <c r="P277" s="81"/>
      <c r="Q277" s="81"/>
      <c r="R277" s="81"/>
      <c r="S277" s="81"/>
      <c r="T277" s="81"/>
      <c r="U277" s="81"/>
      <c r="V277" s="81"/>
      <c r="W277" s="81"/>
      <c r="X277" s="81"/>
      <c r="Y277" s="81"/>
      <c r="Z277" s="81"/>
      <c r="AA277" s="81"/>
    </row>
    <row r="278" spans="3:28" x14ac:dyDescent="0.15">
      <c r="C278" s="47" t="s">
        <v>178</v>
      </c>
      <c r="E278" s="235">
        <f>E275/E276</f>
        <v>3.9031278209478165E-4</v>
      </c>
      <c r="F278" s="81" t="s">
        <v>182</v>
      </c>
      <c r="G278" s="81"/>
      <c r="H278" s="81"/>
      <c r="I278" s="81"/>
      <c r="J278" s="81"/>
      <c r="K278" s="81"/>
      <c r="L278" s="81"/>
      <c r="M278" s="81"/>
      <c r="N278" s="81"/>
      <c r="O278" s="81"/>
      <c r="P278" s="81"/>
      <c r="Q278" s="81"/>
      <c r="R278" s="81"/>
      <c r="S278" s="81"/>
      <c r="T278" s="81"/>
      <c r="U278" s="81"/>
      <c r="V278" s="81"/>
      <c r="W278" s="81"/>
      <c r="X278" s="81"/>
      <c r="Y278" s="81"/>
      <c r="Z278" s="81"/>
      <c r="AA278" s="81"/>
    </row>
    <row r="279" spans="3:28" x14ac:dyDescent="0.15">
      <c r="C279" s="47" t="s">
        <v>179</v>
      </c>
      <c r="E279" s="81">
        <f>1/E278</f>
        <v>2562.0477880152152</v>
      </c>
      <c r="F279" s="81" t="s">
        <v>181</v>
      </c>
      <c r="G279" s="81"/>
      <c r="H279" s="81"/>
      <c r="I279" s="81"/>
      <c r="J279" s="81"/>
      <c r="K279" s="81"/>
      <c r="L279" s="81"/>
      <c r="M279" s="81"/>
      <c r="N279" s="81"/>
      <c r="O279" s="81"/>
      <c r="P279" s="81"/>
      <c r="Q279" s="81"/>
      <c r="R279" s="81"/>
      <c r="S279" s="81"/>
      <c r="T279" s="81"/>
      <c r="U279" s="81"/>
      <c r="V279" s="81"/>
      <c r="W279" s="81"/>
      <c r="X279" s="81"/>
      <c r="Y279" s="81"/>
      <c r="Z279" s="81"/>
      <c r="AA279" s="81"/>
    </row>
    <row r="280" spans="3:28" x14ac:dyDescent="0.15">
      <c r="C280" s="47"/>
      <c r="E280" s="81"/>
      <c r="F280" s="81"/>
      <c r="G280" s="81"/>
      <c r="H280" s="81"/>
      <c r="I280" s="81"/>
      <c r="J280" s="81"/>
      <c r="K280" s="81"/>
      <c r="L280" s="81"/>
      <c r="M280" s="81"/>
      <c r="N280" s="81"/>
      <c r="O280" s="81"/>
      <c r="P280" s="81"/>
      <c r="Q280" s="81"/>
      <c r="R280" s="81"/>
      <c r="S280" s="81"/>
      <c r="T280" s="81"/>
      <c r="U280" s="81"/>
      <c r="V280" s="81"/>
      <c r="W280" s="81"/>
      <c r="X280" s="81"/>
      <c r="Y280" s="81"/>
      <c r="Z280" s="81"/>
      <c r="AA280" s="81"/>
    </row>
    <row r="281" spans="3:28" x14ac:dyDescent="0.15">
      <c r="C281" s="47"/>
      <c r="E281" s="81"/>
      <c r="F281" s="81"/>
      <c r="G281" s="81"/>
      <c r="H281" s="81"/>
      <c r="I281" s="81"/>
      <c r="J281" s="81"/>
      <c r="K281" s="81"/>
      <c r="L281" s="81"/>
      <c r="M281" s="81"/>
      <c r="N281" s="81"/>
      <c r="O281" s="81"/>
      <c r="P281" s="81"/>
      <c r="Q281" s="81"/>
      <c r="R281" s="81"/>
      <c r="S281" s="81"/>
      <c r="T281" s="81"/>
      <c r="U281" s="81"/>
      <c r="V281" s="81"/>
      <c r="W281" s="81"/>
      <c r="X281" s="81"/>
      <c r="Y281" s="81"/>
      <c r="Z281" s="81"/>
      <c r="AA281" s="81"/>
    </row>
    <row r="282" spans="3:28" x14ac:dyDescent="0.15">
      <c r="C282" s="47" t="s">
        <v>183</v>
      </c>
      <c r="E282" s="234">
        <f>1000/1000000000000</f>
        <v>1.0000000000000001E-9</v>
      </c>
      <c r="F282" s="81" t="s">
        <v>90</v>
      </c>
      <c r="G282" s="81"/>
      <c r="H282" s="81"/>
      <c r="I282" s="81"/>
      <c r="J282" s="81"/>
      <c r="K282" s="81"/>
      <c r="L282" s="81"/>
      <c r="M282" s="81" t="s">
        <v>241</v>
      </c>
      <c r="N282" s="81"/>
      <c r="O282" s="81"/>
      <c r="P282" s="81"/>
      <c r="Q282" s="81"/>
      <c r="R282" s="81"/>
      <c r="S282" s="81"/>
      <c r="T282" s="81"/>
      <c r="U282" s="81"/>
      <c r="V282" s="81"/>
      <c r="W282" s="81"/>
      <c r="X282" s="81"/>
      <c r="Y282" s="81"/>
      <c r="Z282" s="81"/>
      <c r="AA282" s="81"/>
    </row>
    <row r="283" spans="3:28" x14ac:dyDescent="0.15">
      <c r="C283" s="47" t="s">
        <v>184</v>
      </c>
      <c r="E283" s="234">
        <f>2^40/2^60</f>
        <v>9.5367431640625E-7</v>
      </c>
      <c r="F283" s="81" t="s">
        <v>42</v>
      </c>
      <c r="G283" s="81"/>
      <c r="H283" s="81"/>
      <c r="I283" s="81"/>
      <c r="J283" s="81"/>
      <c r="K283" s="81"/>
      <c r="L283" s="81"/>
      <c r="M283" s="81"/>
      <c r="N283" s="81"/>
      <c r="O283" s="81"/>
      <c r="P283" s="81"/>
      <c r="Q283" s="81"/>
      <c r="R283" s="81"/>
      <c r="S283" s="81"/>
      <c r="T283" s="81"/>
      <c r="U283" s="81"/>
      <c r="V283" s="81"/>
      <c r="W283" s="81"/>
      <c r="X283" s="81"/>
      <c r="Y283" s="81"/>
      <c r="Z283" s="81"/>
      <c r="AA283" s="81"/>
    </row>
    <row r="284" spans="3:28" x14ac:dyDescent="0.15">
      <c r="C284" s="47"/>
      <c r="E284" s="81"/>
      <c r="F284" s="81"/>
      <c r="G284" s="81"/>
      <c r="H284" s="81"/>
      <c r="I284" s="81"/>
      <c r="J284" s="81" t="s">
        <v>240</v>
      </c>
      <c r="K284" s="81"/>
      <c r="L284" s="81"/>
      <c r="M284" s="81"/>
      <c r="N284" s="81"/>
      <c r="O284" s="81"/>
      <c r="P284" s="81"/>
      <c r="Q284" s="81"/>
      <c r="R284" s="81"/>
      <c r="T284" s="81"/>
      <c r="U284" s="81"/>
      <c r="V284" s="81"/>
      <c r="W284" s="81"/>
      <c r="X284" s="81"/>
      <c r="Y284" s="81"/>
      <c r="Z284" s="81"/>
      <c r="AA284" s="81"/>
      <c r="AB284" s="81" t="s">
        <v>242</v>
      </c>
    </row>
    <row r="285" spans="3:28" x14ac:dyDescent="0.15">
      <c r="C285" s="47"/>
      <c r="E285" s="81"/>
      <c r="F285" s="81"/>
      <c r="G285" s="81"/>
      <c r="H285" s="81"/>
      <c r="I285" s="81"/>
      <c r="J285" s="81"/>
      <c r="K285" s="81"/>
      <c r="L285" s="81"/>
      <c r="M285" s="81"/>
      <c r="N285" s="81"/>
      <c r="O285" s="81"/>
      <c r="P285" s="81"/>
      <c r="Q285" s="81"/>
      <c r="R285" s="81"/>
      <c r="S285" s="81"/>
      <c r="T285" s="81"/>
      <c r="U285" s="81"/>
      <c r="V285" s="81"/>
      <c r="W285" s="81"/>
      <c r="X285" s="81"/>
      <c r="Y285" s="81"/>
      <c r="Z285" s="81"/>
      <c r="AA285" s="81"/>
    </row>
    <row r="286" spans="3:28" x14ac:dyDescent="0.15">
      <c r="C286" s="47"/>
      <c r="E286" s="81"/>
      <c r="F286" s="81"/>
      <c r="G286" s="81"/>
      <c r="H286" s="81"/>
      <c r="I286" s="81"/>
      <c r="J286" s="81"/>
      <c r="K286" s="81"/>
      <c r="L286" s="81"/>
      <c r="M286" s="81"/>
      <c r="N286" s="81"/>
      <c r="O286" s="81"/>
      <c r="P286" s="81"/>
      <c r="Q286" s="81"/>
      <c r="R286" s="81"/>
      <c r="S286" s="81"/>
      <c r="T286" s="81"/>
      <c r="U286" s="81"/>
      <c r="V286" s="81"/>
      <c r="W286" s="81"/>
      <c r="X286" s="81"/>
      <c r="Y286" s="81"/>
      <c r="Z286" s="81"/>
      <c r="AA286" s="81"/>
    </row>
    <row r="287" spans="3:28" x14ac:dyDescent="0.15">
      <c r="C287" s="47"/>
      <c r="E287" s="81"/>
      <c r="F287" s="81"/>
      <c r="G287" s="81"/>
      <c r="H287" s="81"/>
      <c r="I287" s="81"/>
      <c r="J287" s="81"/>
      <c r="K287" s="81"/>
      <c r="L287" s="81"/>
      <c r="M287" s="81"/>
      <c r="N287" s="81"/>
      <c r="O287" s="81"/>
      <c r="P287" s="81"/>
      <c r="Q287" s="81"/>
      <c r="R287" s="81"/>
      <c r="S287" s="81"/>
      <c r="T287" s="81"/>
      <c r="U287" s="81"/>
      <c r="V287" s="81"/>
      <c r="W287" s="81"/>
      <c r="X287" s="81"/>
      <c r="Y287" s="81"/>
      <c r="Z287" s="81"/>
      <c r="AA287" s="81"/>
    </row>
    <row r="288" spans="3:28" x14ac:dyDescent="0.15">
      <c r="G288" s="81"/>
      <c r="H288" s="81"/>
      <c r="I288" s="104"/>
      <c r="J288" s="81">
        <v>166.78983785188768</v>
      </c>
      <c r="K288" s="81">
        <v>158.79462618406393</v>
      </c>
      <c r="L288" s="81">
        <v>151.56695483635124</v>
      </c>
      <c r="M288" s="81">
        <v>145.03313993801899</v>
      </c>
      <c r="N288" s="81">
        <v>139.12657126992661</v>
      </c>
      <c r="O288" s="81">
        <v>133.78703319397113</v>
      </c>
      <c r="P288" s="81">
        <v>128.96009077330737</v>
      </c>
      <c r="Q288" s="81">
        <v>147.95838510471992</v>
      </c>
      <c r="R288" s="81">
        <v>170.13800300566152</v>
      </c>
      <c r="S288" s="81">
        <v>196.06744968402444</v>
      </c>
      <c r="T288" s="81">
        <v>226.41976759151831</v>
      </c>
      <c r="U288" s="81"/>
      <c r="V288" s="81"/>
      <c r="W288" s="81"/>
      <c r="X288" s="81"/>
      <c r="Y288" s="81"/>
      <c r="Z288" s="81"/>
      <c r="AA288" s="81"/>
    </row>
    <row r="289" spans="4:27" x14ac:dyDescent="0.15">
      <c r="G289" s="81"/>
      <c r="H289" s="81"/>
      <c r="I289" s="104"/>
      <c r="J289" s="81">
        <f>(J288+J290)/2</f>
        <v>167.11865327485282</v>
      </c>
      <c r="K289" s="81">
        <f t="shared" ref="K289:T289" si="160">(K288+K290)/2</f>
        <v>162.58480231756391</v>
      </c>
      <c r="L289" s="81">
        <f t="shared" si="160"/>
        <v>157.5254965402863</v>
      </c>
      <c r="M289" s="81">
        <f t="shared" si="160"/>
        <v>153.19644151473699</v>
      </c>
      <c r="N289" s="81">
        <f t="shared" si="160"/>
        <v>149.54084459528389</v>
      </c>
      <c r="O289" s="81">
        <f t="shared" si="160"/>
        <v>146.50758712383967</v>
      </c>
      <c r="P289" s="81">
        <f t="shared" si="160"/>
        <v>144.05071593238807</v>
      </c>
      <c r="Q289" s="81">
        <f t="shared" si="160"/>
        <v>169.90316696156589</v>
      </c>
      <c r="R289" s="81">
        <f t="shared" si="160"/>
        <v>200.87757447509767</v>
      </c>
      <c r="S289" s="81">
        <f t="shared" si="160"/>
        <v>238.06217159954195</v>
      </c>
      <c r="T289" s="81">
        <f t="shared" si="160"/>
        <v>282.78424798644119</v>
      </c>
      <c r="U289" s="81"/>
      <c r="V289" s="81"/>
      <c r="W289" s="81"/>
      <c r="X289" s="81"/>
      <c r="Y289" s="81"/>
      <c r="Z289" s="81"/>
      <c r="AA289" s="81"/>
    </row>
    <row r="290" spans="4:27" x14ac:dyDescent="0.15">
      <c r="G290" s="81"/>
      <c r="H290" s="81"/>
      <c r="I290" s="81"/>
      <c r="J290" s="81">
        <v>167.44746869781792</v>
      </c>
      <c r="K290" s="81">
        <v>166.3749784510639</v>
      </c>
      <c r="L290" s="81">
        <v>163.48403824422135</v>
      </c>
      <c r="M290" s="81">
        <v>161.35974309145502</v>
      </c>
      <c r="N290" s="81">
        <v>159.95511792064113</v>
      </c>
      <c r="O290" s="81">
        <v>159.22814105370821</v>
      </c>
      <c r="P290" s="81">
        <v>159.14134109146875</v>
      </c>
      <c r="Q290" s="81">
        <v>191.84794881841188</v>
      </c>
      <c r="R290" s="81">
        <v>231.61714594453386</v>
      </c>
      <c r="S290" s="81">
        <v>280.05689351505947</v>
      </c>
      <c r="T290" s="81">
        <v>339.14872838136409</v>
      </c>
      <c r="U290" s="81"/>
      <c r="V290" s="81"/>
      <c r="W290" s="81"/>
      <c r="X290" s="81"/>
      <c r="Y290" s="81"/>
      <c r="Z290" s="81"/>
      <c r="AA290" s="81"/>
    </row>
    <row r="295" spans="4:27" x14ac:dyDescent="0.15">
      <c r="I295" s="30" t="s">
        <v>362</v>
      </c>
      <c r="J295" s="30">
        <f>J297/(0.5*(Traffic!G13+Traffic!G18))</f>
        <v>0.18724943083174583</v>
      </c>
      <c r="K295" s="30">
        <f>K297/(0.5*(Traffic!H13+Traffic!H18))</f>
        <v>0.14187761116636963</v>
      </c>
      <c r="L295" s="30">
        <f>L297/(0.5*(Traffic!I13+Traffic!I18))</f>
        <v>0.10819750307408856</v>
      </c>
      <c r="M295" s="30">
        <f>M297/(0.5*(Traffic!J13+Traffic!J18))</f>
        <v>8.2420223134496318E-2</v>
      </c>
      <c r="N295" s="30">
        <f>N297/(0.5*(Traffic!K13+Traffic!K18))</f>
        <v>6.2714393140588034E-2</v>
      </c>
      <c r="O295" s="30">
        <f>O297/(0.5*(Traffic!L13+Traffic!L18))</f>
        <v>4.7667883626914154E-2</v>
      </c>
      <c r="P295" s="30">
        <f>P297/(0.5*(Traffic!M13+Traffic!M18))</f>
        <v>3.6192806262278748E-2</v>
      </c>
      <c r="Q295" s="30">
        <f>Q297/(0.5*(Traffic!N13+Traffic!N18))</f>
        <v>3.3650733028821073E-2</v>
      </c>
      <c r="R295" s="30">
        <f>R297/(0.5*(Traffic!O13+Traffic!O18))</f>
        <v>3.125648417526096E-2</v>
      </c>
      <c r="S295" s="30">
        <f>S297/(0.5*(Traffic!P13+Traffic!P18))</f>
        <v>2.9005532597199592E-2</v>
      </c>
      <c r="T295" s="30">
        <f>T297/(0.5*(Traffic!Q13+Traffic!Q18))</f>
        <v>2.6893062471875569E-2</v>
      </c>
    </row>
    <row r="296" spans="4:27" x14ac:dyDescent="0.15">
      <c r="E296" s="62">
        <v>2010</v>
      </c>
      <c r="F296" s="62">
        <v>2011</v>
      </c>
      <c r="G296" s="62">
        <v>2012</v>
      </c>
      <c r="H296" s="62">
        <v>2013</v>
      </c>
      <c r="I296" s="62">
        <v>2014</v>
      </c>
      <c r="J296" s="474">
        <v>2015</v>
      </c>
      <c r="K296" s="474">
        <v>2016</v>
      </c>
      <c r="L296" s="474">
        <v>2017</v>
      </c>
      <c r="M296" s="474">
        <v>2018</v>
      </c>
      <c r="N296" s="474">
        <v>2019</v>
      </c>
      <c r="O296" s="474">
        <v>2020</v>
      </c>
      <c r="P296" s="474">
        <v>2021</v>
      </c>
      <c r="Q296" s="474">
        <v>2022</v>
      </c>
      <c r="R296" s="474">
        <v>2023</v>
      </c>
      <c r="S296" s="474">
        <v>2024</v>
      </c>
      <c r="T296" s="474">
        <v>2025</v>
      </c>
      <c r="U296" s="62">
        <v>2026</v>
      </c>
      <c r="V296" s="62">
        <v>2027</v>
      </c>
      <c r="W296" s="62">
        <v>2028</v>
      </c>
      <c r="X296" s="62">
        <v>2029</v>
      </c>
      <c r="Y296" s="62">
        <v>2030</v>
      </c>
    </row>
    <row r="297" spans="4:27" x14ac:dyDescent="0.15">
      <c r="D297" s="30" t="s">
        <v>247</v>
      </c>
      <c r="E297" s="253">
        <f>G171</f>
        <v>162</v>
      </c>
      <c r="F297" s="253">
        <f t="shared" ref="F297:I297" si="161">H171</f>
        <v>178</v>
      </c>
      <c r="G297" s="253">
        <f t="shared" si="161"/>
        <v>196.24</v>
      </c>
      <c r="H297" s="253">
        <f>J171</f>
        <v>183.73283148936173</v>
      </c>
      <c r="I297" s="253">
        <f t="shared" si="161"/>
        <v>172.76040904638302</v>
      </c>
      <c r="J297" s="475">
        <f>L171</f>
        <v>151.63684263444782</v>
      </c>
      <c r="K297" s="475">
        <f t="shared" ref="K297:T297" si="162">M171</f>
        <v>139.85650250256816</v>
      </c>
      <c r="L297" s="475">
        <f t="shared" si="162"/>
        <v>129.31922783315423</v>
      </c>
      <c r="M297" s="475">
        <f t="shared" si="162"/>
        <v>119.87746279871092</v>
      </c>
      <c r="N297" s="475">
        <f t="shared" si="162"/>
        <v>111.40176991280259</v>
      </c>
      <c r="O297" s="475">
        <f t="shared" si="162"/>
        <v>103.77858555962989</v>
      </c>
      <c r="P297" s="475">
        <f t="shared" si="162"/>
        <v>96.908254188635993</v>
      </c>
      <c r="Q297" s="475">
        <f t="shared" si="162"/>
        <v>111.18469835968899</v>
      </c>
      <c r="R297" s="475">
        <f t="shared" si="162"/>
        <v>127.85177758134969</v>
      </c>
      <c r="S297" s="475">
        <f t="shared" si="162"/>
        <v>147.33670035559436</v>
      </c>
      <c r="T297" s="475">
        <f t="shared" si="162"/>
        <v>170.14523066412389</v>
      </c>
      <c r="U297" s="253"/>
      <c r="V297" s="253"/>
      <c r="W297" s="253"/>
      <c r="X297" s="253"/>
      <c r="Y297" s="253"/>
    </row>
    <row r="298" spans="4:27" x14ac:dyDescent="0.15">
      <c r="D298" s="30" t="s">
        <v>248</v>
      </c>
      <c r="E298" s="253">
        <f>G174</f>
        <v>162</v>
      </c>
      <c r="F298" s="253">
        <f t="shared" ref="F298:I298" si="163">H174</f>
        <v>178</v>
      </c>
      <c r="G298" s="253">
        <f t="shared" si="163"/>
        <v>196.24</v>
      </c>
      <c r="H298" s="253">
        <f t="shared" si="163"/>
        <v>201.5134280851064</v>
      </c>
      <c r="I298" s="253">
        <f t="shared" si="163"/>
        <v>207.81585104851064</v>
      </c>
      <c r="J298" s="253">
        <f>L171</f>
        <v>151.63684263444782</v>
      </c>
      <c r="K298" s="253">
        <f>M174</f>
        <v>160.1512264532609</v>
      </c>
      <c r="L298" s="253">
        <f t="shared" ref="L298:T298" si="164">N174</f>
        <v>167.40286784511915</v>
      </c>
      <c r="M298" s="253">
        <f t="shared" si="164"/>
        <v>175.71242294208025</v>
      </c>
      <c r="N298" s="253">
        <f t="shared" si="164"/>
        <v>185.18178145105239</v>
      </c>
      <c r="O298" s="253">
        <f t="shared" si="164"/>
        <v>195.92381642636491</v>
      </c>
      <c r="P298" s="253">
        <f t="shared" si="164"/>
        <v>208.06352868847375</v>
      </c>
      <c r="Q298" s="253">
        <f t="shared" si="164"/>
        <v>247.82628952520483</v>
      </c>
      <c r="R298" s="253">
        <f t="shared" si="164"/>
        <v>296.17532918094776</v>
      </c>
      <c r="S298" s="253">
        <f t="shared" si="164"/>
        <v>355.06551167002777</v>
      </c>
      <c r="T298" s="253">
        <f t="shared" si="164"/>
        <v>426.90587239496085</v>
      </c>
      <c r="U298" s="253"/>
      <c r="V298" s="253"/>
      <c r="W298" s="253"/>
      <c r="X298" s="253"/>
      <c r="Y298" s="253"/>
    </row>
    <row r="299" spans="4:27" ht="14" x14ac:dyDescent="0.2">
      <c r="D299" s="30" t="s">
        <v>323</v>
      </c>
      <c r="E299" s="253">
        <f>G179</f>
        <v>162</v>
      </c>
      <c r="F299" s="253">
        <f t="shared" ref="F299:I299" si="165">H179</f>
        <v>178</v>
      </c>
      <c r="G299" s="253">
        <f t="shared" si="165"/>
        <v>196.24</v>
      </c>
      <c r="H299" s="253">
        <f t="shared" si="165"/>
        <v>230.25841276595744</v>
      </c>
      <c r="I299" s="253">
        <f t="shared" si="165"/>
        <v>271.90573381914896</v>
      </c>
      <c r="J299" s="253">
        <f>0.5*(Traffic!G13+Traffic!G18)*0.1</f>
        <v>80.981203499999992</v>
      </c>
      <c r="K299" s="253">
        <f>0.5*(Traffic!H13+Traffic!H18)*0.1</f>
        <v>98.57545623499999</v>
      </c>
      <c r="L299" s="253">
        <f>0.5*(Traffic!I13+Traffic!I18)*0.1</f>
        <v>119.52145304554998</v>
      </c>
      <c r="M299" s="253">
        <f>0.5*(Traffic!J13+Traffic!J18)*0.1</f>
        <v>145.44666131647148</v>
      </c>
      <c r="N299" s="253">
        <f>0.5*(Traffic!K13+Traffic!K18)*0.1</f>
        <v>177.63349740636278</v>
      </c>
      <c r="O299" s="253">
        <f>0.5*(Traffic!L13+Traffic!L18)*0.1</f>
        <v>217.71175404362745</v>
      </c>
      <c r="P299" s="253">
        <f>0.5*(Traffic!M13+Traffic!M18)*0.1</f>
        <v>267.75556856898589</v>
      </c>
      <c r="Q299" s="253">
        <f>0.5*(Traffic!N13+Traffic!N18)*0.1</f>
        <v>330.40795356363225</v>
      </c>
      <c r="R299" s="253">
        <f>0.5*(Traffic!O13+Traffic!O18)*0.1</f>
        <v>409.04081490567154</v>
      </c>
      <c r="S299" s="253">
        <f>0.5*(Traffic!P13+Traffic!P18)*0.1</f>
        <v>507.96067909409578</v>
      </c>
      <c r="T299" s="253">
        <f>0.5*(Traffic!Q13+Traffic!Q18)*0.1</f>
        <v>632.67331804274681</v>
      </c>
      <c r="U299" s="253"/>
      <c r="V299" s="253"/>
      <c r="W299" s="253"/>
      <c r="X299" s="253"/>
      <c r="Y299" s="253"/>
    </row>
    <row r="300" spans="4:27" ht="14" x14ac:dyDescent="0.2">
      <c r="D300" s="30" t="s">
        <v>323</v>
      </c>
      <c r="J300" s="81">
        <v>80.981203499999992</v>
      </c>
      <c r="K300" s="81">
        <v>98.57545623499999</v>
      </c>
      <c r="L300" s="81">
        <v>119.52145304554998</v>
      </c>
      <c r="M300" s="81">
        <v>145.44666131647148</v>
      </c>
      <c r="N300" s="81">
        <v>177.63349740636278</v>
      </c>
      <c r="O300" s="81">
        <v>217.71175404362745</v>
      </c>
      <c r="P300" s="81">
        <v>267.75556856898589</v>
      </c>
      <c r="Q300" s="81">
        <v>330.40795356363225</v>
      </c>
      <c r="R300" s="81">
        <v>409.04081490567154</v>
      </c>
      <c r="S300" s="81">
        <v>507.96067909409578</v>
      </c>
      <c r="T300" s="81">
        <v>632.67331804274681</v>
      </c>
    </row>
    <row r="301" spans="4:27" x14ac:dyDescent="0.15">
      <c r="J301" s="30">
        <f>J299*10</f>
        <v>809.81203499999992</v>
      </c>
      <c r="K301" s="30">
        <f t="shared" ref="K301:T301" si="166">K299*10</f>
        <v>985.7545623499999</v>
      </c>
      <c r="L301" s="30">
        <f t="shared" si="166"/>
        <v>1195.2145304554997</v>
      </c>
      <c r="M301" s="30">
        <f t="shared" si="166"/>
        <v>1454.4666131647148</v>
      </c>
      <c r="N301" s="30">
        <f t="shared" si="166"/>
        <v>1776.3349740636277</v>
      </c>
      <c r="O301" s="30">
        <f t="shared" si="166"/>
        <v>2177.1175404362743</v>
      </c>
      <c r="P301" s="30">
        <f t="shared" si="166"/>
        <v>2677.5556856898588</v>
      </c>
      <c r="Q301" s="30">
        <f t="shared" si="166"/>
        <v>3304.0795356363224</v>
      </c>
      <c r="R301" s="30">
        <f t="shared" si="166"/>
        <v>4090.4081490567155</v>
      </c>
      <c r="S301" s="30">
        <f t="shared" si="166"/>
        <v>5079.6067909409576</v>
      </c>
      <c r="T301" s="30">
        <f t="shared" si="166"/>
        <v>6326.7331804274681</v>
      </c>
    </row>
    <row r="302" spans="4:27" x14ac:dyDescent="0.15">
      <c r="I302" s="30" t="s">
        <v>362</v>
      </c>
      <c r="J302" s="30">
        <f>J297/J301</f>
        <v>0.18724943083174583</v>
      </c>
      <c r="K302" s="30">
        <f>K297/K301</f>
        <v>0.14187761116636963</v>
      </c>
      <c r="L302" s="30">
        <f t="shared" ref="L302:S302" si="167">L297/L301</f>
        <v>0.10819750307408856</v>
      </c>
      <c r="M302" s="30">
        <f t="shared" si="167"/>
        <v>8.2420223134496318E-2</v>
      </c>
      <c r="N302" s="30">
        <f t="shared" si="167"/>
        <v>6.2714393140588034E-2</v>
      </c>
      <c r="O302" s="30">
        <f t="shared" si="167"/>
        <v>4.7667883626914154E-2</v>
      </c>
      <c r="P302" s="30">
        <f t="shared" si="167"/>
        <v>3.6192806262278748E-2</v>
      </c>
      <c r="Q302" s="30">
        <f t="shared" si="167"/>
        <v>3.3650733028821073E-2</v>
      </c>
      <c r="R302" s="30">
        <f t="shared" si="167"/>
        <v>3.125648417526096E-2</v>
      </c>
      <c r="S302" s="30">
        <f t="shared" si="167"/>
        <v>2.9005532597199592E-2</v>
      </c>
      <c r="T302" s="30">
        <f>T297/T301</f>
        <v>2.6893062471875565E-2</v>
      </c>
    </row>
    <row r="310" spans="12:13" x14ac:dyDescent="0.15">
      <c r="L310" s="30" t="s">
        <v>253</v>
      </c>
    </row>
    <row r="319" spans="12:13" x14ac:dyDescent="0.15">
      <c r="L319" s="30">
        <f>0.7^10</f>
        <v>2.824752489999998E-2</v>
      </c>
      <c r="M319" s="30">
        <f>1/L319</f>
        <v>35.401331746414378</v>
      </c>
    </row>
    <row r="336" spans="10:21" ht="14" thickBot="1" x14ac:dyDescent="0.2">
      <c r="J336" s="30">
        <f>J338/(0.5*(Traffic!G12+Traffic!G17))</f>
        <v>0.11259966226073766</v>
      </c>
      <c r="K336" s="30">
        <f>K338/(0.5*(Traffic!H12+Traffic!H17))</f>
        <v>8.4358031000350345E-2</v>
      </c>
      <c r="L336" s="30">
        <f>L338/(0.5*(Traffic!I12+Traffic!I17))</f>
        <v>6.3982508175174826E-2</v>
      </c>
      <c r="M336" s="30">
        <f>M338/(0.5*(Traffic!J12+Traffic!J17))</f>
        <v>4.8509978957823004E-2</v>
      </c>
      <c r="N336" s="30">
        <f>N338/(0.5*(Traffic!K12+Traffic!K17))</f>
        <v>3.6765178595696731E-2</v>
      </c>
      <c r="O336" s="30">
        <f>O338/(0.5*(Traffic!L12+Traffic!L17))</f>
        <v>2.7853445888203762E-2</v>
      </c>
      <c r="P336" s="30">
        <f>P338/(0.5*(Traffic!M12+Traffic!M17))</f>
        <v>2.1093995434638788E-2</v>
      </c>
      <c r="Q336" s="30">
        <f>Q338/(0.5*(Traffic!N12+Traffic!N17))</f>
        <v>1.9574895498755483E-2</v>
      </c>
      <c r="R336" s="30">
        <f>R338/(0.5*(Traffic!O12+Traffic!O17))</f>
        <v>1.8158504358956783E-2</v>
      </c>
      <c r="S336" s="30">
        <f>S338/(0.5*(Traffic!P12+Traffic!P17))</f>
        <v>1.6838447781474138E-2</v>
      </c>
      <c r="T336" s="30">
        <f>T338/(0.5*(Traffic!Q12+Traffic!Q17))</f>
        <v>1.560870364738666E-2</v>
      </c>
      <c r="U336" s="30" t="s">
        <v>362</v>
      </c>
    </row>
    <row r="337" spans="4:25" x14ac:dyDescent="0.15">
      <c r="E337" s="62">
        <v>2010</v>
      </c>
      <c r="F337" s="62">
        <v>2011</v>
      </c>
      <c r="G337" s="62">
        <v>2012</v>
      </c>
      <c r="H337" s="62">
        <v>2013</v>
      </c>
      <c r="I337" s="62">
        <v>2014</v>
      </c>
      <c r="J337" s="469">
        <v>2015</v>
      </c>
      <c r="K337" s="470">
        <v>2016</v>
      </c>
      <c r="L337" s="470">
        <v>2017</v>
      </c>
      <c r="M337" s="470">
        <v>2018</v>
      </c>
      <c r="N337" s="470">
        <v>2019</v>
      </c>
      <c r="O337" s="470">
        <v>2020</v>
      </c>
      <c r="P337" s="470">
        <v>2021</v>
      </c>
      <c r="Q337" s="470">
        <v>2022</v>
      </c>
      <c r="R337" s="470">
        <v>2023</v>
      </c>
      <c r="S337" s="470">
        <v>2024</v>
      </c>
      <c r="T337" s="471">
        <v>2025</v>
      </c>
      <c r="U337" s="62">
        <v>2026</v>
      </c>
      <c r="V337" s="62">
        <v>2027</v>
      </c>
      <c r="W337" s="62">
        <v>2028</v>
      </c>
      <c r="X337" s="62">
        <v>2029</v>
      </c>
      <c r="Y337" s="62">
        <v>2030</v>
      </c>
    </row>
    <row r="338" spans="4:25" ht="14" thickBot="1" x14ac:dyDescent="0.2">
      <c r="D338" s="30" t="s">
        <v>250</v>
      </c>
      <c r="E338" s="81">
        <f t="shared" ref="E338:I338" si="168">G189</f>
        <v>42.1</v>
      </c>
      <c r="F338" s="81">
        <f t="shared" si="168"/>
        <v>46.4</v>
      </c>
      <c r="G338" s="81">
        <f t="shared" si="168"/>
        <v>51.4</v>
      </c>
      <c r="H338" s="81">
        <f t="shared" si="168"/>
        <v>51.785500000000006</v>
      </c>
      <c r="I338" s="81">
        <f t="shared" si="168"/>
        <v>52.173891250000018</v>
      </c>
      <c r="J338" s="472">
        <f>L189</f>
        <v>46.730267333984393</v>
      </c>
      <c r="K338" s="472">
        <f t="shared" ref="K338:T338" si="169">M189</f>
        <v>45.269946479797383</v>
      </c>
      <c r="L338" s="472">
        <f t="shared" si="169"/>
        <v>43.85526065230372</v>
      </c>
      <c r="M338" s="472">
        <f t="shared" si="169"/>
        <v>42.484783756919228</v>
      </c>
      <c r="N338" s="472">
        <f t="shared" si="169"/>
        <v>41.157134264515506</v>
      </c>
      <c r="O338" s="472">
        <f t="shared" si="169"/>
        <v>39.870973818749391</v>
      </c>
      <c r="P338" s="472">
        <f t="shared" si="169"/>
        <v>38.625005886913478</v>
      </c>
      <c r="Q338" s="472">
        <f t="shared" si="169"/>
        <v>45.86719449070975</v>
      </c>
      <c r="R338" s="472">
        <f t="shared" si="169"/>
        <v>54.467293457717822</v>
      </c>
      <c r="S338" s="472">
        <f t="shared" si="169"/>
        <v>64.67991098103991</v>
      </c>
      <c r="T338" s="472">
        <f t="shared" si="169"/>
        <v>76.807394289984899</v>
      </c>
      <c r="U338" s="253"/>
      <c r="V338" s="253"/>
      <c r="W338" s="253"/>
      <c r="X338" s="253"/>
      <c r="Y338" s="253"/>
    </row>
    <row r="339" spans="4:25" x14ac:dyDescent="0.15">
      <c r="D339" s="30" t="s">
        <v>251</v>
      </c>
      <c r="E339" s="81">
        <f t="shared" ref="E339:I339" si="170">G192</f>
        <v>42.1</v>
      </c>
      <c r="F339" s="81">
        <f t="shared" si="170"/>
        <v>46.4</v>
      </c>
      <c r="G339" s="81">
        <f t="shared" si="170"/>
        <v>51.4</v>
      </c>
      <c r="H339" s="81">
        <f t="shared" si="170"/>
        <v>56.797000000000004</v>
      </c>
      <c r="I339" s="81">
        <f t="shared" si="170"/>
        <v>62.760685000000002</v>
      </c>
      <c r="J339" s="81">
        <f>L189</f>
        <v>46.730267333984393</v>
      </c>
      <c r="K339" s="81">
        <f>M192</f>
        <v>52.882625015529669</v>
      </c>
      <c r="L339" s="81">
        <f t="shared" ref="L339:T339" si="171">N192</f>
        <v>58.435300642160286</v>
      </c>
      <c r="M339" s="81">
        <f t="shared" si="171"/>
        <v>64.571007209587123</v>
      </c>
      <c r="N339" s="81">
        <f t="shared" si="171"/>
        <v>71.350962966593769</v>
      </c>
      <c r="O339" s="81">
        <f t="shared" si="171"/>
        <v>78.842814078086121</v>
      </c>
      <c r="P339" s="81">
        <f t="shared" si="171"/>
        <v>87.121309556285169</v>
      </c>
      <c r="Q339" s="81">
        <f t="shared" si="171"/>
        <v>107.59481730201219</v>
      </c>
      <c r="R339" s="81">
        <f t="shared" si="171"/>
        <v>132.87959936798507</v>
      </c>
      <c r="S339" s="81">
        <f t="shared" si="171"/>
        <v>164.10630521946155</v>
      </c>
      <c r="T339" s="81">
        <f t="shared" si="171"/>
        <v>202.67128694603502</v>
      </c>
      <c r="U339" s="253"/>
      <c r="V339" s="253"/>
      <c r="W339" s="253"/>
      <c r="X339" s="253"/>
      <c r="Y339" s="253"/>
    </row>
    <row r="340" spans="4:25" ht="14" x14ac:dyDescent="0.2">
      <c r="D340" s="30" t="s">
        <v>324</v>
      </c>
      <c r="E340" s="81">
        <f t="shared" ref="E340:I340" si="172">G197</f>
        <v>42.1</v>
      </c>
      <c r="F340" s="81">
        <f t="shared" si="172"/>
        <v>46.4</v>
      </c>
      <c r="G340" s="81">
        <f t="shared" si="172"/>
        <v>51.4</v>
      </c>
      <c r="H340" s="81">
        <f t="shared" si="172"/>
        <v>65.920500000000004</v>
      </c>
      <c r="I340" s="81">
        <f t="shared" si="172"/>
        <v>84.543041250000002</v>
      </c>
      <c r="J340" s="81">
        <v>41.501250000000006</v>
      </c>
      <c r="K340" s="81">
        <v>53.6640625</v>
      </c>
      <c r="L340" s="81">
        <v>68.542578125000006</v>
      </c>
      <c r="M340" s="81">
        <v>87.579472656250005</v>
      </c>
      <c r="N340" s="81">
        <v>111.94596582031249</v>
      </c>
      <c r="O340" s="81">
        <v>143.14556977539064</v>
      </c>
      <c r="P340" s="81">
        <v>183.10900846923832</v>
      </c>
      <c r="Q340" s="81">
        <v>234.31642071154789</v>
      </c>
      <c r="R340" s="81">
        <v>299.95473405193491</v>
      </c>
      <c r="S340" s="253">
        <v>384.1203881761686</v>
      </c>
      <c r="T340" s="253">
        <v>492.08054701483582</v>
      </c>
      <c r="U340" s="253"/>
      <c r="V340" s="253"/>
      <c r="W340" s="253"/>
      <c r="X340" s="253"/>
      <c r="Y340" s="253"/>
    </row>
    <row r="341" spans="4:25" x14ac:dyDescent="0.15">
      <c r="J341" s="81">
        <f>(Traffic!G12+Traffic!G17)/2*0.1</f>
        <v>41.501250000000006</v>
      </c>
      <c r="K341" s="81">
        <f>(Traffic!H12+Traffic!H17)/2*0.1</f>
        <v>53.6640625</v>
      </c>
      <c r="L341" s="81">
        <f>(Traffic!I12+Traffic!I17)/2*0.1</f>
        <v>68.542578125000006</v>
      </c>
      <c r="M341" s="81">
        <f>(Traffic!J12+Traffic!J17)/2*0.1</f>
        <v>87.579472656250005</v>
      </c>
      <c r="N341" s="81">
        <f>(Traffic!K12+Traffic!K17)/2*0.1</f>
        <v>111.94596582031249</v>
      </c>
      <c r="O341" s="81">
        <f>(Traffic!L12+Traffic!L17)/2*0.1</f>
        <v>143.14556977539064</v>
      </c>
      <c r="P341" s="81">
        <f>(Traffic!M12+Traffic!M17)/2*0.1</f>
        <v>183.10900846923832</v>
      </c>
      <c r="Q341" s="81">
        <f>(Traffic!N12+Traffic!N17)/2*0.1</f>
        <v>234.31642071154789</v>
      </c>
      <c r="R341" s="81">
        <f>(Traffic!O12+Traffic!O17)/2*0.1</f>
        <v>299.95473405193491</v>
      </c>
      <c r="S341" s="81">
        <f>(Traffic!P12+Traffic!P17)/2*0.1</f>
        <v>384.1203881761686</v>
      </c>
      <c r="T341" s="81">
        <f>(Traffic!Q12+Traffic!Q17)/2*0.1</f>
        <v>492.08054701483582</v>
      </c>
    </row>
    <row r="342" spans="4:25" x14ac:dyDescent="0.15">
      <c r="J342" s="30">
        <f>J338/(J341*10)</f>
        <v>0.11259966226073766</v>
      </c>
      <c r="K342" s="30">
        <f t="shared" ref="K342:T342" si="173">K338/(K341*10)</f>
        <v>8.4358031000350345E-2</v>
      </c>
      <c r="L342" s="30">
        <f t="shared" si="173"/>
        <v>6.3982508175174826E-2</v>
      </c>
      <c r="M342" s="30">
        <f t="shared" si="173"/>
        <v>4.8509978957823004E-2</v>
      </c>
      <c r="N342" s="30">
        <f t="shared" si="173"/>
        <v>3.6765178595696731E-2</v>
      </c>
      <c r="O342" s="30">
        <f t="shared" si="173"/>
        <v>2.7853445888203762E-2</v>
      </c>
      <c r="P342" s="30">
        <f t="shared" si="173"/>
        <v>2.1093995434638784E-2</v>
      </c>
      <c r="Q342" s="30">
        <f t="shared" si="173"/>
        <v>1.9574895498755483E-2</v>
      </c>
      <c r="R342" s="30">
        <f t="shared" si="173"/>
        <v>1.8158504358956783E-2</v>
      </c>
      <c r="S342" s="30">
        <f t="shared" si="173"/>
        <v>1.6838447781474138E-2</v>
      </c>
      <c r="T342" s="30">
        <f t="shared" si="173"/>
        <v>1.560870364738666E-2</v>
      </c>
      <c r="U342" s="30" t="s">
        <v>362</v>
      </c>
    </row>
    <row r="346" spans="4:25" x14ac:dyDescent="0.15">
      <c r="J346" s="30" t="s">
        <v>358</v>
      </c>
    </row>
    <row r="347" spans="4:25" x14ac:dyDescent="0.15">
      <c r="J347" s="30" t="s">
        <v>359</v>
      </c>
    </row>
    <row r="348" spans="4:25" x14ac:dyDescent="0.15">
      <c r="J348" s="30" t="s">
        <v>360</v>
      </c>
    </row>
    <row r="349" spans="4:25" x14ac:dyDescent="0.15">
      <c r="J349" s="239">
        <f>2000000000*3/1000*24*365</f>
        <v>52560000000</v>
      </c>
      <c r="K349" s="30" t="s">
        <v>361</v>
      </c>
    </row>
    <row r="350" spans="4:25" x14ac:dyDescent="0.15">
      <c r="J350" s="239">
        <f>J349/1000000000</f>
        <v>52.56</v>
      </c>
      <c r="K350" s="30" t="s">
        <v>90</v>
      </c>
    </row>
    <row r="370" spans="11:21" x14ac:dyDescent="0.15">
      <c r="K370" s="81"/>
      <c r="L370" s="81"/>
      <c r="M370" s="81"/>
      <c r="N370" s="81"/>
      <c r="O370" s="81"/>
      <c r="P370" s="81"/>
      <c r="Q370" s="81"/>
      <c r="R370" s="81"/>
      <c r="S370" s="81"/>
      <c r="T370" s="81"/>
      <c r="U370" s="81"/>
    </row>
    <row r="371" spans="11:21" x14ac:dyDescent="0.15">
      <c r="K371" s="81"/>
      <c r="L371" s="81"/>
      <c r="M371" s="81"/>
      <c r="N371" s="81"/>
      <c r="O371" s="81"/>
      <c r="P371" s="81"/>
      <c r="Q371" s="81"/>
      <c r="R371" s="81"/>
      <c r="S371" s="81"/>
      <c r="T371" s="81"/>
      <c r="U371" s="81"/>
    </row>
    <row r="372" spans="11:21" x14ac:dyDescent="0.15">
      <c r="K372" s="81"/>
      <c r="L372" s="81"/>
      <c r="M372" s="81"/>
      <c r="N372" s="81"/>
      <c r="O372" s="81"/>
      <c r="P372" s="81"/>
      <c r="Q372" s="81"/>
      <c r="R372" s="81"/>
      <c r="S372" s="81"/>
      <c r="T372" s="81"/>
      <c r="U372" s="81"/>
    </row>
  </sheetData>
  <mergeCells count="2">
    <mergeCell ref="AD98:AD100"/>
    <mergeCell ref="AD102:AD104"/>
  </mergeCells>
  <pageMargins left="0.75" right="0.75" top="1" bottom="1" header="0.5" footer="0.5"/>
  <pageSetup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68"/>
  <sheetViews>
    <sheetView topLeftCell="B19" zoomScale="135" zoomScaleNormal="135" workbookViewId="0">
      <selection activeCell="E67" sqref="E67"/>
    </sheetView>
  </sheetViews>
  <sheetFormatPr baseColWidth="10" defaultColWidth="11" defaultRowHeight="13" x14ac:dyDescent="0.15"/>
  <cols>
    <col min="1" max="1" width="26.5" customWidth="1"/>
    <col min="2" max="2" width="24.33203125" customWidth="1"/>
    <col min="3" max="3" width="24.83203125" bestFit="1" customWidth="1"/>
    <col min="4" max="4" width="12.6640625" customWidth="1"/>
    <col min="5" max="5" width="39.33203125" customWidth="1"/>
    <col min="6" max="6" width="8.5" bestFit="1" customWidth="1"/>
    <col min="7" max="8" width="7" bestFit="1" customWidth="1"/>
    <col min="9" max="9" width="13" bestFit="1" customWidth="1"/>
    <col min="10" max="10" width="11.83203125" bestFit="1" customWidth="1"/>
    <col min="11" max="13" width="13" bestFit="1" customWidth="1"/>
    <col min="14" max="17" width="10.5" bestFit="1" customWidth="1"/>
    <col min="18" max="18" width="9.6640625" bestFit="1" customWidth="1"/>
    <col min="19" max="26" width="10.5" bestFit="1" customWidth="1"/>
    <col min="28" max="28" width="25.33203125" bestFit="1" customWidth="1"/>
    <col min="29" max="29" width="12.1640625" bestFit="1" customWidth="1"/>
    <col min="39" max="39" width="18.83203125" customWidth="1"/>
  </cols>
  <sheetData>
    <row r="1" spans="1:40" s="1" customFormat="1" ht="16" x14ac:dyDescent="0.2">
      <c r="F1" s="421">
        <v>2010</v>
      </c>
      <c r="G1" s="421">
        <v>2011</v>
      </c>
      <c r="H1" s="421">
        <v>2012</v>
      </c>
      <c r="I1" s="421">
        <v>2013</v>
      </c>
      <c r="J1" s="421">
        <v>2014</v>
      </c>
      <c r="K1" s="427">
        <v>2015</v>
      </c>
      <c r="L1" s="428">
        <v>2016</v>
      </c>
      <c r="M1" s="428">
        <v>2017</v>
      </c>
      <c r="N1" s="428">
        <v>2018</v>
      </c>
      <c r="O1" s="428">
        <v>2019</v>
      </c>
      <c r="P1" s="428">
        <v>2020</v>
      </c>
      <c r="Q1" s="429">
        <v>2021</v>
      </c>
      <c r="R1" s="429">
        <v>2022</v>
      </c>
      <c r="S1" s="429">
        <v>2023</v>
      </c>
      <c r="T1" s="429">
        <v>2024</v>
      </c>
      <c r="U1" s="430">
        <v>2025</v>
      </c>
      <c r="V1" s="119"/>
      <c r="W1" s="119"/>
      <c r="X1" s="119"/>
      <c r="Y1" s="119"/>
      <c r="Z1" s="119"/>
    </row>
    <row r="2" spans="1:40" ht="16" x14ac:dyDescent="0.2">
      <c r="A2" s="30"/>
      <c r="B2" s="30"/>
      <c r="C2" s="30"/>
      <c r="D2" s="30"/>
      <c r="E2" s="30"/>
      <c r="F2" s="422" t="s">
        <v>91</v>
      </c>
      <c r="G2" s="420"/>
      <c r="H2" s="420"/>
      <c r="I2" s="351"/>
      <c r="J2" s="351"/>
      <c r="K2" s="431"/>
      <c r="L2" s="432"/>
      <c r="M2" s="432"/>
      <c r="N2" s="432"/>
      <c r="O2" s="432"/>
      <c r="P2" s="432"/>
      <c r="Q2" s="432"/>
      <c r="R2" s="432"/>
      <c r="S2" s="432"/>
      <c r="T2" s="432"/>
      <c r="U2" s="433"/>
    </row>
    <row r="3" spans="1:40" ht="21" customHeight="1" thickBot="1" x14ac:dyDescent="0.25">
      <c r="A3" s="30"/>
      <c r="B3" s="30"/>
      <c r="C3" s="41" t="s">
        <v>85</v>
      </c>
      <c r="D3" s="30"/>
      <c r="E3" s="123" t="s">
        <v>209</v>
      </c>
      <c r="F3" s="423">
        <f>Traffic!B33</f>
        <v>1402.88</v>
      </c>
      <c r="G3" s="423">
        <f>Traffic!C33</f>
        <v>1843.2</v>
      </c>
      <c r="H3" s="423">
        <f>Traffic!D33</f>
        <v>2662.4</v>
      </c>
      <c r="I3" s="423">
        <f>Traffic!E33</f>
        <v>3161.7000000000003</v>
      </c>
      <c r="J3" s="424">
        <f>Traffic!F33</f>
        <v>4126.835</v>
      </c>
      <c r="K3" s="434">
        <f>Traffic!G33</f>
        <v>5388.3781500000005</v>
      </c>
      <c r="L3" s="435">
        <f>Traffic!H33</f>
        <v>7021.8491951000005</v>
      </c>
      <c r="M3" s="435">
        <f>Traffic!I33</f>
        <v>9816.0651594709998</v>
      </c>
      <c r="N3" s="435">
        <f>Traffic!J33</f>
        <v>14128.061208255829</v>
      </c>
      <c r="O3" s="435">
        <f>Traffic!K33</f>
        <v>20342.166322101271</v>
      </c>
      <c r="P3" s="435">
        <f>Traffic!L33</f>
        <v>29298.106750595132</v>
      </c>
      <c r="Q3" s="435">
        <f>Traffic!M33</f>
        <v>42153.442007748228</v>
      </c>
      <c r="R3" s="435">
        <f>Traffic!N33</f>
        <v>60660.816289393151</v>
      </c>
      <c r="S3" s="435">
        <f>Traffic!O33</f>
        <v>87298.891316933572</v>
      </c>
      <c r="T3" s="435">
        <f>Traffic!P33</f>
        <v>125639.45400162654</v>
      </c>
      <c r="U3" s="436">
        <f>Traffic!Q33</f>
        <v>180821.96921037239</v>
      </c>
      <c r="V3" s="312"/>
      <c r="W3" s="171"/>
      <c r="X3" s="171"/>
      <c r="Y3" s="171"/>
      <c r="Z3" s="171"/>
      <c r="AA3" s="890" t="s">
        <v>124</v>
      </c>
    </row>
    <row r="4" spans="1:40" ht="15" x14ac:dyDescent="0.2">
      <c r="A4" s="42"/>
      <c r="B4" s="42"/>
      <c r="C4" s="88" t="s">
        <v>70</v>
      </c>
      <c r="D4" s="41"/>
      <c r="E4" s="127" t="s">
        <v>210</v>
      </c>
      <c r="F4" s="425">
        <f>Traffic!B34</f>
        <v>1402.88</v>
      </c>
      <c r="G4" s="425">
        <f>Traffic!C34</f>
        <v>1843.2</v>
      </c>
      <c r="H4" s="425">
        <f>Traffic!D34</f>
        <v>2662.4</v>
      </c>
      <c r="I4" s="425">
        <f>Traffic!E34</f>
        <v>3174.4000000000005</v>
      </c>
      <c r="J4" s="425">
        <f>Traffic!F34</f>
        <v>4158.4639999999999</v>
      </c>
      <c r="K4" s="313">
        <f>Traffic!G34</f>
        <v>5447.5878400000001</v>
      </c>
      <c r="L4" s="313">
        <f>Traffic!H34</f>
        <v>7136.3400704000005</v>
      </c>
      <c r="M4" s="313">
        <f>Traffic!I34</f>
        <v>9990.8760985600002</v>
      </c>
      <c r="N4" s="313">
        <f>Traffic!J34</f>
        <v>14386.8615819264</v>
      </c>
      <c r="O4" s="313">
        <f>Traffic!K34</f>
        <v>20717.080677974016</v>
      </c>
      <c r="P4" s="313">
        <f>Traffic!L34</f>
        <v>29832.596176282583</v>
      </c>
      <c r="Q4" s="313">
        <f>Traffic!M34</f>
        <v>42958.938493846916</v>
      </c>
      <c r="R4" s="313">
        <f>Traffic!N34</f>
        <v>61860.87143113956</v>
      </c>
      <c r="S4" s="313">
        <f>Traffic!O34</f>
        <v>89079.654860840965</v>
      </c>
      <c r="T4" s="313">
        <f>Traffic!P34</f>
        <v>128274.70299961098</v>
      </c>
      <c r="U4" s="313">
        <f>Traffic!Q34</f>
        <v>184715.57231943979</v>
      </c>
      <c r="V4" s="172"/>
      <c r="W4" s="172"/>
      <c r="X4" s="172"/>
      <c r="Y4" s="172"/>
      <c r="Z4" s="172"/>
      <c r="AA4" s="890"/>
    </row>
    <row r="5" spans="1:40" ht="15" x14ac:dyDescent="0.2">
      <c r="A5" s="42"/>
      <c r="B5" s="42"/>
      <c r="C5" s="88"/>
      <c r="D5" s="41"/>
      <c r="E5" s="126" t="s">
        <v>211</v>
      </c>
      <c r="F5" s="426">
        <f>Traffic!B35</f>
        <v>1402.88</v>
      </c>
      <c r="G5" s="426">
        <f>Traffic!C35</f>
        <v>1843.2</v>
      </c>
      <c r="H5" s="426">
        <f>Traffic!D35</f>
        <v>2662.4</v>
      </c>
      <c r="I5" s="426">
        <f>Traffic!E35</f>
        <v>3187.1000000000004</v>
      </c>
      <c r="J5" s="426">
        <f>Traffic!F35</f>
        <v>4191.1469999999999</v>
      </c>
      <c r="K5" s="174">
        <f>Traffic!G35</f>
        <v>5510.8822100000007</v>
      </c>
      <c r="L5" s="174">
        <f>Traffic!H35</f>
        <v>7229.8730079000006</v>
      </c>
      <c r="M5" s="174">
        <f>Traffic!I35</f>
        <v>10148.129226685</v>
      </c>
      <c r="N5" s="174">
        <f>Traffic!J35</f>
        <v>14638.210216770149</v>
      </c>
      <c r="O5" s="174">
        <f>Traffic!K35</f>
        <v>21105.924081669331</v>
      </c>
      <c r="P5" s="174">
        <f>Traffic!L35</f>
        <v>30420.650849645943</v>
      </c>
      <c r="Q5" s="174">
        <f>Traffic!M35</f>
        <v>43873.738181499139</v>
      </c>
      <c r="R5" s="174">
        <f>Traffic!N35</f>
        <v>63293.208795855542</v>
      </c>
      <c r="S5" s="174">
        <f>Traffic!O35</f>
        <v>91309.279109883108</v>
      </c>
      <c r="T5" s="174">
        <f>Traffic!P35</f>
        <v>131734.68737731592</v>
      </c>
      <c r="U5" s="174">
        <f>Traffic!Q35</f>
        <v>190079.54873990949</v>
      </c>
      <c r="V5" s="174"/>
      <c r="W5" s="174"/>
      <c r="X5" s="174"/>
      <c r="Y5" s="174"/>
      <c r="Z5" s="174"/>
      <c r="AA5" s="890"/>
    </row>
    <row r="6" spans="1:40" ht="14" thickBot="1" x14ac:dyDescent="0.2">
      <c r="A6" s="42"/>
      <c r="B6" s="421">
        <v>2000</v>
      </c>
      <c r="C6" s="88"/>
      <c r="D6" s="41"/>
      <c r="E6" s="91" t="s">
        <v>143</v>
      </c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527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</row>
    <row r="7" spans="1:40" ht="20" thickBot="1" x14ac:dyDescent="0.3">
      <c r="A7" s="42"/>
      <c r="B7" s="42"/>
      <c r="C7" s="88" t="s">
        <v>50</v>
      </c>
      <c r="D7" s="162">
        <v>0.13500000000000001</v>
      </c>
      <c r="E7" s="440">
        <v>0.22500000000000001</v>
      </c>
      <c r="F7" s="171">
        <f>$D7*F$3</f>
        <v>189.38880000000003</v>
      </c>
      <c r="G7" s="171">
        <f>(G3/F3)*F7*(1-E7)</f>
        <v>192.84480000000002</v>
      </c>
      <c r="H7" s="171">
        <f>(H3/G3)*G7*(1-E7)</f>
        <v>215.87904000000003</v>
      </c>
      <c r="I7" s="171">
        <f>(I$3/H$3)*H7*(1-$E$7)</f>
        <v>198.68246303906255</v>
      </c>
      <c r="J7" s="311">
        <f>(J$3/I$3)*I7*(1-$E$7)</f>
        <v>200.9822406698145</v>
      </c>
      <c r="K7" s="314">
        <f>(K$3/J$3)*J7*(1-$E$7)</f>
        <v>203.37630253609225</v>
      </c>
      <c r="L7" s="315">
        <f>(L$3/K$3)*K7*(1-$E$7)</f>
        <v>205.39765529554415</v>
      </c>
      <c r="M7" s="315">
        <f>(M$3/L$3)*L7*(1-$E$7)</f>
        <v>222.52720782976834</v>
      </c>
      <c r="N7" s="315">
        <f t="shared" ref="N7:P7" si="0">(N$3/M$3)*M7*(1-$E$7)</f>
        <v>248.2161049540407</v>
      </c>
      <c r="O7" s="315">
        <f t="shared" si="0"/>
        <v>276.97864856946711</v>
      </c>
      <c r="P7" s="315">
        <f t="shared" si="0"/>
        <v>309.16502012720844</v>
      </c>
      <c r="Q7" s="315">
        <f>(Q$3/P$3)*P7*(1-$E$7)</f>
        <v>344.73512707544478</v>
      </c>
      <c r="R7" s="315">
        <f>(R$3/Q$3)*Q7*(1-$E$9)</f>
        <v>471.28579672737806</v>
      </c>
      <c r="S7" s="315">
        <f>(S$3/R$3)*R7*(1-$E$9)</f>
        <v>644.3301221643178</v>
      </c>
      <c r="T7" s="315">
        <f>(T$3/S$3)*S7*(1-$E$9)</f>
        <v>880.94613056480284</v>
      </c>
      <c r="U7" s="316">
        <f>(U$3/T$3)*T7*(1-$E$9)</f>
        <v>1204.4758917065737</v>
      </c>
      <c r="V7" s="312"/>
      <c r="W7" s="171"/>
      <c r="X7" s="171"/>
      <c r="Y7" s="171"/>
      <c r="Z7" s="171"/>
      <c r="AA7" s="891" t="s">
        <v>90</v>
      </c>
      <c r="AB7" s="418"/>
      <c r="AC7" s="418"/>
      <c r="AD7" s="418"/>
      <c r="AE7" s="418"/>
      <c r="AF7" s="418"/>
      <c r="AG7" s="418"/>
      <c r="AH7" s="418"/>
      <c r="AI7" s="418"/>
      <c r="AJ7" s="418"/>
      <c r="AK7" s="418"/>
      <c r="AL7" s="418"/>
      <c r="AM7" s="30"/>
      <c r="AN7" s="233"/>
    </row>
    <row r="8" spans="1:40" ht="53" x14ac:dyDescent="0.2">
      <c r="A8" s="91" t="s">
        <v>233</v>
      </c>
      <c r="B8" s="41" t="s">
        <v>232</v>
      </c>
      <c r="C8" s="88" t="s">
        <v>50</v>
      </c>
      <c r="D8" s="164">
        <v>0.14000000000000001</v>
      </c>
      <c r="E8" s="165">
        <v>0.1</v>
      </c>
      <c r="F8" s="172">
        <f>$D8*F$4</f>
        <v>196.40320000000003</v>
      </c>
      <c r="G8" s="172">
        <f>(G4/F4)*F8*(1-E8)</f>
        <v>232.2432</v>
      </c>
      <c r="H8" s="172">
        <f>(H4/G4)*G8*(1-E8)</f>
        <v>301.91615999999999</v>
      </c>
      <c r="I8" s="172">
        <f>(H8/H$4)*I$4*(1-$E$8)</f>
        <v>323.979264</v>
      </c>
      <c r="J8" s="172">
        <f t="shared" ref="J8:Q8" si="1">(I8/I$4)*J$4*(1-$E$8)</f>
        <v>381.97155225599994</v>
      </c>
      <c r="K8" s="313">
        <f>(J8/J$4)*K$4*(1-$E$8)</f>
        <v>450.34446010982401</v>
      </c>
      <c r="L8" s="313">
        <f>(K7/K$4)*L$4*(1-$E$8)</f>
        <v>239.7806606900528</v>
      </c>
      <c r="M8" s="313">
        <f>(L8/L$4)*M$4*(1-$E$8)</f>
        <v>302.12363246946649</v>
      </c>
      <c r="N8" s="313">
        <f t="shared" si="1"/>
        <v>391.55222768042853</v>
      </c>
      <c r="O8" s="313">
        <f t="shared" si="1"/>
        <v>507.45168707383544</v>
      </c>
      <c r="P8" s="313">
        <f t="shared" si="1"/>
        <v>657.65738644769067</v>
      </c>
      <c r="Q8" s="313">
        <f t="shared" si="1"/>
        <v>852.32397283620708</v>
      </c>
      <c r="R8" s="313">
        <f>(Q8/Q$4)*R$4*(1-$E$9)</f>
        <v>1165.9791948399311</v>
      </c>
      <c r="S8" s="313">
        <f>(R8/R$4)*S$4*(1-$E$9)</f>
        <v>1595.0595385410256</v>
      </c>
      <c r="T8" s="313">
        <f>(S8/S$4)*T$4*(1-$E$9)</f>
        <v>2182.0414487241223</v>
      </c>
      <c r="U8" s="313">
        <f>(T8/T$4)*U$4*(1-$E$9)</f>
        <v>2985.0327018545986</v>
      </c>
      <c r="V8" s="172"/>
      <c r="W8" s="172"/>
      <c r="X8" s="172"/>
      <c r="Y8" s="172"/>
      <c r="Z8" s="172"/>
      <c r="AA8" s="89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41"/>
      <c r="AN8" s="233"/>
    </row>
    <row r="9" spans="1:40" ht="15" x14ac:dyDescent="0.2">
      <c r="A9" s="89"/>
      <c r="B9" s="89"/>
      <c r="C9" s="88" t="s">
        <v>50</v>
      </c>
      <c r="D9" s="166">
        <v>0.14199999999999999</v>
      </c>
      <c r="E9" s="167">
        <v>0.05</v>
      </c>
      <c r="F9" s="173">
        <f>$D9*F$5</f>
        <v>199.20895999999999</v>
      </c>
      <c r="G9" s="173">
        <f>(G5/F5)*F9*(1-E9)</f>
        <v>248.64767999999998</v>
      </c>
      <c r="H9" s="173">
        <f>(H5/G5)*G9*(1-E9)</f>
        <v>341.19987199999991</v>
      </c>
      <c r="I9" s="173">
        <f>(H9/H$5)*I$5*(1-$E$9)</f>
        <v>388.02066047499989</v>
      </c>
      <c r="J9" s="173">
        <f>(I9/I$5)*J$5*(1-$E$9)</f>
        <v>484.74759051596226</v>
      </c>
      <c r="K9" s="173">
        <f>(J9/J$5)*K$5*(1-$E$9)</f>
        <v>605.51861561263354</v>
      </c>
      <c r="L9" s="173">
        <f t="shared" ref="L9:U9" si="2">(K9/K$5)*L$5*(1-$E$9)</f>
        <v>754.67618460653273</v>
      </c>
      <c r="M9" s="173">
        <f t="shared" si="2"/>
        <v>1006.3280316893882</v>
      </c>
      <c r="N9" s="173">
        <f t="shared" si="2"/>
        <v>1379.0028584139641</v>
      </c>
      <c r="O9" s="173">
        <f t="shared" si="2"/>
        <v>1888.8834595713595</v>
      </c>
      <c r="P9" s="173">
        <f>(O9/O$5)*P$5*(1-$E$9)</f>
        <v>2586.3833678686069</v>
      </c>
      <c r="Q9" s="173">
        <f t="shared" si="2"/>
        <v>3543.6648583132906</v>
      </c>
      <c r="R9" s="173">
        <f t="shared" si="2"/>
        <v>4856.5595871796831</v>
      </c>
      <c r="S9" s="173">
        <f t="shared" si="2"/>
        <v>6655.9511696644349</v>
      </c>
      <c r="T9" s="173">
        <f t="shared" si="2"/>
        <v>9122.6069500043122</v>
      </c>
      <c r="U9" s="173">
        <f t="shared" si="2"/>
        <v>12504.830690877117</v>
      </c>
      <c r="V9" s="173"/>
      <c r="W9" s="173"/>
      <c r="X9" s="173"/>
      <c r="Y9" s="173"/>
      <c r="Z9" s="173"/>
      <c r="AA9" s="891"/>
    </row>
    <row r="10" spans="1:40" s="129" customFormat="1" x14ac:dyDescent="0.15">
      <c r="A10" s="157"/>
      <c r="B10" s="157"/>
      <c r="C10" s="158"/>
      <c r="D10" s="75"/>
      <c r="E10" s="159" t="s">
        <v>200</v>
      </c>
      <c r="F10" s="160"/>
      <c r="G10" s="161"/>
      <c r="H10" s="161"/>
    </row>
    <row r="11" spans="1:40" s="129" customFormat="1" x14ac:dyDescent="0.15">
      <c r="A11" s="157"/>
      <c r="D11" s="75"/>
      <c r="E11" s="159"/>
      <c r="F11" s="160"/>
      <c r="G11" s="161"/>
      <c r="H11" s="161"/>
    </row>
    <row r="12" spans="1:40" s="129" customFormat="1" x14ac:dyDescent="0.15">
      <c r="A12" s="157"/>
      <c r="B12" s="157"/>
      <c r="C12" s="158"/>
      <c r="D12" s="75"/>
      <c r="E12" s="159"/>
      <c r="F12" s="160"/>
      <c r="G12" s="161"/>
      <c r="H12" s="161"/>
    </row>
    <row r="13" spans="1:40" x14ac:dyDescent="0.15">
      <c r="A13" s="89"/>
      <c r="B13" s="89"/>
      <c r="C13" s="47" t="s">
        <v>213</v>
      </c>
      <c r="F13" s="255">
        <f t="shared" ref="F13:S13" si="3">F7/F3</f>
        <v>0.13500000000000001</v>
      </c>
      <c r="G13" s="255">
        <f t="shared" si="3"/>
        <v>0.10462500000000001</v>
      </c>
      <c r="H13" s="255">
        <f t="shared" si="3"/>
        <v>8.1084375000000014E-2</v>
      </c>
      <c r="I13" s="255">
        <f t="shared" si="3"/>
        <v>6.2840390625000006E-2</v>
      </c>
      <c r="J13" s="255">
        <f t="shared" si="3"/>
        <v>4.8701302734375014E-2</v>
      </c>
      <c r="K13" s="255">
        <f t="shared" si="3"/>
        <v>3.7743509619140636E-2</v>
      </c>
      <c r="L13" s="255">
        <f t="shared" si="3"/>
        <v>2.9251219954833995E-2</v>
      </c>
      <c r="M13" s="255">
        <f t="shared" si="3"/>
        <v>2.2669695464996344E-2</v>
      </c>
      <c r="N13" s="255">
        <f t="shared" si="3"/>
        <v>1.7569013985372171E-2</v>
      </c>
      <c r="O13" s="255">
        <f t="shared" si="3"/>
        <v>1.3615985838663433E-2</v>
      </c>
      <c r="P13" s="255">
        <f t="shared" si="3"/>
        <v>1.055238902496416E-2</v>
      </c>
      <c r="Q13" s="255">
        <f t="shared" si="3"/>
        <v>8.178101494347223E-3</v>
      </c>
      <c r="R13" s="255">
        <f t="shared" si="3"/>
        <v>7.7691964196298612E-3</v>
      </c>
      <c r="S13" s="255">
        <f t="shared" si="3"/>
        <v>7.3807365986483676E-3</v>
      </c>
      <c r="T13" s="255"/>
      <c r="U13" s="437"/>
      <c r="V13" s="255"/>
      <c r="W13" s="255"/>
      <c r="X13" s="255"/>
      <c r="Y13" s="255"/>
      <c r="Z13" s="255"/>
      <c r="AA13" s="28" t="s">
        <v>43</v>
      </c>
      <c r="AB13" s="259"/>
    </row>
    <row r="14" spans="1:40" x14ac:dyDescent="0.15">
      <c r="A14" s="4"/>
      <c r="B14" s="4"/>
      <c r="C14" s="47" t="s">
        <v>244</v>
      </c>
      <c r="F14" s="255">
        <f t="shared" ref="F14:S14" si="4">F8/F4</f>
        <v>0.14000000000000001</v>
      </c>
      <c r="G14" s="255">
        <f t="shared" si="4"/>
        <v>0.126</v>
      </c>
      <c r="H14" s="255">
        <f t="shared" si="4"/>
        <v>0.11339999999999999</v>
      </c>
      <c r="I14" s="255">
        <f t="shared" si="4"/>
        <v>0.10205999999999998</v>
      </c>
      <c r="J14" s="255">
        <f t="shared" si="4"/>
        <v>9.1853999999999991E-2</v>
      </c>
      <c r="K14" s="255">
        <f t="shared" si="4"/>
        <v>8.2668599999999995E-2</v>
      </c>
      <c r="L14" s="255">
        <f t="shared" si="4"/>
        <v>3.3599948758693723E-2</v>
      </c>
      <c r="M14" s="255">
        <f t="shared" si="4"/>
        <v>3.0239953882824352E-2</v>
      </c>
      <c r="N14" s="255">
        <f t="shared" si="4"/>
        <v>2.7215958494541916E-2</v>
      </c>
      <c r="O14" s="255">
        <f t="shared" si="4"/>
        <v>2.4494362645087725E-2</v>
      </c>
      <c r="P14" s="255">
        <f t="shared" si="4"/>
        <v>2.2044926380578953E-2</v>
      </c>
      <c r="Q14" s="255">
        <f t="shared" si="4"/>
        <v>1.9840433742521056E-2</v>
      </c>
      <c r="R14" s="255">
        <f t="shared" si="4"/>
        <v>1.8848412055395E-2</v>
      </c>
      <c r="S14" s="255">
        <f t="shared" si="4"/>
        <v>1.7905991452625249E-2</v>
      </c>
      <c r="T14" s="255"/>
      <c r="U14" s="255"/>
      <c r="V14" s="255"/>
      <c r="W14" s="255"/>
      <c r="X14" s="255"/>
      <c r="Y14" s="255"/>
      <c r="Z14" s="255"/>
      <c r="AB14" s="259"/>
    </row>
    <row r="15" spans="1:40" x14ac:dyDescent="0.15">
      <c r="A15" s="4"/>
      <c r="B15" s="4"/>
      <c r="C15" s="2"/>
      <c r="F15" s="255">
        <f t="shared" ref="F15:S15" si="5">F9/F5</f>
        <v>0.14199999999999999</v>
      </c>
      <c r="G15" s="255">
        <f t="shared" si="5"/>
        <v>0.13489999999999999</v>
      </c>
      <c r="H15" s="255">
        <f t="shared" si="5"/>
        <v>0.12815499999999996</v>
      </c>
      <c r="I15" s="255">
        <f t="shared" si="5"/>
        <v>0.12174724999999995</v>
      </c>
      <c r="J15" s="255">
        <f t="shared" si="5"/>
        <v>0.11565988749999995</v>
      </c>
      <c r="K15" s="255">
        <f t="shared" si="5"/>
        <v>0.10987689312499994</v>
      </c>
      <c r="L15" s="255">
        <f t="shared" si="5"/>
        <v>0.10438304846874995</v>
      </c>
      <c r="M15" s="255">
        <f t="shared" si="5"/>
        <v>9.9163896045312436E-2</v>
      </c>
      <c r="N15" s="255">
        <f t="shared" si="5"/>
        <v>9.4205701243046808E-2</v>
      </c>
      <c r="O15" s="255">
        <f t="shared" si="5"/>
        <v>8.949541618089446E-2</v>
      </c>
      <c r="P15" s="255">
        <f t="shared" si="5"/>
        <v>8.5020645371849737E-2</v>
      </c>
      <c r="Q15" s="255">
        <f t="shared" si="5"/>
        <v>8.076961310325724E-2</v>
      </c>
      <c r="R15" s="255">
        <f t="shared" si="5"/>
        <v>7.6731132448094375E-2</v>
      </c>
      <c r="S15" s="255">
        <f t="shared" si="5"/>
        <v>7.2894575825689659E-2</v>
      </c>
      <c r="T15" s="255"/>
      <c r="U15" s="255"/>
      <c r="V15" s="255"/>
      <c r="W15" s="255"/>
      <c r="X15" s="255"/>
      <c r="Y15" s="255"/>
      <c r="Z15" s="255"/>
    </row>
    <row r="16" spans="1:40" x14ac:dyDescent="0.15">
      <c r="A16" s="4"/>
      <c r="B16" s="4"/>
      <c r="C16" s="2"/>
      <c r="D16" s="2"/>
      <c r="E16" s="2"/>
      <c r="F16" s="2"/>
      <c r="G16" s="2"/>
      <c r="H16" s="2"/>
    </row>
    <row r="17" spans="1:24" ht="14" thickBot="1" x14ac:dyDescent="0.2">
      <c r="A17" s="4"/>
      <c r="B17" s="4"/>
      <c r="C17" s="2"/>
      <c r="D17" s="1">
        <v>2010</v>
      </c>
      <c r="E17" s="1">
        <v>2011</v>
      </c>
      <c r="F17" s="1">
        <v>2012</v>
      </c>
      <c r="G17" s="1">
        <v>2013</v>
      </c>
      <c r="H17" s="1">
        <v>2014</v>
      </c>
      <c r="I17" s="1">
        <v>2015</v>
      </c>
      <c r="J17" s="1">
        <v>2016</v>
      </c>
      <c r="K17" s="1">
        <v>2017</v>
      </c>
      <c r="L17" s="1">
        <v>2018</v>
      </c>
      <c r="M17" s="1">
        <v>2019</v>
      </c>
      <c r="N17" s="1">
        <v>2020</v>
      </c>
      <c r="O17" s="119">
        <v>2021</v>
      </c>
      <c r="P17" s="119">
        <v>2022</v>
      </c>
      <c r="Q17" s="119">
        <v>2023</v>
      </c>
      <c r="R17" s="119">
        <v>2024</v>
      </c>
      <c r="S17" s="119">
        <v>2025</v>
      </c>
      <c r="T17" s="119"/>
      <c r="U17" s="119"/>
      <c r="V17" s="119"/>
      <c r="W17" s="119"/>
      <c r="X17" s="119"/>
    </row>
    <row r="18" spans="1:24" x14ac:dyDescent="0.15">
      <c r="A18" s="4"/>
      <c r="B18" s="4"/>
      <c r="C18" s="2" t="s">
        <v>150</v>
      </c>
      <c r="D18" s="253">
        <f t="shared" ref="D18:I18" si="6">F7</f>
        <v>189.38880000000003</v>
      </c>
      <c r="E18" s="253">
        <f t="shared" si="6"/>
        <v>192.84480000000002</v>
      </c>
      <c r="F18" s="253">
        <f t="shared" si="6"/>
        <v>215.87904000000003</v>
      </c>
      <c r="G18" s="253">
        <f t="shared" si="6"/>
        <v>198.68246303906255</v>
      </c>
      <c r="H18" s="253">
        <f t="shared" si="6"/>
        <v>200.9822406698145</v>
      </c>
      <c r="I18" s="553">
        <f t="shared" si="6"/>
        <v>203.37630253609225</v>
      </c>
      <c r="J18" s="553">
        <f t="shared" ref="J18:R18" si="7">L7</f>
        <v>205.39765529554415</v>
      </c>
      <c r="K18" s="553">
        <f t="shared" si="7"/>
        <v>222.52720782976834</v>
      </c>
      <c r="L18" s="553">
        <f t="shared" si="7"/>
        <v>248.2161049540407</v>
      </c>
      <c r="M18" s="553">
        <f t="shared" si="7"/>
        <v>276.97864856946711</v>
      </c>
      <c r="N18" s="553">
        <f t="shared" si="7"/>
        <v>309.16502012720844</v>
      </c>
      <c r="O18" s="553">
        <f t="shared" si="7"/>
        <v>344.73512707544478</v>
      </c>
      <c r="P18" s="553">
        <f t="shared" si="7"/>
        <v>471.28579672737806</v>
      </c>
      <c r="Q18" s="553">
        <f t="shared" si="7"/>
        <v>644.3301221643178</v>
      </c>
      <c r="R18" s="553">
        <f t="shared" si="7"/>
        <v>880.94613056480284</v>
      </c>
      <c r="S18" s="553">
        <f>U7</f>
        <v>1204.4758917065737</v>
      </c>
      <c r="T18" s="253"/>
      <c r="U18" s="253"/>
      <c r="V18" s="253"/>
      <c r="W18" s="253"/>
      <c r="X18" s="253"/>
    </row>
    <row r="19" spans="1:24" x14ac:dyDescent="0.15">
      <c r="A19" s="4"/>
      <c r="B19" s="4"/>
      <c r="C19" s="2" t="s">
        <v>151</v>
      </c>
      <c r="D19" s="253">
        <f t="shared" ref="D19:H20" si="8">F8</f>
        <v>196.40320000000003</v>
      </c>
      <c r="E19" s="253">
        <f t="shared" si="8"/>
        <v>232.2432</v>
      </c>
      <c r="F19" s="253">
        <f t="shared" si="8"/>
        <v>301.91615999999999</v>
      </c>
      <c r="G19" s="253">
        <f t="shared" si="8"/>
        <v>323.979264</v>
      </c>
      <c r="H19" s="253">
        <f t="shared" si="8"/>
        <v>381.97155225599994</v>
      </c>
      <c r="I19" s="554">
        <f>K7</f>
        <v>203.37630253609225</v>
      </c>
      <c r="J19" s="253">
        <f>L8</f>
        <v>239.7806606900528</v>
      </c>
      <c r="K19" s="253">
        <f t="shared" ref="K19:S19" si="9">M8</f>
        <v>302.12363246946649</v>
      </c>
      <c r="L19" s="253">
        <f t="shared" si="9"/>
        <v>391.55222768042853</v>
      </c>
      <c r="M19" s="253">
        <f t="shared" si="9"/>
        <v>507.45168707383544</v>
      </c>
      <c r="N19" s="253">
        <f t="shared" si="9"/>
        <v>657.65738644769067</v>
      </c>
      <c r="O19" s="253">
        <f t="shared" si="9"/>
        <v>852.32397283620708</v>
      </c>
      <c r="P19" s="253">
        <f t="shared" si="9"/>
        <v>1165.9791948399311</v>
      </c>
      <c r="Q19" s="253">
        <f t="shared" si="9"/>
        <v>1595.0595385410256</v>
      </c>
      <c r="R19" s="253">
        <f t="shared" si="9"/>
        <v>2182.0414487241223</v>
      </c>
      <c r="S19" s="253">
        <f t="shared" si="9"/>
        <v>2985.0327018545986</v>
      </c>
      <c r="T19" s="253"/>
      <c r="U19" s="253"/>
      <c r="V19" s="253"/>
      <c r="W19" s="253"/>
      <c r="X19" s="253"/>
    </row>
    <row r="20" spans="1:24" ht="23" thickBot="1" x14ac:dyDescent="0.2">
      <c r="A20" s="4"/>
      <c r="B20" s="4"/>
      <c r="C20" s="2" t="s">
        <v>325</v>
      </c>
      <c r="D20" s="253">
        <f t="shared" si="8"/>
        <v>199.20895999999999</v>
      </c>
      <c r="E20" s="253">
        <f t="shared" si="8"/>
        <v>248.64767999999998</v>
      </c>
      <c r="F20" s="253">
        <f t="shared" si="8"/>
        <v>341.19987199999991</v>
      </c>
      <c r="G20" s="253">
        <f t="shared" si="8"/>
        <v>388.02066047499989</v>
      </c>
      <c r="H20" s="253">
        <f t="shared" si="8"/>
        <v>484.74759051596226</v>
      </c>
      <c r="I20" s="555">
        <f>K3/2^10</f>
        <v>5.2620880371093754</v>
      </c>
      <c r="J20" s="555">
        <f t="shared" ref="J20:S20" si="10">L3/2^10</f>
        <v>6.8572746045898443</v>
      </c>
      <c r="K20" s="555">
        <f t="shared" si="10"/>
        <v>9.5860011322958982</v>
      </c>
      <c r="L20" s="555">
        <f t="shared" si="10"/>
        <v>13.796934773687333</v>
      </c>
      <c r="M20" s="555">
        <f t="shared" si="10"/>
        <v>19.865396798927023</v>
      </c>
      <c r="N20" s="555">
        <f t="shared" si="10"/>
        <v>28.611432373628059</v>
      </c>
      <c r="O20" s="555">
        <f t="shared" si="10"/>
        <v>41.165470710691629</v>
      </c>
      <c r="P20" s="555">
        <f t="shared" si="10"/>
        <v>59.239078407610499</v>
      </c>
      <c r="Q20" s="555">
        <f t="shared" si="10"/>
        <v>85.252823551692941</v>
      </c>
      <c r="R20" s="555">
        <f t="shared" si="10"/>
        <v>122.69477929846342</v>
      </c>
      <c r="S20" s="555">
        <f t="shared" si="10"/>
        <v>176.58395430700429</v>
      </c>
      <c r="T20" s="253"/>
      <c r="U20" s="253"/>
      <c r="V20" s="253"/>
      <c r="W20" s="253"/>
      <c r="X20" s="253"/>
    </row>
    <row r="21" spans="1:24" ht="22" x14ac:dyDescent="0.15">
      <c r="A21" s="4"/>
      <c r="B21" s="4"/>
      <c r="C21" s="2" t="s">
        <v>325</v>
      </c>
      <c r="D21" s="2"/>
      <c r="E21" s="2"/>
      <c r="F21" s="2"/>
      <c r="G21" s="2"/>
      <c r="H21" s="2"/>
      <c r="I21" s="17">
        <f>(K3+K4)/2*1/2^10</f>
        <v>5.2909990185546878</v>
      </c>
      <c r="J21" s="17">
        <f t="shared" ref="J21:S21" si="11">(L3+L4)/2*1/2^10</f>
        <v>6.9131783522949224</v>
      </c>
      <c r="K21" s="17">
        <f t="shared" si="11"/>
        <v>9.6713580361479501</v>
      </c>
      <c r="L21" s="17">
        <f t="shared" si="11"/>
        <v>13.923302143643667</v>
      </c>
      <c r="M21" s="17">
        <f t="shared" si="11"/>
        <v>20.048460449255511</v>
      </c>
      <c r="N21" s="17">
        <f t="shared" si="11"/>
        <v>28.872413538514508</v>
      </c>
      <c r="O21" s="17">
        <f t="shared" si="11"/>
        <v>41.558779541794507</v>
      </c>
      <c r="P21" s="17">
        <f t="shared" si="11"/>
        <v>59.825042832291359</v>
      </c>
      <c r="Q21" s="17">
        <f t="shared" si="11"/>
        <v>86.12233700086648</v>
      </c>
      <c r="R21" s="17">
        <f t="shared" si="11"/>
        <v>123.9815219732605</v>
      </c>
      <c r="S21" s="17">
        <f t="shared" si="11"/>
        <v>178.48512770010359</v>
      </c>
    </row>
    <row r="22" spans="1:24" x14ac:dyDescent="0.15">
      <c r="A22" s="4"/>
      <c r="B22" s="4"/>
      <c r="C22" s="2"/>
      <c r="D22" s="2"/>
      <c r="E22" s="2"/>
      <c r="F22" s="2"/>
      <c r="G22" s="2"/>
      <c r="H22" s="2"/>
      <c r="J22" s="541" t="s">
        <v>336</v>
      </c>
      <c r="K22" s="542">
        <f t="shared" ref="K22:U22" si="12">I18/K3</f>
        <v>3.7743509619140636E-2</v>
      </c>
      <c r="L22" s="542">
        <f t="shared" si="12"/>
        <v>2.9251219954833995E-2</v>
      </c>
      <c r="M22" s="542">
        <f t="shared" si="12"/>
        <v>2.2669695464996344E-2</v>
      </c>
      <c r="N22" s="542">
        <f t="shared" si="12"/>
        <v>1.7569013985372171E-2</v>
      </c>
      <c r="O22" s="542">
        <f t="shared" si="12"/>
        <v>1.3615985838663433E-2</v>
      </c>
      <c r="P22" s="542">
        <f t="shared" si="12"/>
        <v>1.055238902496416E-2</v>
      </c>
      <c r="Q22" s="542">
        <f t="shared" si="12"/>
        <v>8.178101494347223E-3</v>
      </c>
      <c r="R22" s="542">
        <f t="shared" si="12"/>
        <v>7.7691964196298612E-3</v>
      </c>
      <c r="S22" s="542">
        <f t="shared" si="12"/>
        <v>7.3807365986483676E-3</v>
      </c>
      <c r="T22" s="542">
        <f t="shared" si="12"/>
        <v>7.0116997687159482E-3</v>
      </c>
      <c r="U22" s="255">
        <f t="shared" si="12"/>
        <v>6.6611147802801496E-3</v>
      </c>
    </row>
    <row r="23" spans="1:24" x14ac:dyDescent="0.15">
      <c r="A23" s="4"/>
      <c r="B23" s="4"/>
      <c r="C23" s="2"/>
      <c r="D23" s="2"/>
      <c r="E23" s="2"/>
      <c r="F23" s="2"/>
      <c r="G23" s="2"/>
      <c r="H23" s="2"/>
      <c r="K23" s="542">
        <f t="shared" ref="K23:S23" si="13">I19/K4</f>
        <v>3.7333276398548582E-2</v>
      </c>
      <c r="L23" s="542">
        <f t="shared" si="13"/>
        <v>3.3599948758693723E-2</v>
      </c>
      <c r="M23" s="542">
        <f t="shared" si="13"/>
        <v>3.0239953882824352E-2</v>
      </c>
      <c r="N23" s="542">
        <f t="shared" si="13"/>
        <v>2.7215958494541916E-2</v>
      </c>
      <c r="O23" s="542">
        <f t="shared" si="13"/>
        <v>2.4494362645087725E-2</v>
      </c>
      <c r="P23" s="542">
        <f t="shared" si="13"/>
        <v>2.2044926380578953E-2</v>
      </c>
      <c r="Q23" s="542">
        <f t="shared" si="13"/>
        <v>1.9840433742521056E-2</v>
      </c>
      <c r="R23" s="542">
        <f t="shared" si="13"/>
        <v>1.8848412055395E-2</v>
      </c>
      <c r="S23" s="542">
        <f t="shared" si="13"/>
        <v>1.7905991452625249E-2</v>
      </c>
      <c r="T23" s="542">
        <f>R20/T4</f>
        <v>9.5650020174933099E-4</v>
      </c>
      <c r="U23" s="542">
        <f>S20/U4</f>
        <v>9.559776259774514E-4</v>
      </c>
    </row>
    <row r="24" spans="1:24" x14ac:dyDescent="0.15">
      <c r="A24" s="4"/>
      <c r="B24" s="4"/>
      <c r="C24" s="2"/>
      <c r="D24" s="2"/>
      <c r="E24" s="2"/>
      <c r="F24" s="2"/>
      <c r="G24" s="2"/>
      <c r="H24" s="2"/>
      <c r="K24">
        <v>2015</v>
      </c>
      <c r="L24">
        <v>2016</v>
      </c>
      <c r="M24" s="541">
        <v>2017</v>
      </c>
      <c r="N24" s="541">
        <v>2018</v>
      </c>
      <c r="O24" s="541">
        <v>2019</v>
      </c>
      <c r="P24" s="541">
        <v>2020</v>
      </c>
      <c r="Q24" s="541">
        <v>2021</v>
      </c>
      <c r="R24" s="541">
        <v>2022</v>
      </c>
      <c r="S24" s="541">
        <v>2023</v>
      </c>
      <c r="T24" s="541">
        <v>2024</v>
      </c>
      <c r="U24" s="541">
        <v>2025</v>
      </c>
    </row>
    <row r="25" spans="1:24" x14ac:dyDescent="0.15">
      <c r="A25" s="4"/>
      <c r="B25" s="4"/>
      <c r="C25" s="2"/>
      <c r="D25" s="2"/>
      <c r="E25" s="2"/>
      <c r="F25" s="2"/>
      <c r="G25" s="2"/>
      <c r="H25" s="2"/>
    </row>
    <row r="26" spans="1:24" x14ac:dyDescent="0.15">
      <c r="A26" s="4"/>
      <c r="B26" s="4"/>
      <c r="C26" s="2"/>
      <c r="D26" s="2"/>
      <c r="E26" s="2"/>
      <c r="F26" s="2"/>
      <c r="G26" s="2"/>
      <c r="H26" s="2"/>
    </row>
    <row r="27" spans="1:24" x14ac:dyDescent="0.15">
      <c r="A27" s="4"/>
      <c r="B27" s="4"/>
      <c r="C27" s="2"/>
      <c r="D27" s="2"/>
      <c r="E27" s="2"/>
      <c r="F27" s="2"/>
      <c r="G27" s="2"/>
      <c r="H27" s="2"/>
    </row>
    <row r="28" spans="1:24" x14ac:dyDescent="0.15">
      <c r="A28" s="4"/>
      <c r="B28" s="4"/>
      <c r="C28" s="2"/>
      <c r="D28" s="2"/>
      <c r="E28" s="2"/>
      <c r="F28" s="2"/>
      <c r="G28" s="2"/>
      <c r="H28" s="2"/>
    </row>
    <row r="29" spans="1:24" x14ac:dyDescent="0.15">
      <c r="A29" s="4"/>
      <c r="B29" s="4"/>
      <c r="C29" s="2"/>
      <c r="D29" s="2"/>
      <c r="E29" s="2"/>
      <c r="F29" s="2"/>
      <c r="G29" s="2"/>
      <c r="H29" s="2"/>
      <c r="L29" s="17">
        <v>203.37630253609225</v>
      </c>
      <c r="M29" s="17">
        <v>205.39765529554415</v>
      </c>
      <c r="N29" s="17">
        <v>222.52720782976834</v>
      </c>
      <c r="O29" s="17">
        <v>248.2161049540407</v>
      </c>
      <c r="P29" s="17">
        <v>276.97864856946711</v>
      </c>
      <c r="Q29" s="17">
        <v>309.16502012720844</v>
      </c>
      <c r="R29" s="17">
        <v>344.73512707544478</v>
      </c>
      <c r="S29" s="17">
        <v>471.28579672737806</v>
      </c>
      <c r="T29" s="17">
        <v>644.3301221643178</v>
      </c>
      <c r="U29" s="17">
        <v>880.94613056480284</v>
      </c>
      <c r="V29" s="17">
        <v>1204.4758917065737</v>
      </c>
    </row>
    <row r="30" spans="1:24" x14ac:dyDescent="0.15">
      <c r="A30" s="4"/>
      <c r="B30" s="4"/>
      <c r="C30" s="2"/>
      <c r="D30" s="2"/>
      <c r="E30" s="2"/>
      <c r="F30" s="2"/>
      <c r="G30" s="2"/>
      <c r="H30" s="2"/>
      <c r="L30" s="17">
        <f>(L29+L31)/2</f>
        <v>203.3868078123341</v>
      </c>
      <c r="M30" s="17">
        <f>(M29+M31)/2</f>
        <v>223.60153170983673</v>
      </c>
      <c r="N30" s="17">
        <f t="shared" ref="N30:U30" si="14">(N29+N31)/2</f>
        <v>267.96282174874108</v>
      </c>
      <c r="O30" s="17">
        <f t="shared" si="14"/>
        <v>331.02789510566123</v>
      </c>
      <c r="P30" s="17">
        <f t="shared" si="14"/>
        <v>406.87921166218996</v>
      </c>
      <c r="Q30" s="17">
        <f t="shared" si="14"/>
        <v>498.21173221361084</v>
      </c>
      <c r="R30" s="17">
        <f t="shared" si="14"/>
        <v>608.08973144933043</v>
      </c>
      <c r="S30" s="17">
        <f t="shared" si="14"/>
        <v>856.55082406676877</v>
      </c>
      <c r="T30" s="17">
        <f t="shared" si="14"/>
        <v>1196.4071034439719</v>
      </c>
      <c r="U30" s="17">
        <f t="shared" si="14"/>
        <v>1661.2761792333613</v>
      </c>
      <c r="V30" s="17">
        <f>(V29+V31)/2</f>
        <v>2297.1366057381993</v>
      </c>
    </row>
    <row r="31" spans="1:24" x14ac:dyDescent="0.15">
      <c r="A31" s="5"/>
      <c r="B31" s="5"/>
      <c r="C31" s="3"/>
      <c r="D31" s="3"/>
      <c r="E31" s="3"/>
      <c r="F31" s="3"/>
      <c r="G31" s="3"/>
      <c r="H31" s="3"/>
      <c r="L31" s="17">
        <v>203.39731308857591</v>
      </c>
      <c r="M31" s="17">
        <v>241.80540812412931</v>
      </c>
      <c r="N31" s="17">
        <v>313.39843566771384</v>
      </c>
      <c r="O31" s="17">
        <v>413.83968525728176</v>
      </c>
      <c r="P31" s="17">
        <v>536.77977475491286</v>
      </c>
      <c r="Q31" s="17">
        <v>687.25844430001325</v>
      </c>
      <c r="R31" s="17">
        <v>871.44433582321608</v>
      </c>
      <c r="S31" s="17">
        <v>1241.8158514061595</v>
      </c>
      <c r="T31" s="17">
        <v>1748.484084723626</v>
      </c>
      <c r="U31" s="17">
        <v>2441.6062279019197</v>
      </c>
      <c r="V31" s="17">
        <v>3389.7973197698252</v>
      </c>
    </row>
    <row r="32" spans="1:24" x14ac:dyDescent="0.15">
      <c r="A32" s="5"/>
      <c r="B32" s="5"/>
      <c r="C32" s="3"/>
      <c r="D32" s="3"/>
      <c r="E32" s="3"/>
      <c r="F32" s="3"/>
      <c r="G32" s="3"/>
      <c r="H32" s="3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1:3" x14ac:dyDescent="0.15">
      <c r="A33" s="6"/>
      <c r="B33" s="6"/>
    </row>
    <row r="34" spans="1:3" x14ac:dyDescent="0.15">
      <c r="A34" s="6"/>
      <c r="B34" s="6"/>
    </row>
    <row r="35" spans="1:3" x14ac:dyDescent="0.15">
      <c r="A35" s="6"/>
      <c r="B35" s="6"/>
    </row>
    <row r="36" spans="1:3" x14ac:dyDescent="0.15">
      <c r="A36" s="6"/>
      <c r="B36" s="6"/>
      <c r="C36" s="28" t="s">
        <v>243</v>
      </c>
    </row>
    <row r="59" spans="8:8" x14ac:dyDescent="0.15">
      <c r="H59" s="28"/>
    </row>
    <row r="67" spans="6:21" x14ac:dyDescent="0.15">
      <c r="F67" s="14">
        <v>2015</v>
      </c>
      <c r="G67" s="14">
        <v>2016</v>
      </c>
      <c r="H67" s="14">
        <v>2017</v>
      </c>
      <c r="I67" s="14">
        <v>2018</v>
      </c>
      <c r="J67" s="14">
        <v>2019</v>
      </c>
      <c r="K67" s="14">
        <v>2020</v>
      </c>
      <c r="L67" s="14">
        <v>2021</v>
      </c>
      <c r="M67" s="14">
        <v>2022</v>
      </c>
      <c r="N67" s="14">
        <v>2023</v>
      </c>
      <c r="O67" s="14">
        <v>2024</v>
      </c>
      <c r="P67" s="14">
        <v>2025</v>
      </c>
    </row>
    <row r="68" spans="6:21" x14ac:dyDescent="0.15">
      <c r="F68" s="17">
        <f>K3/2^10</f>
        <v>5.2620880371093754</v>
      </c>
      <c r="G68" s="17">
        <f t="shared" ref="G68:P68" si="15">L3/2^10</f>
        <v>6.8572746045898443</v>
      </c>
      <c r="H68" s="17">
        <f t="shared" si="15"/>
        <v>9.5860011322958982</v>
      </c>
      <c r="I68" s="17">
        <f t="shared" si="15"/>
        <v>13.796934773687333</v>
      </c>
      <c r="J68" s="17">
        <f t="shared" si="15"/>
        <v>19.865396798927023</v>
      </c>
      <c r="K68" s="17">
        <f t="shared" si="15"/>
        <v>28.611432373628059</v>
      </c>
      <c r="L68" s="17">
        <f t="shared" si="15"/>
        <v>41.165470710691629</v>
      </c>
      <c r="M68" s="17">
        <f t="shared" si="15"/>
        <v>59.239078407610499</v>
      </c>
      <c r="N68" s="17">
        <f t="shared" si="15"/>
        <v>85.252823551692941</v>
      </c>
      <c r="O68" s="17">
        <f t="shared" si="15"/>
        <v>122.69477929846342</v>
      </c>
      <c r="P68" s="17">
        <f t="shared" si="15"/>
        <v>176.58395430700429</v>
      </c>
      <c r="Q68" s="17"/>
      <c r="R68" s="17"/>
      <c r="S68" s="17"/>
      <c r="T68" s="17"/>
      <c r="U68" s="17"/>
    </row>
  </sheetData>
  <mergeCells count="2">
    <mergeCell ref="AA3:AA5"/>
    <mergeCell ref="AA7:AA9"/>
  </mergeCells>
  <pageMargins left="0.75" right="0.75" top="1" bottom="1" header="0.5" footer="0.5"/>
  <pageSetup paperSize="10" orientation="landscape" horizontalDpi="4294967292" verticalDpi="4294967292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AU102"/>
  <sheetViews>
    <sheetView zoomScale="40" zoomScaleNormal="40" workbookViewId="0">
      <selection activeCell="I87" sqref="I87:X99"/>
    </sheetView>
  </sheetViews>
  <sheetFormatPr baseColWidth="10" defaultColWidth="11" defaultRowHeight="13" x14ac:dyDescent="0.15"/>
  <cols>
    <col min="1" max="1" width="14.1640625" style="93" bestFit="1" customWidth="1"/>
    <col min="2" max="3" width="11" style="93"/>
    <col min="4" max="4" width="11.33203125" style="93" customWidth="1"/>
    <col min="5" max="5" width="11" style="93"/>
    <col min="6" max="6" width="19.33203125" style="93" customWidth="1"/>
    <col min="7" max="7" width="11" style="93"/>
    <col min="8" max="8" width="8.1640625" style="93" customWidth="1"/>
    <col min="9" max="17" width="7.6640625" style="93" customWidth="1"/>
    <col min="18" max="18" width="11.83203125" style="93" bestFit="1" customWidth="1"/>
    <col min="19" max="19" width="13.1640625" style="93" customWidth="1"/>
    <col min="20" max="20" width="11.83203125" style="93" bestFit="1" customWidth="1"/>
    <col min="21" max="21" width="11.33203125" style="93" customWidth="1"/>
    <col min="22" max="22" width="8.33203125" style="93" bestFit="1" customWidth="1"/>
    <col min="23" max="23" width="11.5" style="93" customWidth="1"/>
    <col min="24" max="24" width="11.83203125" style="93" bestFit="1" customWidth="1"/>
    <col min="25" max="25" width="9.1640625" style="93" customWidth="1"/>
    <col min="26" max="16384" width="11" style="93"/>
  </cols>
  <sheetData>
    <row r="1" spans="1:47" ht="14" thickBot="1" x14ac:dyDescent="0.2">
      <c r="B1" s="94" t="s">
        <v>34</v>
      </c>
      <c r="C1" s="40" t="s">
        <v>81</v>
      </c>
    </row>
    <row r="2" spans="1:47" s="94" customFormat="1" ht="26" x14ac:dyDescent="0.15">
      <c r="D2" s="396">
        <v>2010</v>
      </c>
      <c r="E2" s="396">
        <v>2011</v>
      </c>
      <c r="F2" s="396">
        <v>2012</v>
      </c>
      <c r="G2" s="396">
        <v>2013</v>
      </c>
      <c r="H2" s="396">
        <v>2014</v>
      </c>
      <c r="I2" s="381">
        <v>2015</v>
      </c>
      <c r="J2" s="382">
        <v>2016</v>
      </c>
      <c r="K2" s="382">
        <v>2017</v>
      </c>
      <c r="L2" s="382">
        <v>2018</v>
      </c>
      <c r="M2" s="382">
        <v>2019</v>
      </c>
      <c r="N2" s="382">
        <v>2020</v>
      </c>
      <c r="O2" s="382">
        <v>2021</v>
      </c>
      <c r="P2" s="382">
        <v>2022</v>
      </c>
      <c r="Q2" s="382">
        <v>2023</v>
      </c>
      <c r="R2" s="382">
        <v>2024</v>
      </c>
      <c r="S2" s="383">
        <v>2025</v>
      </c>
      <c r="T2" s="396">
        <v>2026</v>
      </c>
      <c r="U2" s="396">
        <v>2027</v>
      </c>
      <c r="V2" s="396">
        <v>2028</v>
      </c>
      <c r="W2" s="396">
        <v>2029</v>
      </c>
      <c r="X2" s="396">
        <v>2030</v>
      </c>
      <c r="Y2" s="149" t="s">
        <v>10</v>
      </c>
      <c r="AA2" s="8"/>
      <c r="AB2" s="8">
        <v>2011</v>
      </c>
      <c r="AC2" s="7">
        <v>2012</v>
      </c>
      <c r="AD2" s="7">
        <v>2013</v>
      </c>
      <c r="AE2" s="7">
        <v>2014</v>
      </c>
      <c r="AF2" s="7">
        <v>2015</v>
      </c>
      <c r="AG2" s="7">
        <v>2016</v>
      </c>
      <c r="AH2" s="38">
        <v>2017</v>
      </c>
      <c r="AI2" s="38">
        <v>2018</v>
      </c>
      <c r="AJ2" s="38">
        <v>2019</v>
      </c>
      <c r="AK2" s="38">
        <v>2020</v>
      </c>
      <c r="AL2" s="38">
        <v>2021</v>
      </c>
      <c r="AM2" s="38">
        <v>2022</v>
      </c>
      <c r="AN2" s="38">
        <v>2023</v>
      </c>
      <c r="AO2" s="38">
        <v>2024</v>
      </c>
      <c r="AP2" s="38">
        <v>2025</v>
      </c>
      <c r="AQ2" s="7">
        <v>2026</v>
      </c>
      <c r="AR2" s="7">
        <v>2027</v>
      </c>
      <c r="AS2" s="7">
        <v>2028</v>
      </c>
      <c r="AT2" s="7">
        <v>2029</v>
      </c>
      <c r="AU2" s="7">
        <v>2030</v>
      </c>
    </row>
    <row r="3" spans="1:47" ht="14" x14ac:dyDescent="0.15">
      <c r="A3" s="40" t="s">
        <v>377</v>
      </c>
      <c r="B3" s="150"/>
      <c r="C3" s="150"/>
      <c r="D3" s="397">
        <f>'Prod old'!B3*3</f>
        <v>438</v>
      </c>
      <c r="E3" s="397">
        <f>'Prod old'!B3*2+'Prod old'!C3</f>
        <v>440</v>
      </c>
      <c r="F3" s="397">
        <f>SUM('Prod old'!B3:D3)</f>
        <v>445</v>
      </c>
      <c r="G3" s="397">
        <f>SUM('Prod old'!C3:E3)</f>
        <v>446.98</v>
      </c>
      <c r="H3" s="397">
        <f>SUM('Prod old'!D3:F3)</f>
        <v>444.00040000000001</v>
      </c>
      <c r="I3" s="376">
        <f>SUM('Prod old'!E3:G3)</f>
        <v>435.12039200000004</v>
      </c>
      <c r="J3" s="153">
        <f>SUM('Prod old'!F3:H3)</f>
        <v>420.73318447999998</v>
      </c>
      <c r="K3" s="153">
        <f>SUM('Prod old'!G3:I3)</f>
        <v>401.29000941119995</v>
      </c>
      <c r="L3" s="153">
        <f>SUM('Prod old'!H3:J3)</f>
        <v>377.21260884652793</v>
      </c>
      <c r="M3" s="153">
        <f>SUM('Prod old'!I3:K3)</f>
        <v>354.57985231573628</v>
      </c>
      <c r="N3" s="153">
        <f>SUM('Prod old'!J3:L3)</f>
        <v>333.30506117679204</v>
      </c>
      <c r="O3" s="153">
        <f>SUM('Prod old'!K3:M3)</f>
        <v>313.30675750618451</v>
      </c>
      <c r="P3" s="153">
        <f>SUM('Prod old'!L3:N3)</f>
        <v>294.50835205581342</v>
      </c>
      <c r="Q3" s="153">
        <f>SUM('Prod old'!M3:O3)</f>
        <v>276.83785093246462</v>
      </c>
      <c r="R3" s="153">
        <f>SUM('Prod old'!N3:P3)</f>
        <v>260.22757987651676</v>
      </c>
      <c r="S3" s="384">
        <f>SUM('Prod old'!O3:Q3)</f>
        <v>244.61392508392578</v>
      </c>
      <c r="T3" s="397">
        <f>SUM('Prod old'!P3:R3)</f>
        <v>229.93708957889024</v>
      </c>
      <c r="U3" s="397">
        <f>SUM('Prod old'!Q3:S3)</f>
        <v>216.1408642041568</v>
      </c>
      <c r="V3" s="397">
        <f>SUM('Prod old'!R3:T3)</f>
        <v>203.17241235190738</v>
      </c>
      <c r="W3" s="397">
        <f>SUM('Prod old'!S3:U3)</f>
        <v>190.98206761079291</v>
      </c>
      <c r="X3" s="397">
        <f>SUM('Prod old'!T3:V3)</f>
        <v>179.52314355414535</v>
      </c>
      <c r="Y3" s="93">
        <v>220</v>
      </c>
      <c r="Z3" s="93" t="s">
        <v>36</v>
      </c>
      <c r="AA3" s="28" t="s">
        <v>55</v>
      </c>
      <c r="AB3" s="28">
        <v>0.95</v>
      </c>
      <c r="AC3" s="27">
        <f>AB3*0.95</f>
        <v>0.90249999999999997</v>
      </c>
      <c r="AD3" s="21">
        <f>AC3*0.95</f>
        <v>0.85737499999999989</v>
      </c>
      <c r="AE3" s="21">
        <f t="shared" ref="AE3:AU3" si="0">AD3*0.95</f>
        <v>0.81450624999999988</v>
      </c>
      <c r="AF3" s="21">
        <f t="shared" si="0"/>
        <v>0.77378093749999988</v>
      </c>
      <c r="AG3" s="21">
        <f t="shared" si="0"/>
        <v>0.7350918906249998</v>
      </c>
      <c r="AH3" s="468">
        <f t="shared" si="0"/>
        <v>0.69833729609374973</v>
      </c>
      <c r="AI3" s="468">
        <f t="shared" si="0"/>
        <v>0.66342043128906225</v>
      </c>
      <c r="AJ3" s="468">
        <f t="shared" si="0"/>
        <v>0.63024940972460908</v>
      </c>
      <c r="AK3" s="468">
        <f t="shared" si="0"/>
        <v>0.59873693923837856</v>
      </c>
      <c r="AL3" s="468">
        <f t="shared" si="0"/>
        <v>0.56880009227645956</v>
      </c>
      <c r="AM3" s="468">
        <f t="shared" si="0"/>
        <v>0.54036008766263655</v>
      </c>
      <c r="AN3" s="468">
        <f t="shared" si="0"/>
        <v>0.5133420832795047</v>
      </c>
      <c r="AO3" s="468">
        <f t="shared" si="0"/>
        <v>0.48767497911552943</v>
      </c>
      <c r="AP3" s="468">
        <f t="shared" si="0"/>
        <v>0.46329123015975293</v>
      </c>
      <c r="AQ3" s="21">
        <f t="shared" si="0"/>
        <v>0.44012666865176525</v>
      </c>
      <c r="AR3" s="21">
        <f t="shared" si="0"/>
        <v>0.41812033521917696</v>
      </c>
      <c r="AS3" s="21">
        <f t="shared" si="0"/>
        <v>0.39721431845821809</v>
      </c>
      <c r="AT3" s="21">
        <f t="shared" si="0"/>
        <v>0.37735360253530714</v>
      </c>
      <c r="AU3" s="21">
        <f t="shared" si="0"/>
        <v>0.35848592240854177</v>
      </c>
    </row>
    <row r="4" spans="1:47" ht="14" x14ac:dyDescent="0.15">
      <c r="A4" s="93" t="s">
        <v>62</v>
      </c>
      <c r="B4" s="150"/>
      <c r="C4" s="150"/>
      <c r="D4" s="397">
        <f>'Prod old'!B4*3</f>
        <v>486</v>
      </c>
      <c r="E4" s="397">
        <f>'Prod old'!B4*2+'Prod old'!C4</f>
        <v>489</v>
      </c>
      <c r="F4" s="397">
        <f>SUM('Prod old'!B4:D4)</f>
        <v>496</v>
      </c>
      <c r="G4" s="397">
        <f>SUM('Prod old'!C4:E4)</f>
        <v>499.62</v>
      </c>
      <c r="H4" s="397">
        <f>SUM('Prod old'!D4:F4)</f>
        <v>496.92759999999998</v>
      </c>
      <c r="I4" s="376">
        <f>SUM('Prod old'!E4:G4)</f>
        <v>486.98904800000003</v>
      </c>
      <c r="J4" s="153">
        <f>SUM('Prod old'!F4:H4)</f>
        <v>470.88680912000007</v>
      </c>
      <c r="K4" s="153">
        <f>SUM('Prod old'!G4:I4)</f>
        <v>449.12590457280004</v>
      </c>
      <c r="L4" s="153">
        <f>SUM('Prod old'!H4:J4)</f>
        <v>422.17835029843206</v>
      </c>
      <c r="M4" s="153">
        <f>SUM('Prod old'!I4:K4)</f>
        <v>396.84764928052607</v>
      </c>
      <c r="N4" s="153">
        <f>SUM('Prod old'!J4:L4)</f>
        <v>373.0367903236945</v>
      </c>
      <c r="O4" s="153">
        <f>SUM('Prod old'!K4:M4)</f>
        <v>350.65458290427284</v>
      </c>
      <c r="P4" s="153">
        <f>SUM('Prod old'!L4:N4)</f>
        <v>329.61530793001646</v>
      </c>
      <c r="Q4" s="153">
        <f>SUM('Prod old'!M4:O4)</f>
        <v>309.83838945421542</v>
      </c>
      <c r="R4" s="153">
        <f>SUM('Prod old'!N4:P4)</f>
        <v>291.24808608696253</v>
      </c>
      <c r="S4" s="384">
        <f>SUM('Prod old'!O4:Q4)</f>
        <v>273.77320092174477</v>
      </c>
      <c r="T4" s="397">
        <f>SUM('Prod old'!P4:R4)</f>
        <v>257.34680886644003</v>
      </c>
      <c r="U4" s="397">
        <f>SUM('Prod old'!Q4:S4)</f>
        <v>241.90600033445367</v>
      </c>
      <c r="V4" s="397">
        <f>SUM('Prod old'!R4:T4)</f>
        <v>227.39164031438645</v>
      </c>
      <c r="W4" s="397">
        <f>SUM('Prod old'!S4:U4)</f>
        <v>213.7481418955233</v>
      </c>
      <c r="X4" s="397">
        <f>SUM('Prod old'!T4:V4)</f>
        <v>200.92325338179194</v>
      </c>
      <c r="Y4" s="93">
        <v>97</v>
      </c>
      <c r="Z4" s="93">
        <v>1.05</v>
      </c>
      <c r="AA4" s="28" t="s">
        <v>16</v>
      </c>
      <c r="AB4" s="28">
        <v>0.97</v>
      </c>
      <c r="AC4" s="27">
        <f>AB4*0.97</f>
        <v>0.94089999999999996</v>
      </c>
      <c r="AD4" s="21">
        <f>AC4*0.97</f>
        <v>0.91267299999999996</v>
      </c>
      <c r="AE4" s="21">
        <f t="shared" ref="AE4:AU4" si="1">AD4*0.97</f>
        <v>0.88529280999999993</v>
      </c>
      <c r="AF4" s="21">
        <f t="shared" si="1"/>
        <v>0.8587340256999999</v>
      </c>
      <c r="AG4" s="21">
        <f t="shared" si="1"/>
        <v>0.83297200492899992</v>
      </c>
      <c r="AH4" s="21">
        <f t="shared" si="1"/>
        <v>0.80798284478112992</v>
      </c>
      <c r="AI4" s="21">
        <f t="shared" si="1"/>
        <v>0.78374335943769602</v>
      </c>
      <c r="AJ4" s="21">
        <f t="shared" si="1"/>
        <v>0.76023105865456508</v>
      </c>
      <c r="AK4" s="21">
        <f t="shared" si="1"/>
        <v>0.73742412689492809</v>
      </c>
      <c r="AL4" s="21">
        <f t="shared" si="1"/>
        <v>0.71530140308808021</v>
      </c>
      <c r="AM4" s="21">
        <f t="shared" si="1"/>
        <v>0.69384236099543783</v>
      </c>
      <c r="AN4" s="21">
        <f t="shared" si="1"/>
        <v>0.67302709016557472</v>
      </c>
      <c r="AO4" s="21">
        <f t="shared" si="1"/>
        <v>0.65283627746060746</v>
      </c>
      <c r="AP4" s="21">
        <f t="shared" si="1"/>
        <v>0.63325118913678924</v>
      </c>
      <c r="AQ4" s="21">
        <f t="shared" si="1"/>
        <v>0.61425365346268557</v>
      </c>
      <c r="AR4" s="21">
        <f t="shared" si="1"/>
        <v>0.595826043858805</v>
      </c>
      <c r="AS4" s="21">
        <f t="shared" si="1"/>
        <v>0.57795126254304086</v>
      </c>
      <c r="AT4" s="21">
        <f t="shared" si="1"/>
        <v>0.56061272466674961</v>
      </c>
      <c r="AU4" s="21">
        <f t="shared" si="1"/>
        <v>0.54379434292674711</v>
      </c>
    </row>
    <row r="5" spans="1:47" ht="14" x14ac:dyDescent="0.15">
      <c r="A5" s="93" t="s">
        <v>63</v>
      </c>
      <c r="B5" s="150"/>
      <c r="C5" s="152"/>
      <c r="D5" s="397">
        <f>'Prod old'!B5*3</f>
        <v>603</v>
      </c>
      <c r="E5" s="397">
        <f>'Prod old'!B5*2+'Prod old'!C5</f>
        <v>617</v>
      </c>
      <c r="F5" s="397">
        <f>SUM('Prod old'!B5:D5)</f>
        <v>662</v>
      </c>
      <c r="G5" s="397">
        <f>SUM('Prod old'!C5:E5)</f>
        <v>745</v>
      </c>
      <c r="H5" s="397">
        <f>SUM('Prod old'!D5:F5)</f>
        <v>862</v>
      </c>
      <c r="I5" s="376">
        <f>SUM('Prod old'!E5:G5)</f>
        <v>1000</v>
      </c>
      <c r="J5" s="153">
        <f>SUM('Prod old'!F5:H5)</f>
        <v>1159</v>
      </c>
      <c r="K5" s="153">
        <f>SUM('Prod old'!G5:I5)</f>
        <v>1338.0651041666665</v>
      </c>
      <c r="L5" s="153">
        <f>SUM('Prod old'!H5:J5)</f>
        <v>1543.6532321506074</v>
      </c>
      <c r="M5" s="153">
        <f>SUM('Prod old'!I5:K5)</f>
        <v>1780.829119382081</v>
      </c>
      <c r="N5" s="153">
        <f>SUM('Prod old'!J5:L5)</f>
        <v>2054.446093453807</v>
      </c>
      <c r="O5" s="153">
        <f>SUM('Prod old'!K5:M5)</f>
        <v>2123.9909111901156</v>
      </c>
      <c r="P5" s="153">
        <f>SUM('Prod old'!L5:N5)</f>
        <v>1997.4866983636516</v>
      </c>
      <c r="Q5" s="153">
        <f>SUM('Prod old'!M5:O5)</f>
        <v>1677.8888266254671</v>
      </c>
      <c r="R5" s="153">
        <f>SUM('Prod old'!N5:P5)</f>
        <v>1409.426614365392</v>
      </c>
      <c r="S5" s="384">
        <f>SUM('Prod old'!O5:Q5)</f>
        <v>1183.9183560669289</v>
      </c>
      <c r="T5" s="397">
        <f>SUM('Prod old'!P5:R5)</f>
        <v>994.49141909621994</v>
      </c>
      <c r="U5" s="397">
        <f>SUM('Prod old'!Q5:S5)</f>
        <v>835.37279204082461</v>
      </c>
      <c r="V5" s="397">
        <f>SUM('Prod old'!R5:T5)</f>
        <v>701.71314531429255</v>
      </c>
      <c r="W5" s="397">
        <f>SUM('Prod old'!S5:U5)</f>
        <v>589.43904206400566</v>
      </c>
      <c r="X5" s="397">
        <f>SUM('Prod old'!T5:V5)</f>
        <v>495.12879533376469</v>
      </c>
      <c r="Y5" s="93">
        <v>80</v>
      </c>
      <c r="AA5" s="28" t="s">
        <v>56</v>
      </c>
      <c r="AB5" s="28">
        <v>0.99</v>
      </c>
      <c r="AC5" s="27">
        <f>AB5*0.99</f>
        <v>0.98009999999999997</v>
      </c>
      <c r="AD5" s="21">
        <f>AC5*0.99</f>
        <v>0.97029899999999991</v>
      </c>
      <c r="AE5" s="21">
        <f t="shared" ref="AE5:AU5" si="2">AD5*0.99</f>
        <v>0.96059600999999994</v>
      </c>
      <c r="AF5" s="21">
        <f t="shared" si="2"/>
        <v>0.95099004989999991</v>
      </c>
      <c r="AG5" s="21">
        <f t="shared" si="2"/>
        <v>0.94148014940099989</v>
      </c>
      <c r="AH5" s="21">
        <f t="shared" si="2"/>
        <v>0.93206534790698992</v>
      </c>
      <c r="AI5" s="21">
        <f t="shared" si="2"/>
        <v>0.92274469442791995</v>
      </c>
      <c r="AJ5" s="21">
        <f t="shared" si="2"/>
        <v>0.91351724748364072</v>
      </c>
      <c r="AK5" s="21">
        <f t="shared" si="2"/>
        <v>0.9043820750088043</v>
      </c>
      <c r="AL5" s="21">
        <f t="shared" si="2"/>
        <v>0.89533825425871627</v>
      </c>
      <c r="AM5" s="21">
        <f t="shared" si="2"/>
        <v>0.88638487171612912</v>
      </c>
      <c r="AN5" s="21">
        <f t="shared" si="2"/>
        <v>0.87752102299896784</v>
      </c>
      <c r="AO5" s="21">
        <f t="shared" si="2"/>
        <v>0.86874581276897811</v>
      </c>
      <c r="AP5" s="21">
        <f t="shared" si="2"/>
        <v>0.86005835464128833</v>
      </c>
      <c r="AQ5" s="21">
        <f t="shared" si="2"/>
        <v>0.85145777109487542</v>
      </c>
      <c r="AR5" s="21">
        <f t="shared" si="2"/>
        <v>0.84294319338392665</v>
      </c>
      <c r="AS5" s="21">
        <f t="shared" si="2"/>
        <v>0.83451376145008738</v>
      </c>
      <c r="AT5" s="21">
        <f t="shared" si="2"/>
        <v>0.82616862383558654</v>
      </c>
      <c r="AU5" s="21">
        <f t="shared" si="2"/>
        <v>0.81790693759723065</v>
      </c>
    </row>
    <row r="6" spans="1:47" x14ac:dyDescent="0.15">
      <c r="A6" s="93" t="s">
        <v>64</v>
      </c>
      <c r="B6" s="150"/>
      <c r="C6" s="152"/>
      <c r="D6" s="397">
        <f>'Cons Dev Expe'!D6</f>
        <v>700</v>
      </c>
      <c r="E6" s="397">
        <f>'Cons Dev Expe'!E6</f>
        <v>810</v>
      </c>
      <c r="F6" s="397">
        <f>'Cons Dev Expe'!F6</f>
        <v>1160</v>
      </c>
      <c r="G6" s="397">
        <f>'Cons Dev Expe'!G6</f>
        <v>1600</v>
      </c>
      <c r="H6" s="397">
        <f>'Cons Dev Expe'!H6</f>
        <v>2075</v>
      </c>
      <c r="I6" s="376">
        <f>'Cons Dev Expe'!I6</f>
        <v>2565</v>
      </c>
      <c r="J6" s="153">
        <f>'Cons Dev Expe'!J6</f>
        <v>2946.8</v>
      </c>
      <c r="K6" s="153">
        <f>'Cons Dev Expe'!K6</f>
        <v>3300.4160000000006</v>
      </c>
      <c r="L6" s="153">
        <f>'Cons Dev Expe'!L6</f>
        <v>3696.465920000001</v>
      </c>
      <c r="M6" s="153">
        <f>'Cons Dev Expe'!M6</f>
        <v>4140.0418304000013</v>
      </c>
      <c r="N6" s="153">
        <f>'Cons Dev Expe'!N6</f>
        <v>4636.8468500480012</v>
      </c>
      <c r="O6" s="153">
        <f>'Cons Dev Expe'!O6</f>
        <v>5193.2684720537618</v>
      </c>
      <c r="P6" s="153">
        <f>'Cons Dev Expe'!P6</f>
        <v>5816.4606887002137</v>
      </c>
      <c r="Q6" s="153">
        <f>'Cons Dev Expe'!Q6</f>
        <v>6514.4359713442409</v>
      </c>
      <c r="R6" s="153">
        <f>'Cons Dev Expe'!R6</f>
        <v>7296.1682879055497</v>
      </c>
      <c r="S6" s="385">
        <f>'Cons Dev Expe'!S6</f>
        <v>8171.7084824542162</v>
      </c>
      <c r="T6" s="398">
        <f>'Cons Dev Expe'!T6</f>
        <v>9152.3135003487223</v>
      </c>
      <c r="U6" s="398">
        <f>'Cons Dev Expe'!U6</f>
        <v>10250.591120390571</v>
      </c>
      <c r="V6" s="398">
        <f>'Cons Dev Expe'!V6</f>
        <v>11480.662054837441</v>
      </c>
      <c r="W6" s="398">
        <f>'Cons Dev Expe'!W6</f>
        <v>12858.341501417934</v>
      </c>
      <c r="X6" s="398">
        <f>'Cons Dev Expe'!X6</f>
        <v>14401.342481588088</v>
      </c>
      <c r="Y6" s="93">
        <v>5</v>
      </c>
      <c r="AC6" s="151"/>
      <c r="AD6" s="151"/>
      <c r="AE6" s="151"/>
      <c r="AF6" s="151"/>
      <c r="AG6" s="151"/>
      <c r="AH6" s="151"/>
      <c r="AI6" s="151"/>
      <c r="AJ6" s="151"/>
      <c r="AK6" s="151"/>
      <c r="AL6" s="151"/>
      <c r="AM6" s="151"/>
      <c r="AN6" s="151"/>
      <c r="AO6" s="151"/>
      <c r="AP6" s="151"/>
      <c r="AQ6" s="151"/>
      <c r="AR6" s="151"/>
      <c r="AS6" s="151"/>
    </row>
    <row r="7" spans="1:47" x14ac:dyDescent="0.15">
      <c r="A7" s="40" t="s">
        <v>97</v>
      </c>
      <c r="B7" s="150"/>
      <c r="C7" s="152"/>
      <c r="D7" s="397">
        <f>'Prod old'!B7</f>
        <v>50</v>
      </c>
      <c r="E7" s="397">
        <f>'Prod old'!C7</f>
        <v>100</v>
      </c>
      <c r="F7" s="397">
        <f>'Prod old'!D7</f>
        <v>150</v>
      </c>
      <c r="G7" s="397">
        <f>'Prod old'!E7</f>
        <v>207</v>
      </c>
      <c r="H7" s="397">
        <f>'Prod old'!F7</f>
        <v>256</v>
      </c>
      <c r="I7" s="376">
        <f>'Cons Dev Expe'!I7</f>
        <v>577</v>
      </c>
      <c r="J7" s="376">
        <f>'Cons Dev Expe'!J7</f>
        <v>690.15</v>
      </c>
      <c r="K7" s="376">
        <f>'Cons Dev Expe'!K7</f>
        <v>793.6724999999999</v>
      </c>
      <c r="L7" s="376">
        <f>'Cons Dev Expe'!L7</f>
        <v>912.72337499999981</v>
      </c>
      <c r="M7" s="376">
        <f>'Cons Dev Expe'!M7</f>
        <v>1049.6318812499997</v>
      </c>
      <c r="N7" s="376">
        <f>'Cons Dev Expe'!N7</f>
        <v>1122.4310062499999</v>
      </c>
      <c r="O7" s="376">
        <f>'Cons Dev Expe'!O7</f>
        <v>1122</v>
      </c>
      <c r="P7" s="376">
        <f>'Cons Dev Expe'!P7</f>
        <v>1122</v>
      </c>
      <c r="Q7" s="376">
        <f>'Cons Dev Expe'!Q7</f>
        <v>1122</v>
      </c>
      <c r="R7" s="376">
        <f>'Cons Dev Expe'!R7</f>
        <v>1122</v>
      </c>
      <c r="S7" s="632">
        <f>'Cons Dev Expe'!S7</f>
        <v>1122</v>
      </c>
      <c r="T7" s="397">
        <f>'Prod old'!R7</f>
        <v>561</v>
      </c>
      <c r="U7" s="397">
        <f>'Prod old'!S7</f>
        <v>561</v>
      </c>
      <c r="V7" s="397">
        <f>'Prod old'!T7</f>
        <v>561</v>
      </c>
      <c r="W7" s="397">
        <f>'Prod old'!U7</f>
        <v>561</v>
      </c>
      <c r="X7" s="397">
        <f>'Prod old'!V7</f>
        <v>561</v>
      </c>
      <c r="Y7" s="93">
        <v>15</v>
      </c>
      <c r="AC7" s="151"/>
      <c r="AD7" s="151"/>
      <c r="AE7" s="151"/>
      <c r="AF7" s="151"/>
      <c r="AG7" s="151"/>
      <c r="AH7" s="151"/>
      <c r="AI7" s="151"/>
      <c r="AJ7" s="151"/>
      <c r="AK7" s="151"/>
      <c r="AL7" s="151"/>
      <c r="AM7" s="151"/>
      <c r="AN7" s="151"/>
      <c r="AO7" s="151"/>
      <c r="AP7" s="151"/>
      <c r="AQ7" s="151"/>
      <c r="AR7" s="151"/>
      <c r="AS7" s="151"/>
    </row>
    <row r="8" spans="1:47" x14ac:dyDescent="0.15">
      <c r="A8" s="40" t="s">
        <v>269</v>
      </c>
      <c r="B8" s="150"/>
      <c r="C8" s="152"/>
      <c r="D8" s="397">
        <f>'Prod old'!B8</f>
        <v>1250</v>
      </c>
      <c r="E8" s="397">
        <f>'Prod old'!C8</f>
        <v>1260</v>
      </c>
      <c r="F8" s="397">
        <f>'Prod old'!D8</f>
        <v>1050</v>
      </c>
      <c r="G8" s="397">
        <f>'Prod old'!E8</f>
        <v>906</v>
      </c>
      <c r="H8" s="397">
        <f>'Prod old'!F8</f>
        <v>593</v>
      </c>
      <c r="I8" s="376">
        <f>'Cons Dev Expe'!I8</f>
        <v>1357</v>
      </c>
      <c r="J8" s="376">
        <f>'Cons Dev Expe'!J8</f>
        <v>1489.8</v>
      </c>
      <c r="K8" s="376">
        <f>'Cons Dev Expe'!K8</f>
        <v>1415.31</v>
      </c>
      <c r="L8" s="376">
        <f>'Cons Dev Expe'!L8</f>
        <v>1344.5444999999997</v>
      </c>
      <c r="M8" s="376">
        <f>'Cons Dev Expe'!M8</f>
        <v>1277.3172749999997</v>
      </c>
      <c r="N8" s="376">
        <f>'Cons Dev Expe'!N8</f>
        <v>1213.4514112499996</v>
      </c>
      <c r="O8" s="376">
        <f>'Cons Dev Expe'!O8</f>
        <v>1152.7788406874995</v>
      </c>
      <c r="P8" s="376">
        <f>'Cons Dev Expe'!P8</f>
        <v>1095.1398986531244</v>
      </c>
      <c r="Q8" s="376">
        <f>'Cons Dev Expe'!Q8</f>
        <v>1040.3829037204682</v>
      </c>
      <c r="R8" s="376">
        <f>'Cons Dev Expe'!R8</f>
        <v>988.36375853444474</v>
      </c>
      <c r="S8" s="632">
        <f>'Cons Dev Expe'!S8</f>
        <v>938.94557060772252</v>
      </c>
      <c r="T8" s="397">
        <f>'Prod old'!R8</f>
        <v>434.56327049921515</v>
      </c>
      <c r="U8" s="397">
        <f>'Prod old'!S8</f>
        <v>412.83510697425436</v>
      </c>
      <c r="V8" s="397">
        <f>'Prod old'!T8</f>
        <v>392.1933516255416</v>
      </c>
      <c r="W8" s="397">
        <f>'Prod old'!U8</f>
        <v>372.58368404426449</v>
      </c>
      <c r="X8" s="397">
        <f>'Prod old'!V8</f>
        <v>353.95449984205123</v>
      </c>
      <c r="Y8" s="150">
        <v>1</v>
      </c>
      <c r="AC8" s="151"/>
      <c r="AD8" s="151"/>
      <c r="AE8" s="151"/>
      <c r="AF8" s="151"/>
      <c r="AG8" s="151"/>
      <c r="AH8" s="151"/>
      <c r="AI8" s="151"/>
      <c r="AJ8" s="151"/>
      <c r="AK8" s="151"/>
      <c r="AL8" s="151"/>
      <c r="AM8" s="151"/>
      <c r="AN8" s="151"/>
      <c r="AO8" s="151"/>
      <c r="AP8" s="151"/>
      <c r="AQ8" s="151"/>
      <c r="AR8" s="151"/>
      <c r="AS8" s="151"/>
    </row>
    <row r="9" spans="1:47" x14ac:dyDescent="0.15">
      <c r="A9" s="40" t="s">
        <v>66</v>
      </c>
      <c r="B9" s="150"/>
      <c r="C9" s="152"/>
      <c r="D9" s="397">
        <f>'Prod old'!B9</f>
        <v>0</v>
      </c>
      <c r="E9" s="397">
        <f>'Prod old'!C9</f>
        <v>0</v>
      </c>
      <c r="F9" s="397">
        <f>'Prod old'!D9</f>
        <v>10</v>
      </c>
      <c r="G9" s="397">
        <f>'Prod old'!E9</f>
        <v>50</v>
      </c>
      <c r="H9" s="397">
        <f>'Prod old'!F9</f>
        <v>100</v>
      </c>
      <c r="I9" s="376">
        <f>'Cons Dev Expe'!I9</f>
        <v>243.333333333333</v>
      </c>
      <c r="J9" s="376">
        <f>'Cons Dev Expe'!J9</f>
        <v>331.666666666666</v>
      </c>
      <c r="K9" s="376">
        <f>'Cons Dev Expe'!K9</f>
        <v>421.666666666666</v>
      </c>
      <c r="L9" s="376">
        <f>'Cons Dev Expe'!L9</f>
        <v>511.66666666666595</v>
      </c>
      <c r="M9" s="376">
        <f>'Cons Dev Expe'!M9</f>
        <v>601.66666666666595</v>
      </c>
      <c r="N9" s="376">
        <f>'Cons Dev Expe'!N9</f>
        <v>691.66666666666595</v>
      </c>
      <c r="O9" s="376">
        <f>'Cons Dev Expe'!O9</f>
        <v>795.59999999999923</v>
      </c>
      <c r="P9" s="376">
        <f>'Cons Dev Expe'!P9</f>
        <v>922.89599999999893</v>
      </c>
      <c r="Q9" s="376">
        <f>'Cons Dev Expe'!Q9</f>
        <v>1070.5593599999988</v>
      </c>
      <c r="R9" s="376">
        <f>'Cons Dev Expe'!R9</f>
        <v>1241.8488575999986</v>
      </c>
      <c r="S9" s="632">
        <f>'Cons Dev Expe'!S9</f>
        <v>1440.5446748159982</v>
      </c>
      <c r="T9" s="397">
        <f>'Prod old'!R9</f>
        <v>897.40597890389211</v>
      </c>
      <c r="U9" s="397">
        <f>'Prod old'!S9</f>
        <v>1040.9909355285147</v>
      </c>
      <c r="V9" s="397">
        <f>'Prod old'!T9</f>
        <v>1207.5494852130769</v>
      </c>
      <c r="W9" s="397">
        <f>'Prod old'!U9</f>
        <v>1400.757402847169</v>
      </c>
      <c r="X9" s="397">
        <f>'Prod old'!V9</f>
        <v>1624.8785873027159</v>
      </c>
      <c r="Y9" s="150">
        <v>10</v>
      </c>
      <c r="AC9" s="151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1"/>
      <c r="AO9" s="151"/>
      <c r="AP9" s="151"/>
      <c r="AQ9" s="151"/>
      <c r="AR9" s="151"/>
      <c r="AS9" s="151"/>
    </row>
    <row r="10" spans="1:47" x14ac:dyDescent="0.15">
      <c r="A10" s="95" t="s">
        <v>281</v>
      </c>
      <c r="B10" s="150"/>
      <c r="C10" s="152"/>
      <c r="D10" s="397"/>
      <c r="E10" s="397"/>
      <c r="F10" s="397"/>
      <c r="G10" s="397"/>
      <c r="H10" s="397"/>
      <c r="I10" s="376">
        <f>'Prod old'!G11*3</f>
        <v>100</v>
      </c>
      <c r="J10" s="153">
        <f>'Prod old'!G11*2+'Prod old'!H11</f>
        <v>170.66666666666669</v>
      </c>
      <c r="K10" s="153">
        <f>SUM('Prod old'!G11:I11)</f>
        <v>290.33333333333337</v>
      </c>
      <c r="L10" s="153">
        <f>SUM('Prod old'!H11:J11)</f>
        <v>493</v>
      </c>
      <c r="M10" s="153">
        <f>SUM('Prod old'!I11:K11)</f>
        <v>838</v>
      </c>
      <c r="N10" s="153">
        <f>SUM('Prod old'!J11:L11)</f>
        <v>1423</v>
      </c>
      <c r="O10" s="153">
        <f>SUM('Prod old'!K11:M11)</f>
        <v>2417</v>
      </c>
      <c r="P10" s="153">
        <f>SUM('Prod old'!L11:N11)</f>
        <v>4106</v>
      </c>
      <c r="Q10" s="153">
        <f>SUM('Prod old'!M11:O11)</f>
        <v>6974</v>
      </c>
      <c r="R10" s="153">
        <f>SUM('Prod old'!N11:P11)</f>
        <v>11847</v>
      </c>
      <c r="S10" s="384">
        <f>SUM('Prod old'!O11:Q11)</f>
        <v>20124</v>
      </c>
      <c r="T10" s="397">
        <f t="shared" ref="T10:X10" si="3">S10*1.69864</f>
        <v>34183.431359999995</v>
      </c>
      <c r="U10" s="397">
        <f t="shared" si="3"/>
        <v>58065.343845350391</v>
      </c>
      <c r="V10" s="397">
        <f t="shared" si="3"/>
        <v>98632.115669465988</v>
      </c>
      <c r="W10" s="397">
        <f t="shared" si="3"/>
        <v>167540.45696078171</v>
      </c>
      <c r="X10" s="397">
        <f t="shared" si="3"/>
        <v>284590.92181186221</v>
      </c>
      <c r="Y10" s="271">
        <v>0.05</v>
      </c>
      <c r="AC10" s="151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1"/>
      <c r="AO10" s="151"/>
      <c r="AP10" s="151"/>
      <c r="AQ10" s="151"/>
      <c r="AR10" s="151"/>
      <c r="AS10" s="151"/>
    </row>
    <row r="11" spans="1:47" x14ac:dyDescent="0.15">
      <c r="A11" s="95" t="s">
        <v>282</v>
      </c>
      <c r="B11" s="150"/>
      <c r="C11" s="152"/>
      <c r="D11" s="397"/>
      <c r="E11" s="397"/>
      <c r="F11" s="397"/>
      <c r="G11" s="397"/>
      <c r="H11" s="397"/>
      <c r="I11" s="376">
        <v>50</v>
      </c>
      <c r="J11" s="153">
        <f>I11*1.68084339</f>
        <v>84.0421695</v>
      </c>
      <c r="K11" s="153">
        <f t="shared" ref="K11:S11" si="4">J11*1.68084339</f>
        <v>141.2617250853346</v>
      </c>
      <c r="L11" s="153">
        <f t="shared" si="4"/>
        <v>237.43883686968184</v>
      </c>
      <c r="M11" s="153">
        <f t="shared" si="4"/>
        <v>399.09749948169298</v>
      </c>
      <c r="N11" s="153">
        <f t="shared" si="4"/>
        <v>670.82039396933203</v>
      </c>
      <c r="O11" s="153">
        <f t="shared" si="4"/>
        <v>1127.5440250805475</v>
      </c>
      <c r="P11" s="153">
        <f t="shared" si="4"/>
        <v>1895.2249214906324</v>
      </c>
      <c r="Q11" s="153">
        <f t="shared" si="4"/>
        <v>3185.5762818507983</v>
      </c>
      <c r="R11" s="153">
        <f t="shared" si="4"/>
        <v>5354.4548366896906</v>
      </c>
      <c r="S11" s="377">
        <f t="shared" si="4"/>
        <v>9000.0000193033957</v>
      </c>
      <c r="T11" s="397">
        <f t="shared" ref="T11:X11" si="5">S11*1.68084339</f>
        <v>15127.590542445985</v>
      </c>
      <c r="U11" s="397">
        <f t="shared" si="5"/>
        <v>25427.110569896849</v>
      </c>
      <c r="V11" s="397">
        <f t="shared" si="5"/>
        <v>42738.99072821025</v>
      </c>
      <c r="W11" s="397">
        <f t="shared" si="5"/>
        <v>71837.550060783484</v>
      </c>
      <c r="X11" s="397">
        <f t="shared" si="5"/>
        <v>120747.67117346202</v>
      </c>
      <c r="Y11" s="271">
        <v>0.05</v>
      </c>
      <c r="AC11" s="151"/>
      <c r="AD11" s="151"/>
      <c r="AE11" s="151"/>
      <c r="AF11" s="151"/>
      <c r="AG11" s="151"/>
      <c r="AH11" s="151"/>
      <c r="AI11" s="151"/>
      <c r="AJ11" s="151"/>
      <c r="AK11" s="151"/>
      <c r="AL11" s="151"/>
      <c r="AM11" s="151"/>
      <c r="AN11" s="151"/>
      <c r="AO11" s="151"/>
      <c r="AP11" s="151"/>
      <c r="AQ11" s="151"/>
      <c r="AR11" s="151"/>
      <c r="AS11" s="151"/>
    </row>
    <row r="12" spans="1:47" x14ac:dyDescent="0.15">
      <c r="A12" s="95" t="s">
        <v>283</v>
      </c>
      <c r="B12" s="150"/>
      <c r="C12" s="152"/>
      <c r="D12" s="397"/>
      <c r="E12" s="397"/>
      <c r="F12" s="397"/>
      <c r="G12" s="397"/>
      <c r="H12" s="397"/>
      <c r="I12" s="376">
        <v>3</v>
      </c>
      <c r="J12" s="153">
        <f>I12*1.748223176</f>
        <v>5.2446695280000002</v>
      </c>
      <c r="K12" s="153">
        <f t="shared" ref="K12:S12" si="6">J12*1.748223176</f>
        <v>9.1688528193105814</v>
      </c>
      <c r="L12" s="153">
        <f t="shared" si="6"/>
        <v>16.029200996051699</v>
      </c>
      <c r="M12" s="153">
        <f t="shared" si="6"/>
        <v>28.022620674059866</v>
      </c>
      <c r="N12" s="153">
        <f t="shared" si="6"/>
        <v>48.989794914648201</v>
      </c>
      <c r="O12" s="153">
        <f t="shared" si="6"/>
        <v>85.645094857274927</v>
      </c>
      <c r="P12" s="153">
        <f t="shared" si="6"/>
        <v>149.72673974020643</v>
      </c>
      <c r="Q12" s="153">
        <f t="shared" si="6"/>
        <v>261.75575648074908</v>
      </c>
      <c r="R12" s="153">
        <f t="shared" si="6"/>
        <v>457.60747993105775</v>
      </c>
      <c r="S12" s="377">
        <f t="shared" si="6"/>
        <v>800.00000192643006</v>
      </c>
      <c r="T12" s="397">
        <f t="shared" ref="T12:X12" si="7">S12*1.748223176</f>
        <v>1398.5785441678297</v>
      </c>
      <c r="U12" s="397">
        <f t="shared" si="7"/>
        <v>2445.0274243705394</v>
      </c>
      <c r="V12" s="397">
        <f t="shared" si="7"/>
        <v>4274.453609240164</v>
      </c>
      <c r="W12" s="397">
        <f t="shared" si="7"/>
        <v>7472.6988644105022</v>
      </c>
      <c r="X12" s="397">
        <f t="shared" si="7"/>
        <v>13063.945342031322</v>
      </c>
      <c r="Y12" s="272">
        <v>0.6</v>
      </c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1"/>
      <c r="AN12" s="151"/>
      <c r="AO12" s="151"/>
      <c r="AP12" s="151"/>
      <c r="AQ12" s="151"/>
      <c r="AR12" s="151"/>
      <c r="AS12" s="151"/>
    </row>
    <row r="13" spans="1:47" x14ac:dyDescent="0.15">
      <c r="A13" s="40"/>
      <c r="B13" s="150"/>
      <c r="C13" s="152"/>
      <c r="D13" s="397"/>
      <c r="E13" s="397"/>
      <c r="F13" s="397"/>
      <c r="G13" s="397"/>
      <c r="H13" s="397"/>
      <c r="I13" s="376"/>
      <c r="J13" s="153"/>
      <c r="K13" s="153"/>
      <c r="L13" s="153"/>
      <c r="M13" s="153"/>
      <c r="N13" s="153"/>
      <c r="O13" s="153"/>
      <c r="P13" s="153"/>
      <c r="Q13" s="153"/>
      <c r="R13" s="153"/>
      <c r="S13" s="386"/>
      <c r="T13" s="397"/>
      <c r="U13" s="397"/>
      <c r="V13" s="397"/>
      <c r="W13" s="397"/>
      <c r="X13" s="397"/>
      <c r="Y13" s="150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</row>
    <row r="14" spans="1:47" x14ac:dyDescent="0.15">
      <c r="A14" s="93" t="s">
        <v>67</v>
      </c>
      <c r="B14" s="150"/>
      <c r="C14" s="150"/>
      <c r="D14" s="397">
        <f>'Prod old'!B16*8</f>
        <v>2000</v>
      </c>
      <c r="E14" s="397">
        <f>'Prod old'!B16*7+'Prod old'!C16</f>
        <v>2003.75</v>
      </c>
      <c r="F14" s="397">
        <f>'Prod old'!B16*6+'Prod old'!C16+'Prod old'!D16</f>
        <v>2011.3062499999999</v>
      </c>
      <c r="G14" s="397">
        <f>'Prod old'!B16*5+'Prod old'!C16++'Prod old'!D16+'Prod old'!E16</f>
        <v>2022.7258437499997</v>
      </c>
      <c r="H14" s="397">
        <f>'Prod old'!B16*4+'Prod old'!C16++'Prod old'!D16+'Prod old'!E16+'Prod old'!F16</f>
        <v>2038.0667314062496</v>
      </c>
      <c r="I14" s="376">
        <f>'Prod old'!B16*3+'Prod old'!C16++'Prod old'!D16+'Prod old'!E16+'Prod old'!F16+'Prod old'!G16</f>
        <v>2057.3877323773431</v>
      </c>
      <c r="J14" s="153">
        <f>'Prod old'!B16*2+'Prod old'!C16++'Prod old'!D16+'Prod old'!E16+'Prod old'!F16+'Prod old'!G16+'Prod old'!H16</f>
        <v>2080.748548363003</v>
      </c>
      <c r="K14" s="153">
        <f>SUM('Prod old'!B16:I16)</f>
        <v>2108.2097765884478</v>
      </c>
      <c r="L14" s="153">
        <f>SUM('Prod old'!C16:J16)</f>
        <v>2139.8329232372744</v>
      </c>
      <c r="M14" s="153">
        <f>SUM('Prod old'!D16:K16)</f>
        <v>2171.9304170858331</v>
      </c>
      <c r="N14" s="153">
        <f>SUM('Prod old'!E16:L16)</f>
        <v>2204.5093733421204</v>
      </c>
      <c r="O14" s="153">
        <f>SUM('Prod old'!F16:M16)</f>
        <v>2237.5770139422516</v>
      </c>
      <c r="P14" s="153">
        <f>SUM('Prod old'!G16:N16)</f>
        <v>2271.1406691513853</v>
      </c>
      <c r="Q14" s="153">
        <f>SUM('Prod old'!H16:O16)</f>
        <v>2305.2077791886559</v>
      </c>
      <c r="R14" s="153">
        <f>SUM('Prod old'!I16:P16)</f>
        <v>2339.7858958764859</v>
      </c>
      <c r="S14" s="384">
        <f>SUM('Prod old'!J16:Q16)</f>
        <v>2374.882684314633</v>
      </c>
      <c r="T14" s="397">
        <f>SUM('Prod old'!K16:R16)</f>
        <v>2410.5059245793523</v>
      </c>
      <c r="U14" s="397">
        <f>SUM('Prod old'!L16:S16)</f>
        <v>2446.6635134480425</v>
      </c>
      <c r="V14" s="397">
        <f>SUM('Prod old'!M16:T16)</f>
        <v>2483.3634661497626</v>
      </c>
      <c r="W14" s="397">
        <f>SUM('Prod old'!N16:U16)</f>
        <v>2520.613918142009</v>
      </c>
      <c r="X14" s="397">
        <f>SUM('Prod old'!O16:V16)</f>
        <v>2558.4231269141392</v>
      </c>
      <c r="Y14" s="93">
        <v>200</v>
      </c>
      <c r="Z14" s="93" t="s">
        <v>35</v>
      </c>
      <c r="AC14" s="151"/>
      <c r="AD14" s="151"/>
      <c r="AE14" s="151"/>
      <c r="AF14" s="151"/>
      <c r="AG14" s="151"/>
      <c r="AH14" s="151"/>
      <c r="AI14" s="151"/>
      <c r="AJ14" s="151"/>
      <c r="AK14" s="151"/>
      <c r="AL14" s="151"/>
      <c r="AM14" s="151"/>
      <c r="AN14" s="151"/>
      <c r="AO14" s="151"/>
      <c r="AP14" s="151"/>
      <c r="AQ14" s="151"/>
      <c r="AR14" s="151"/>
      <c r="AS14" s="151"/>
    </row>
    <row r="15" spans="1:47" x14ac:dyDescent="0.15">
      <c r="A15" s="93" t="s">
        <v>195</v>
      </c>
      <c r="B15" s="150"/>
      <c r="C15" s="150"/>
      <c r="D15" s="397">
        <f>'Prod old'!B17*8</f>
        <v>760</v>
      </c>
      <c r="E15" s="397">
        <f>'Prod old'!B17*7+'Prod old'!C17</f>
        <v>761.42499999999995</v>
      </c>
      <c r="F15" s="397">
        <f>'Prod old'!B17*6+'Prod old'!C17+'Prod old'!D17</f>
        <v>764.2963749999999</v>
      </c>
      <c r="G15" s="397">
        <f>'Prod old'!B17*5+'Prod old'!C17++'Prod old'!D17+'Prod old'!E17</f>
        <v>768.63582062499984</v>
      </c>
      <c r="H15" s="397">
        <f>'Prod old'!B17*4+'Prod old'!C17++'Prod old'!D17+'Prod old'!E17+'Prod old'!F17</f>
        <v>774.46535793437488</v>
      </c>
      <c r="I15" s="376">
        <f>'Prod old'!B17*3+'Prod old'!C17++'Prod old'!D17+'Prod old'!E17+'Prod old'!F17+'Prod old'!G17</f>
        <v>781.80733830339045</v>
      </c>
      <c r="J15" s="153">
        <f>'Prod old'!B17*2+'Prod old'!C17++'Prod old'!D17+'Prod old'!E17+'Prod old'!F17+'Prod old'!G17+'Prod old'!H17</f>
        <v>790.68444837794118</v>
      </c>
      <c r="K15" s="153">
        <f>SUM('Prod old'!B17:I17)</f>
        <v>801.11971510361025</v>
      </c>
      <c r="L15" s="153">
        <f>SUM('Prod old'!C17:J17)</f>
        <v>813.1365108301643</v>
      </c>
      <c r="M15" s="153">
        <f>SUM('Prod old'!D17:K17)</f>
        <v>825.33355849261659</v>
      </c>
      <c r="N15" s="153">
        <f>SUM('Prod old'!E17:L17)</f>
        <v>837.71356187000583</v>
      </c>
      <c r="O15" s="153">
        <f>SUM('Prod old'!F17:M17)</f>
        <v>850.27926529805575</v>
      </c>
      <c r="P15" s="153">
        <f>SUM('Prod old'!G17:N17)</f>
        <v>863.03345427752652</v>
      </c>
      <c r="Q15" s="153">
        <f>SUM('Prod old'!H17:O17)</f>
        <v>875.97895609168927</v>
      </c>
      <c r="R15" s="153">
        <f>SUM('Prod old'!I17:P17)</f>
        <v>889.11864043306457</v>
      </c>
      <c r="S15" s="384">
        <f>SUM('Prod old'!J17:Q17)</f>
        <v>902.45542003956052</v>
      </c>
      <c r="T15" s="397">
        <f>SUM('Prod old'!K17:R17)</f>
        <v>915.99225134015387</v>
      </c>
      <c r="U15" s="397">
        <f>SUM('Prod old'!L17:S17)</f>
        <v>929.73213511025608</v>
      </c>
      <c r="V15" s="397">
        <f>SUM('Prod old'!M17:T17)</f>
        <v>943.67811713690992</v>
      </c>
      <c r="W15" s="397">
        <f>SUM('Prod old'!N17:U17)</f>
        <v>957.83328889396353</v>
      </c>
      <c r="X15" s="397">
        <f>SUM('Prod old'!O17:V17)</f>
        <v>972.20078822737287</v>
      </c>
      <c r="Y15" s="93">
        <v>100</v>
      </c>
      <c r="Z15" s="93">
        <v>0.38</v>
      </c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1"/>
      <c r="AN15" s="151"/>
      <c r="AO15" s="151"/>
      <c r="AP15" s="151"/>
      <c r="AQ15" s="151"/>
      <c r="AR15" s="151"/>
      <c r="AS15" s="151"/>
    </row>
    <row r="16" spans="1:47" x14ac:dyDescent="0.15">
      <c r="A16" s="93" t="s">
        <v>194</v>
      </c>
      <c r="B16" s="150"/>
      <c r="C16" s="150"/>
      <c r="D16" s="397">
        <f>'Prod old'!B18*8</f>
        <v>400</v>
      </c>
      <c r="E16" s="397">
        <f>'Prod old'!B18*7+'Prod old'!C18</f>
        <v>400.75</v>
      </c>
      <c r="F16" s="397">
        <f>'Prod old'!B18*6+'Prod old'!C18+'Prod old'!D18</f>
        <v>402.26125000000002</v>
      </c>
      <c r="G16" s="397">
        <f>'Prod old'!B18*5+'Prod old'!C18++'Prod old'!D18+'Prod old'!E18</f>
        <v>404.54516875000002</v>
      </c>
      <c r="H16" s="397">
        <f>'Prod old'!B18*4+'Prod old'!C18++'Prod old'!D18+'Prod old'!E18+'Prod old'!F18</f>
        <v>407.61334628124996</v>
      </c>
      <c r="I16" s="376">
        <f>'Prod old'!B18*3+'Prod old'!C18++'Prod old'!D18+'Prod old'!E18+'Prod old'!F18+'Prod old'!G18</f>
        <v>411.47754647546867</v>
      </c>
      <c r="J16" s="153">
        <f>'Prod old'!B18*2+'Prod old'!C18++'Prod old'!D18+'Prod old'!E18+'Prod old'!F18+'Prod old'!G18+'Prod old'!H18</f>
        <v>416.14970967260069</v>
      </c>
      <c r="K16" s="153">
        <f>SUM('Prod old'!B18:I18)</f>
        <v>421.64195531768968</v>
      </c>
      <c r="L16" s="153">
        <f>SUM('Prod old'!C18:J18)</f>
        <v>427.96658464745497</v>
      </c>
      <c r="M16" s="153">
        <f>SUM('Prod old'!D18:K18)</f>
        <v>434.38608341716667</v>
      </c>
      <c r="N16" s="153">
        <f>SUM('Prod old'!E18:L18)</f>
        <v>440.90187466842411</v>
      </c>
      <c r="O16" s="153">
        <f>SUM('Prod old'!F18:M18)</f>
        <v>447.5154027884505</v>
      </c>
      <c r="P16" s="153">
        <f>SUM('Prod old'!G18:N18)</f>
        <v>454.2281338302771</v>
      </c>
      <c r="Q16" s="153">
        <f>SUM('Prod old'!H18:O18)</f>
        <v>461.04155583773121</v>
      </c>
      <c r="R16" s="153">
        <f>SUM('Prod old'!I18:P18)</f>
        <v>467.95717917529714</v>
      </c>
      <c r="S16" s="384">
        <f>SUM('Prod old'!J18:Q18)</f>
        <v>474.97653686292659</v>
      </c>
      <c r="T16" s="397">
        <f>SUM('Prod old'!K18:R18)</f>
        <v>482.10118491587053</v>
      </c>
      <c r="U16" s="397">
        <f>SUM('Prod old'!L18:S18)</f>
        <v>489.33270268960848</v>
      </c>
      <c r="V16" s="397">
        <f>SUM('Prod old'!M18:T18)</f>
        <v>496.67269322995253</v>
      </c>
      <c r="W16" s="397">
        <f>SUM('Prod old'!N18:U18)</f>
        <v>504.12278362840186</v>
      </c>
      <c r="X16" s="397">
        <f>SUM('Prod old'!O18:V18)</f>
        <v>511.6846253828279</v>
      </c>
      <c r="Y16" s="93">
        <v>102</v>
      </c>
      <c r="Z16" s="93">
        <v>0.2</v>
      </c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1"/>
      <c r="AN16" s="151"/>
      <c r="AO16" s="151"/>
      <c r="AP16" s="151"/>
      <c r="AQ16" s="151"/>
      <c r="AR16" s="151"/>
      <c r="AS16" s="151"/>
    </row>
    <row r="17" spans="1:45" x14ac:dyDescent="0.15">
      <c r="A17" s="93" t="s">
        <v>68</v>
      </c>
      <c r="B17" s="150"/>
      <c r="C17" s="150"/>
      <c r="D17" s="397">
        <f>'Prod old'!B19*8</f>
        <v>600</v>
      </c>
      <c r="E17" s="397">
        <f>'Prod old'!B19*7+'Prod old'!C19</f>
        <v>601.125</v>
      </c>
      <c r="F17" s="397">
        <f>'Prod old'!B19*6+'Prod old'!C19+'Prod old'!D19</f>
        <v>603.39187500000003</v>
      </c>
      <c r="G17" s="397">
        <f>'Prod old'!B19*5+'Prod old'!C19++'Prod old'!D19+'Prod old'!E19</f>
        <v>606.81775312499997</v>
      </c>
      <c r="H17" s="397">
        <f>'Prod old'!B19*4+'Prod old'!C19++'Prod old'!D19+'Prod old'!E19+'Prod old'!F19</f>
        <v>611.42001942187494</v>
      </c>
      <c r="I17" s="376">
        <f>'Prod old'!B19*3+'Prod old'!C19++'Prod old'!D19+'Prod old'!E19+'Prod old'!F19+'Prod old'!G19</f>
        <v>617.21631971320289</v>
      </c>
      <c r="J17" s="153">
        <f>'Prod old'!B19*2+'Prod old'!C19++'Prod old'!D19+'Prod old'!E19+'Prod old'!F19+'Prod old'!G19+'Prod old'!H19</f>
        <v>624.22456450890081</v>
      </c>
      <c r="K17" s="153">
        <f>SUM('Prod old'!B19:I19)</f>
        <v>632.46293297653426</v>
      </c>
      <c r="L17" s="153">
        <f>SUM('Prod old'!C19:J19)</f>
        <v>641.94987697118222</v>
      </c>
      <c r="M17" s="153">
        <f>SUM('Prod old'!D19:K19)</f>
        <v>651.5791251257499</v>
      </c>
      <c r="N17" s="153">
        <f>SUM('Prod old'!E19:L19)</f>
        <v>661.35281200263614</v>
      </c>
      <c r="O17" s="153">
        <f>SUM('Prod old'!F19:M19)</f>
        <v>671.27310418267564</v>
      </c>
      <c r="P17" s="153">
        <f>SUM('Prod old'!G19:N19)</f>
        <v>681.34220074541565</v>
      </c>
      <c r="Q17" s="153">
        <f>SUM('Prod old'!H19:O19)</f>
        <v>691.56233375659679</v>
      </c>
      <c r="R17" s="153">
        <f>SUM('Prod old'!I19:P19)</f>
        <v>701.9357687629456</v>
      </c>
      <c r="S17" s="384">
        <f>SUM('Prod old'!J19:Q19)</f>
        <v>712.46480529438986</v>
      </c>
      <c r="T17" s="397">
        <f>SUM('Prod old'!K19:R19)</f>
        <v>723.15177737380577</v>
      </c>
      <c r="U17" s="397">
        <f>SUM('Prod old'!L19:S19)</f>
        <v>733.99905403441278</v>
      </c>
      <c r="V17" s="397">
        <f>SUM('Prod old'!M19:T19)</f>
        <v>745.00903984492891</v>
      </c>
      <c r="W17" s="397">
        <f>SUM('Prod old'!N19:U19)</f>
        <v>756.18417544260274</v>
      </c>
      <c r="X17" s="397">
        <f>SUM('Prod old'!O19:V19)</f>
        <v>767.52693807424168</v>
      </c>
      <c r="Y17" s="93">
        <v>65</v>
      </c>
      <c r="Z17" s="93">
        <v>0.3</v>
      </c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1"/>
      <c r="AO17" s="151"/>
      <c r="AP17" s="151"/>
      <c r="AQ17" s="151"/>
      <c r="AR17" s="151"/>
      <c r="AS17" s="151"/>
    </row>
    <row r="18" spans="1:45" x14ac:dyDescent="0.15">
      <c r="A18" s="93" t="s">
        <v>69</v>
      </c>
      <c r="B18" s="150"/>
      <c r="C18" s="150"/>
      <c r="D18" s="397">
        <f>'Prod old'!B20*8</f>
        <v>700</v>
      </c>
      <c r="E18" s="397">
        <f>'Prod old'!B20*7+'Prod old'!C20</f>
        <v>701.3125</v>
      </c>
      <c r="F18" s="397">
        <f>'Prod old'!B20*6+'Prod old'!C20+'Prod old'!D20</f>
        <v>703.95718749999992</v>
      </c>
      <c r="G18" s="397">
        <f>'Prod old'!B20*5+'Prod old'!C20++'Prod old'!D20+'Prod old'!E20</f>
        <v>707.95404531249983</v>
      </c>
      <c r="H18" s="397">
        <f>'Prod old'!B20*4+'Prod old'!C20++'Prod old'!D20+'Prod old'!E20+'Prod old'!F20</f>
        <v>713.32335599218732</v>
      </c>
      <c r="I18" s="376">
        <f>'Prod old'!B20*3+'Prod old'!C20++'Prod old'!D20+'Prod old'!E20+'Prod old'!F20+'Prod old'!G20</f>
        <v>720.08570633207</v>
      </c>
      <c r="J18" s="153">
        <f>'Prod old'!B20*2+'Prod old'!C20++'Prod old'!D20+'Prod old'!E20+'Prod old'!F20+'Prod old'!G20+'Prod old'!H20</f>
        <v>728.26199192705099</v>
      </c>
      <c r="K18" s="153">
        <f>SUM('Prod old'!B20:I20)</f>
        <v>737.87342180595681</v>
      </c>
      <c r="L18" s="153">
        <f>SUM('Prod old'!C20:J20)</f>
        <v>748.94152313304596</v>
      </c>
      <c r="M18" s="153">
        <f>SUM('Prod old'!D20:K20)</f>
        <v>760.17564598004151</v>
      </c>
      <c r="N18" s="153">
        <f>SUM('Prod old'!E20:L20)</f>
        <v>771.57828066974207</v>
      </c>
      <c r="O18" s="153">
        <f>SUM('Prod old'!F20:M20)</f>
        <v>783.15195487978815</v>
      </c>
      <c r="P18" s="153">
        <f>SUM('Prod old'!G20:N20)</f>
        <v>794.89923420298499</v>
      </c>
      <c r="Q18" s="153">
        <f>SUM('Prod old'!H20:O20)</f>
        <v>806.8227227160296</v>
      </c>
      <c r="R18" s="153">
        <f>SUM('Prod old'!I20:P20)</f>
        <v>818.92506355676994</v>
      </c>
      <c r="S18" s="384">
        <f>SUM('Prod old'!J20:Q20)</f>
        <v>831.20893951012135</v>
      </c>
      <c r="T18" s="397">
        <f>SUM('Prod old'!K20:R20)</f>
        <v>843.67707360277313</v>
      </c>
      <c r="U18" s="397">
        <f>SUM('Prod old'!L20:S20)</f>
        <v>856.3322297068147</v>
      </c>
      <c r="V18" s="397">
        <f>SUM('Prod old'!M20:T20)</f>
        <v>869.17721315241693</v>
      </c>
      <c r="W18" s="397">
        <f>SUM('Prod old'!N20:U20)</f>
        <v>882.21487134970312</v>
      </c>
      <c r="X18" s="397">
        <f>SUM('Prod old'!O20:V20)</f>
        <v>895.44809441994869</v>
      </c>
      <c r="Y18" s="93">
        <v>28</v>
      </c>
      <c r="Z18" s="93">
        <v>0.35</v>
      </c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1"/>
      <c r="AN18" s="151"/>
      <c r="AO18" s="151"/>
      <c r="AP18" s="151"/>
      <c r="AQ18" s="151"/>
      <c r="AR18" s="151"/>
      <c r="AS18" s="151"/>
    </row>
    <row r="19" spans="1:45" x14ac:dyDescent="0.15">
      <c r="D19" s="399"/>
      <c r="E19" s="399"/>
      <c r="F19" s="399"/>
      <c r="G19" s="399"/>
      <c r="H19" s="399"/>
      <c r="I19" s="341">
        <f>SUM(I3:I18)</f>
        <v>11405.417416534809</v>
      </c>
      <c r="J19" s="341">
        <f t="shared" ref="J19:R19" si="8">SUM(J3:J18)</f>
        <v>12409.059428810828</v>
      </c>
      <c r="K19" s="341">
        <f t="shared" si="8"/>
        <v>13261.617897847549</v>
      </c>
      <c r="L19" s="341">
        <f t="shared" si="8"/>
        <v>14326.740109647091</v>
      </c>
      <c r="M19" s="341">
        <f t="shared" si="8"/>
        <v>15709.439224552172</v>
      </c>
      <c r="N19" s="341">
        <f t="shared" si="8"/>
        <v>17484.049970605869</v>
      </c>
      <c r="O19" s="341">
        <f t="shared" si="8"/>
        <v>19671.585425370879</v>
      </c>
      <c r="P19" s="341">
        <f t="shared" si="8"/>
        <v>22793.702299141249</v>
      </c>
      <c r="Q19" s="341">
        <f t="shared" si="8"/>
        <v>27573.888687999104</v>
      </c>
      <c r="R19" s="341">
        <f t="shared" si="8"/>
        <v>35486.068048794179</v>
      </c>
      <c r="S19" s="633">
        <f>SUM(S3:S18)</f>
        <v>48595.492617201984</v>
      </c>
      <c r="T19" s="399"/>
      <c r="U19" s="399"/>
      <c r="V19" s="399"/>
      <c r="W19" s="399"/>
      <c r="X19" s="399"/>
    </row>
    <row r="20" spans="1:45" x14ac:dyDescent="0.15">
      <c r="B20" s="94" t="s">
        <v>9</v>
      </c>
      <c r="D20" s="399"/>
      <c r="E20" s="399"/>
      <c r="F20" s="399"/>
      <c r="G20" s="399"/>
      <c r="H20" s="399"/>
      <c r="I20" s="387"/>
      <c r="S20" s="388"/>
      <c r="T20" s="399"/>
      <c r="U20" s="399"/>
      <c r="V20" s="399"/>
      <c r="W20" s="399"/>
      <c r="X20" s="399"/>
    </row>
    <row r="21" spans="1:45" x14ac:dyDescent="0.15">
      <c r="A21" s="93" t="s">
        <v>1</v>
      </c>
      <c r="D21" s="400">
        <f>D3*$Y3/1000</f>
        <v>96.36</v>
      </c>
      <c r="E21" s="400">
        <f>E3*$Y3/1000*AB3</f>
        <v>91.96</v>
      </c>
      <c r="F21" s="400">
        <f t="shared" ref="F21:X21" si="9">F3*$Y3/1000*AC3</f>
        <v>88.354749999999996</v>
      </c>
      <c r="G21" s="400">
        <f t="shared" si="9"/>
        <v>84.310485049999983</v>
      </c>
      <c r="H21" s="400">
        <f t="shared" si="9"/>
        <v>79.561042176549989</v>
      </c>
      <c r="I21" s="341">
        <f>I3*$Y3/1000*AF3</f>
        <v>74.071330266368051</v>
      </c>
      <c r="J21" s="150">
        <f t="shared" si="9"/>
        <v>68.041061446177608</v>
      </c>
      <c r="K21" s="150">
        <f t="shared" si="9"/>
        <v>61.651871626763608</v>
      </c>
      <c r="L21" s="150">
        <f t="shared" si="9"/>
        <v>55.055121362699907</v>
      </c>
      <c r="M21" s="150">
        <f t="shared" si="9"/>
        <v>49.164223376891002</v>
      </c>
      <c r="N21" s="150">
        <f t="shared" si="9"/>
        <v>43.903651475563656</v>
      </c>
      <c r="O21" s="150">
        <f t="shared" si="9"/>
        <v>39.205960767678341</v>
      </c>
      <c r="P21" s="150">
        <f t="shared" si="9"/>
        <v>35.010922965536757</v>
      </c>
      <c r="Q21" s="150">
        <f>Q3*$Y3/1000*AN3</f>
        <v>31.264754208224321</v>
      </c>
      <c r="R21" s="150">
        <f t="shared" si="9"/>
        <v>27.919425507944315</v>
      </c>
      <c r="S21" s="389">
        <f>S3*$Y3/1000*AP3</f>
        <v>24.932046978594276</v>
      </c>
      <c r="T21" s="400">
        <f t="shared" si="9"/>
        <v>22.264317951884689</v>
      </c>
      <c r="U21" s="400">
        <f t="shared" si="9"/>
        <v>19.882035931033023</v>
      </c>
      <c r="V21" s="400">
        <f t="shared" si="9"/>
        <v>17.754658086412487</v>
      </c>
      <c r="W21" s="400">
        <f t="shared" si="9"/>
        <v>15.85490967116635</v>
      </c>
      <c r="X21" s="400">
        <f t="shared" si="9"/>
        <v>14.158434336351549</v>
      </c>
      <c r="Y21" s="154"/>
    </row>
    <row r="22" spans="1:45" x14ac:dyDescent="0.15">
      <c r="A22" s="93" t="s">
        <v>2</v>
      </c>
      <c r="D22" s="400">
        <f>D4*$Y4/1000</f>
        <v>47.142000000000003</v>
      </c>
      <c r="E22" s="400">
        <f>E4*$Y4/1000*AB3</f>
        <v>45.061349999999997</v>
      </c>
      <c r="F22" s="400">
        <f t="shared" ref="F22:W22" si="10">F4*$Y4/1000*AC3</f>
        <v>43.421080000000003</v>
      </c>
      <c r="G22" s="400">
        <f t="shared" si="10"/>
        <v>41.551084657499999</v>
      </c>
      <c r="H22" s="400">
        <f t="shared" si="10"/>
        <v>39.260811691757496</v>
      </c>
      <c r="I22" s="341">
        <f t="shared" si="10"/>
        <v>36.551815685026227</v>
      </c>
      <c r="J22" s="150">
        <f t="shared" si="10"/>
        <v>33.576072254280241</v>
      </c>
      <c r="K22" s="150">
        <f t="shared" si="10"/>
        <v>30.423212871087777</v>
      </c>
      <c r="L22" s="150">
        <f t="shared" si="10"/>
        <v>27.167929093881387</v>
      </c>
      <c r="M22" s="150">
        <f t="shared" si="10"/>
        <v>24.260960680836074</v>
      </c>
      <c r="N22" s="150">
        <f t="shared" si="10"/>
        <v>21.66503788798661</v>
      </c>
      <c r="O22" s="150">
        <f t="shared" si="10"/>
        <v>19.346878833972042</v>
      </c>
      <c r="P22" s="150">
        <f t="shared" si="10"/>
        <v>17.276762798737032</v>
      </c>
      <c r="Q22" s="150">
        <f t="shared" si="10"/>
        <v>15.428149179272166</v>
      </c>
      <c r="R22" s="150">
        <f t="shared" si="10"/>
        <v>13.777337217090045</v>
      </c>
      <c r="S22" s="389">
        <f t="shared" si="10"/>
        <v>12.30316213486141</v>
      </c>
      <c r="T22" s="400">
        <f t="shared" si="10"/>
        <v>10.986723786431236</v>
      </c>
      <c r="U22" s="400">
        <f t="shared" si="10"/>
        <v>9.8111443412830948</v>
      </c>
      <c r="V22" s="400">
        <f t="shared" si="10"/>
        <v>8.7613518967658006</v>
      </c>
      <c r="W22" s="400">
        <f t="shared" si="10"/>
        <v>7.8238872438118632</v>
      </c>
      <c r="X22" s="400">
        <f>X4*$Y4/1000*AU3</f>
        <v>6.9867313087239937</v>
      </c>
      <c r="Y22" s="154"/>
    </row>
    <row r="23" spans="1:45" x14ac:dyDescent="0.15">
      <c r="A23" s="93" t="s">
        <v>3</v>
      </c>
      <c r="D23" s="400">
        <f>D5*$Y5/1000</f>
        <v>48.24</v>
      </c>
      <c r="E23" s="400">
        <f>E5*$Y5/1000*AB3</f>
        <v>46.891999999999996</v>
      </c>
      <c r="F23" s="400">
        <f t="shared" ref="F23:X23" si="11">F5*$Y5/1000*AC3</f>
        <v>47.796399999999998</v>
      </c>
      <c r="G23" s="400">
        <f t="shared" si="11"/>
        <v>51.099549999999994</v>
      </c>
      <c r="H23" s="400">
        <f t="shared" si="11"/>
        <v>56.168350999999987</v>
      </c>
      <c r="I23" s="341">
        <f>I5*$Y5/1000*AF3</f>
        <v>61.902474999999988</v>
      </c>
      <c r="J23" s="150">
        <f t="shared" si="11"/>
        <v>68.157720098749977</v>
      </c>
      <c r="K23" s="150">
        <f t="shared" si="11"/>
        <v>74.753661347292123</v>
      </c>
      <c r="L23" s="150">
        <f t="shared" si="11"/>
        <v>81.927287442728883</v>
      </c>
      <c r="M23" s="150">
        <f t="shared" si="11"/>
        <v>89.789320104876154</v>
      </c>
      <c r="N23" s="150">
        <f t="shared" si="11"/>
        <v>98.405821265982098</v>
      </c>
      <c r="O23" s="150">
        <f t="shared" si="11"/>
        <v>96.650098102343932</v>
      </c>
      <c r="P23" s="150">
        <f t="shared" si="11"/>
        <v>86.348966994618664</v>
      </c>
      <c r="Q23" s="150">
        <f t="shared" si="11"/>
        <v>68.906475661705684</v>
      </c>
      <c r="R23" s="150">
        <f t="shared" si="11"/>
        <v>54.987367578041109</v>
      </c>
      <c r="S23" s="389">
        <f t="shared" si="11"/>
        <v>43.879919327276788</v>
      </c>
      <c r="T23" s="400">
        <f t="shared" si="11"/>
        <v>35.016175623166866</v>
      </c>
      <c r="U23" s="400">
        <f t="shared" si="11"/>
        <v>27.942908147287152</v>
      </c>
      <c r="V23" s="400">
        <f t="shared" si="11"/>
        <v>22.298440701535139</v>
      </c>
      <c r="W23" s="400">
        <f t="shared" si="11"/>
        <v>17.794155679825039</v>
      </c>
      <c r="X23" s="400">
        <f t="shared" si="11"/>
        <v>14.199736232500378</v>
      </c>
      <c r="Y23" s="154"/>
    </row>
    <row r="24" spans="1:45" x14ac:dyDescent="0.15">
      <c r="A24" s="93" t="s">
        <v>4</v>
      </c>
      <c r="D24" s="405">
        <f>D6*$Y$6/1000</f>
        <v>3.5</v>
      </c>
      <c r="E24" s="400">
        <f>E6*$Y$6/1000*AB3</f>
        <v>3.8474999999999997</v>
      </c>
      <c r="F24" s="400">
        <f t="shared" ref="F24:W24" si="12">F6*$Y$6/1000*AC3</f>
        <v>5.2344999999999997</v>
      </c>
      <c r="G24" s="400">
        <f t="shared" si="12"/>
        <v>6.8589999999999991</v>
      </c>
      <c r="H24" s="400">
        <f t="shared" si="12"/>
        <v>8.4505023437499993</v>
      </c>
      <c r="I24" s="496">
        <f>I6*$Y$6/1000*AF3</f>
        <v>9.9237405234374982</v>
      </c>
      <c r="J24" s="150">
        <f t="shared" si="12"/>
        <v>10.830843916468748</v>
      </c>
      <c r="K24" s="150">
        <f t="shared" si="12"/>
        <v>11.524017927122747</v>
      </c>
      <c r="L24" s="150">
        <f t="shared" si="12"/>
        <v>12.261555074458604</v>
      </c>
      <c r="M24" s="150">
        <f t="shared" si="12"/>
        <v>13.046294599223955</v>
      </c>
      <c r="N24" s="150">
        <f>N6*$Y$6/1000*AK3</f>
        <v>13.881257453574285</v>
      </c>
      <c r="O24" s="150">
        <f t="shared" si="12"/>
        <v>14.769657930603039</v>
      </c>
      <c r="P24" s="150">
        <f t="shared" si="12"/>
        <v>15.714916038161636</v>
      </c>
      <c r="Q24" s="150">
        <f t="shared" si="12"/>
        <v>16.720670664603983</v>
      </c>
      <c r="R24" s="150">
        <f t="shared" si="12"/>
        <v>17.790793587138637</v>
      </c>
      <c r="S24" s="390">
        <f>S6*$Y$6/1000*AP3</f>
        <v>18.92940437671551</v>
      </c>
      <c r="T24" s="400">
        <f t="shared" si="12"/>
        <v>20.140886256825301</v>
      </c>
      <c r="U24" s="400">
        <f t="shared" si="12"/>
        <v>21.42990297726212</v>
      </c>
      <c r="V24" s="400">
        <f t="shared" si="12"/>
        <v>22.801416767806899</v>
      </c>
      <c r="W24" s="400">
        <f t="shared" si="12"/>
        <v>24.260707440946536</v>
      </c>
      <c r="X24" s="400">
        <f>X6*$Y$6/1000*AU3</f>
        <v>25.813392717167119</v>
      </c>
      <c r="Y24" s="154"/>
    </row>
    <row r="25" spans="1:45" x14ac:dyDescent="0.15">
      <c r="A25" s="93" t="s">
        <v>5</v>
      </c>
      <c r="D25" s="405">
        <f>D7*$Y$7/1000</f>
        <v>0.75</v>
      </c>
      <c r="E25" s="400">
        <f>E7*$Y$7/1000*AB3</f>
        <v>1.4249999999999998</v>
      </c>
      <c r="F25" s="400">
        <f t="shared" ref="F25:W25" si="13">F7*$Y$7/1000*AC3</f>
        <v>2.0306250000000001</v>
      </c>
      <c r="G25" s="400">
        <f t="shared" si="13"/>
        <v>2.6621493749999998</v>
      </c>
      <c r="H25" s="400">
        <f t="shared" si="13"/>
        <v>3.1277039999999996</v>
      </c>
      <c r="I25" s="341">
        <f t="shared" si="13"/>
        <v>6.6970740140624985</v>
      </c>
      <c r="J25" s="150">
        <f t="shared" si="13"/>
        <v>7.6098550247226537</v>
      </c>
      <c r="K25" s="150">
        <f t="shared" si="13"/>
        <v>8.3137666145094968</v>
      </c>
      <c r="L25" s="150">
        <f t="shared" si="13"/>
        <v>9.0827900263516259</v>
      </c>
      <c r="M25" s="150">
        <f t="shared" si="13"/>
        <v>9.9229481037891496</v>
      </c>
      <c r="N25" s="150">
        <f t="shared" si="13"/>
        <v>10.080613577825673</v>
      </c>
      <c r="O25" s="150">
        <f t="shared" si="13"/>
        <v>9.5729055530128129</v>
      </c>
      <c r="P25" s="150">
        <f t="shared" si="13"/>
        <v>9.0942602753621724</v>
      </c>
      <c r="Q25" s="150">
        <f t="shared" si="13"/>
        <v>8.6395472615940641</v>
      </c>
      <c r="R25" s="150">
        <f t="shared" si="13"/>
        <v>8.2075698985143593</v>
      </c>
      <c r="S25" s="389">
        <f>S7*$Y$7/1000*AP3</f>
        <v>7.7971914035886414</v>
      </c>
      <c r="T25" s="400">
        <f t="shared" si="13"/>
        <v>3.7036659167046042</v>
      </c>
      <c r="U25" s="400">
        <f t="shared" si="13"/>
        <v>3.5184826208693738</v>
      </c>
      <c r="V25" s="400">
        <f t="shared" si="13"/>
        <v>3.3425584898259046</v>
      </c>
      <c r="W25" s="400">
        <f t="shared" si="13"/>
        <v>3.1754305653346093</v>
      </c>
      <c r="X25" s="400">
        <f>X7*$Y$7/1000*AU3</f>
        <v>3.0166590370678787</v>
      </c>
      <c r="Y25" s="154"/>
    </row>
    <row r="26" spans="1:45" x14ac:dyDescent="0.15">
      <c r="A26" s="40" t="s">
        <v>39</v>
      </c>
      <c r="D26" s="400">
        <f>D8*$Y$8/1000</f>
        <v>1.25</v>
      </c>
      <c r="E26" s="400">
        <f>E8*$Y$8/1000*AB3</f>
        <v>1.1969999999999998</v>
      </c>
      <c r="F26" s="400">
        <f t="shared" ref="F26:X26" si="14">F8*$Y$8/1000*AC3</f>
        <v>0.94762500000000005</v>
      </c>
      <c r="G26" s="400">
        <f t="shared" si="14"/>
        <v>0.77678174999999994</v>
      </c>
      <c r="H26" s="400">
        <f t="shared" si="14"/>
        <v>0.4830022062499999</v>
      </c>
      <c r="I26" s="456">
        <f t="shared" si="14"/>
        <v>1.0500207321874999</v>
      </c>
      <c r="J26" s="269">
        <f t="shared" si="14"/>
        <v>1.0951398986531247</v>
      </c>
      <c r="K26" s="269">
        <f t="shared" si="14"/>
        <v>0.9883637585344448</v>
      </c>
      <c r="L26" s="269">
        <f t="shared" si="14"/>
        <v>0.89199829207733639</v>
      </c>
      <c r="M26" s="269">
        <f t="shared" si="14"/>
        <v>0.80502845859979599</v>
      </c>
      <c r="N26" s="269">
        <f t="shared" si="14"/>
        <v>0.72653818388631575</v>
      </c>
      <c r="O26" s="269">
        <f t="shared" si="14"/>
        <v>0.65570071095739979</v>
      </c>
      <c r="P26" s="269">
        <f t="shared" si="14"/>
        <v>0.59176989163905325</v>
      </c>
      <c r="Q26" s="269">
        <f t="shared" si="14"/>
        <v>0.53407232720424547</v>
      </c>
      <c r="R26" s="269">
        <f t="shared" si="14"/>
        <v>0.48200027530183148</v>
      </c>
      <c r="S26" s="392">
        <f>S8*$Y$8/1000*AP3</f>
        <v>0.43500524845990296</v>
      </c>
      <c r="T26" s="400">
        <f t="shared" si="14"/>
        <v>0.19126288456323551</v>
      </c>
      <c r="U26" s="400">
        <f t="shared" si="14"/>
        <v>0.17261475331832002</v>
      </c>
      <c r="V26" s="400">
        <f t="shared" si="14"/>
        <v>0.15578481486978377</v>
      </c>
      <c r="W26" s="400">
        <f t="shared" si="14"/>
        <v>0.14059579541997985</v>
      </c>
      <c r="X26" s="400">
        <f t="shared" si="14"/>
        <v>0.12688770536653179</v>
      </c>
      <c r="Y26" s="154"/>
      <c r="AC26" s="93">
        <f>0.97^15</f>
        <v>0.63325118913678924</v>
      </c>
    </row>
    <row r="27" spans="1:45" x14ac:dyDescent="0.15">
      <c r="A27" s="40" t="s">
        <v>60</v>
      </c>
      <c r="D27" s="400">
        <f>D9*$Y$9/1000</f>
        <v>0</v>
      </c>
      <c r="E27" s="400">
        <f>E9*$Y$9/1000</f>
        <v>0</v>
      </c>
      <c r="F27" s="400">
        <f t="shared" ref="F27:X27" si="15">F9*$Y$9/1000*AC3</f>
        <v>9.0249999999999997E-2</v>
      </c>
      <c r="G27" s="400">
        <f t="shared" si="15"/>
        <v>0.42868749999999994</v>
      </c>
      <c r="H27" s="400">
        <f t="shared" si="15"/>
        <v>0.81450624999999988</v>
      </c>
      <c r="I27" s="341">
        <f>I9*$Y$9/1000*AF3</f>
        <v>1.8828669479166638</v>
      </c>
      <c r="J27" s="150">
        <f t="shared" si="15"/>
        <v>2.4380547705729114</v>
      </c>
      <c r="K27" s="150">
        <f t="shared" si="15"/>
        <v>2.94465559852864</v>
      </c>
      <c r="L27" s="150">
        <f t="shared" si="15"/>
        <v>3.3945012067623641</v>
      </c>
      <c r="M27" s="150">
        <f t="shared" si="15"/>
        <v>3.7920006151763936</v>
      </c>
      <c r="N27" s="150">
        <f t="shared" si="15"/>
        <v>4.1412638297321145</v>
      </c>
      <c r="O27" s="150">
        <f t="shared" si="15"/>
        <v>4.525373534151508</v>
      </c>
      <c r="P27" s="150">
        <f t="shared" si="15"/>
        <v>4.9869616346349606</v>
      </c>
      <c r="Q27" s="150">
        <f t="shared" si="15"/>
        <v>5.4956317213677268</v>
      </c>
      <c r="R27" s="150">
        <f t="shared" si="15"/>
        <v>6.0561861569472333</v>
      </c>
      <c r="S27" s="389">
        <f>S9*$Y$9/1000*AP3</f>
        <v>6.6739171449558503</v>
      </c>
      <c r="T27" s="400">
        <f t="shared" si="15"/>
        <v>3.949723039231464</v>
      </c>
      <c r="U27" s="400">
        <f t="shared" si="15"/>
        <v>4.3525947892330716</v>
      </c>
      <c r="V27" s="400">
        <f t="shared" si="15"/>
        <v>4.796559457734844</v>
      </c>
      <c r="W27" s="400">
        <f t="shared" si="15"/>
        <v>5.2858085224237978</v>
      </c>
      <c r="X27" s="400">
        <f t="shared" si="15"/>
        <v>5.8249609917110243</v>
      </c>
      <c r="Y27" s="154"/>
    </row>
    <row r="28" spans="1:45" x14ac:dyDescent="0.15">
      <c r="A28" s="95" t="s">
        <v>278</v>
      </c>
      <c r="D28" s="400"/>
      <c r="E28" s="400"/>
      <c r="F28" s="400"/>
      <c r="G28" s="400"/>
      <c r="H28" s="400"/>
      <c r="I28" s="391">
        <f>I10*Y10/1000*AF4</f>
        <v>4.2936701285E-3</v>
      </c>
      <c r="J28" s="270">
        <f>J10*$Y$10/1000*AG4</f>
        <v>7.1080277753941346E-3</v>
      </c>
      <c r="K28" s="270">
        <f t="shared" ref="K28:Q28" si="16">K10*$Y$10/1000*AH4</f>
        <v>1.1729217630072737E-2</v>
      </c>
      <c r="L28" s="270">
        <f t="shared" si="16"/>
        <v>1.9319273810139207E-2</v>
      </c>
      <c r="M28" s="270">
        <f t="shared" si="16"/>
        <v>3.1853681357626284E-2</v>
      </c>
      <c r="N28" s="270">
        <f t="shared" si="16"/>
        <v>5.2467726628574136E-2</v>
      </c>
      <c r="O28" s="270">
        <f t="shared" si="16"/>
        <v>8.6444174563194504E-2</v>
      </c>
      <c r="P28" s="270">
        <f t="shared" si="16"/>
        <v>0.14244583671236338</v>
      </c>
      <c r="Q28" s="270">
        <f t="shared" si="16"/>
        <v>0.23468454634073593</v>
      </c>
      <c r="R28" s="270">
        <f>R10*$Y$10/1000*AO4</f>
        <v>0.38670756895379088</v>
      </c>
      <c r="S28" s="634">
        <f>S10*$Y$10/1000*AP4</f>
        <v>0.63717734650943736</v>
      </c>
      <c r="T28" s="401">
        <f t="shared" ref="T28" si="17">T10*$Y$10/1000*AL4</f>
        <v>1.2225728207086539</v>
      </c>
      <c r="U28" s="401">
        <f t="shared" ref="U28" si="18">U10*$Y$10/1000*AM4</f>
        <v>2.0144097632834916</v>
      </c>
      <c r="V28" s="401">
        <f t="shared" ref="V28" si="19">V10*$Y$10/1000*AN4</f>
        <v>3.3191042902947543</v>
      </c>
      <c r="W28" s="401">
        <f t="shared" ref="W28" si="20">W10*$Y$10/1000*AO4</f>
        <v>5.4688244123162919</v>
      </c>
      <c r="X28" s="401">
        <f t="shared" ref="X28" si="21">X10*$Y$10/1000*AP4</f>
        <v>9.0108769827448381</v>
      </c>
      <c r="Y28" s="154"/>
    </row>
    <row r="29" spans="1:45" x14ac:dyDescent="0.15">
      <c r="A29" s="95" t="s">
        <v>280</v>
      </c>
      <c r="D29" s="400"/>
      <c r="E29" s="400"/>
      <c r="F29" s="400"/>
      <c r="G29" s="400"/>
      <c r="H29" s="400"/>
      <c r="I29" s="391">
        <f>I11*$Y$11/1000*AF4</f>
        <v>2.14683506425E-3</v>
      </c>
      <c r="J29" s="270">
        <f>J11*$Y$11/1000*AG4</f>
        <v>3.5002387213498923E-3</v>
      </c>
      <c r="K29" s="270">
        <f t="shared" ref="K29:Q29" si="22">K11*$Y$11/1000*AH4</f>
        <v>5.7068525246569283E-3</v>
      </c>
      <c r="L29" s="270">
        <f t="shared" si="22"/>
        <v>9.304555583461176E-3</v>
      </c>
      <c r="M29" s="270">
        <f t="shared" si="22"/>
        <v>1.5170315726867861E-2</v>
      </c>
      <c r="N29" s="270">
        <f t="shared" si="22"/>
        <v>2.4733957166307323E-2</v>
      </c>
      <c r="O29" s="270">
        <f t="shared" si="22"/>
        <v>4.0326691159184858E-2</v>
      </c>
      <c r="P29" s="270">
        <f t="shared" si="22"/>
        <v>6.5749366707222687E-2</v>
      </c>
      <c r="Q29" s="270">
        <f t="shared" si="22"/>
        <v>0.10719895677372569</v>
      </c>
      <c r="R29" s="270">
        <f>R11*$Y$11/1000*AO4</f>
        <v>0.17477911817077216</v>
      </c>
      <c r="S29" s="634">
        <f>S11*$Y$11/1000*AP4</f>
        <v>0.28496303572275011</v>
      </c>
      <c r="T29" s="402">
        <f t="shared" ref="T29" si="23">T11*$Y$11/1000*AL4</f>
        <v>0.54103933701767937</v>
      </c>
      <c r="U29" s="402">
        <f t="shared" ref="U29" si="24">U11*$Y$11/1000*AM4</f>
        <v>0.88212032155546416</v>
      </c>
      <c r="V29" s="402">
        <f t="shared" ref="V29" si="25">V11*$Y$11/1000*AN4</f>
        <v>1.4382249283210413</v>
      </c>
      <c r="W29" s="402">
        <f t="shared" ref="W29" si="26">W11*$Y$11/1000*AO4</f>
        <v>2.3449079381785967</v>
      </c>
      <c r="X29" s="402">
        <f t="shared" ref="X29" si="27">X11*$Y$11/1000*AP4</f>
        <v>3.8231803178046415</v>
      </c>
      <c r="Y29" s="154"/>
    </row>
    <row r="30" spans="1:45" x14ac:dyDescent="0.15">
      <c r="A30" s="95" t="s">
        <v>279</v>
      </c>
      <c r="D30" s="400"/>
      <c r="E30" s="400"/>
      <c r="F30" s="400"/>
      <c r="G30" s="400"/>
      <c r="H30" s="400"/>
      <c r="I30" s="391">
        <f>I12*$Y$12/1000*AF4</f>
        <v>1.5457212462599995E-3</v>
      </c>
      <c r="J30" s="270">
        <f>J12*$Y$12/1000*AG4</f>
        <v>2.6211977351569154E-3</v>
      </c>
      <c r="K30" s="270">
        <f t="shared" ref="K30:Q30" si="28">K12*$Y$12/1000*AH4</f>
        <v>4.4449654705956279E-3</v>
      </c>
      <c r="L30" s="270">
        <f t="shared" si="28"/>
        <v>7.5376679026485727E-3</v>
      </c>
      <c r="M30" s="270">
        <f t="shared" si="28"/>
        <v>1.2782199948789501E-2</v>
      </c>
      <c r="N30" s="270">
        <f>N12*$Y$12/1000*AK4</f>
        <v>2.167575404501762E-2</v>
      </c>
      <c r="O30" s="270">
        <f t="shared" si="28"/>
        <v>3.6757233911412286E-2</v>
      </c>
      <c r="P30" s="270">
        <f t="shared" si="28"/>
        <v>6.2332052763296557E-2</v>
      </c>
      <c r="Q30" s="270">
        <f t="shared" si="28"/>
        <v>0.10570122907099638</v>
      </c>
      <c r="R30" s="270">
        <f>R12*$Y$12/1000*AO4</f>
        <v>0.17924565824179281</v>
      </c>
      <c r="S30" s="634">
        <f t="shared" ref="S30" si="29">S12*$Y$12/1000*AP4</f>
        <v>0.3039605715176073</v>
      </c>
      <c r="T30" s="402">
        <f t="shared" ref="T30:X30" si="30">T12*$Y$12/1000</f>
        <v>0.83914712650069778</v>
      </c>
      <c r="U30" s="402">
        <f t="shared" si="30"/>
        <v>1.4670164546223237</v>
      </c>
      <c r="V30" s="402">
        <f t="shared" si="30"/>
        <v>2.5646721655440983</v>
      </c>
      <c r="W30" s="402">
        <f t="shared" si="30"/>
        <v>4.4836193186463014</v>
      </c>
      <c r="X30" s="402">
        <f t="shared" si="30"/>
        <v>7.8383672052187929</v>
      </c>
      <c r="Y30" s="154"/>
    </row>
    <row r="31" spans="1:45" x14ac:dyDescent="0.15">
      <c r="D31" s="403">
        <f>SUM(D21:D30)</f>
        <v>197.24200000000002</v>
      </c>
      <c r="E31" s="403">
        <f t="shared" ref="E31:X31" si="31">SUM(E21:E30)</f>
        <v>190.38284999999999</v>
      </c>
      <c r="F31" s="403">
        <f t="shared" si="31"/>
        <v>187.87522999999996</v>
      </c>
      <c r="G31" s="403">
        <f t="shared" si="31"/>
        <v>187.68773833249998</v>
      </c>
      <c r="H31" s="403">
        <f t="shared" si="31"/>
        <v>187.86591966830747</v>
      </c>
      <c r="I31" s="393">
        <f>SUM(I21:I30)</f>
        <v>192.08730939543744</v>
      </c>
      <c r="J31" s="155">
        <f t="shared" si="31"/>
        <v>191.76197687385718</v>
      </c>
      <c r="K31" s="155">
        <f t="shared" si="31"/>
        <v>190.62143077946411</v>
      </c>
      <c r="L31" s="155">
        <f t="shared" si="31"/>
        <v>189.81734399625637</v>
      </c>
      <c r="M31" s="155">
        <f t="shared" si="31"/>
        <v>190.84058213642581</v>
      </c>
      <c r="N31" s="155">
        <f t="shared" si="31"/>
        <v>192.90306111239062</v>
      </c>
      <c r="O31" s="155">
        <f t="shared" si="31"/>
        <v>184.89010353235284</v>
      </c>
      <c r="P31" s="155">
        <f t="shared" si="31"/>
        <v>169.29508785487317</v>
      </c>
      <c r="Q31" s="155">
        <f t="shared" si="31"/>
        <v>147.43688575615764</v>
      </c>
      <c r="R31" s="155">
        <f t="shared" si="31"/>
        <v>129.96141256634388</v>
      </c>
      <c r="S31" s="394">
        <f t="shared" si="31"/>
        <v>116.17674756820216</v>
      </c>
      <c r="T31" s="403">
        <f t="shared" si="31"/>
        <v>98.855514743034405</v>
      </c>
      <c r="U31" s="403">
        <f t="shared" si="31"/>
        <v>91.473230099747425</v>
      </c>
      <c r="V31" s="403">
        <f t="shared" si="31"/>
        <v>87.232771599110748</v>
      </c>
      <c r="W31" s="403">
        <f t="shared" si="31"/>
        <v>86.63284658806937</v>
      </c>
      <c r="X31" s="403">
        <f t="shared" si="31"/>
        <v>90.799226834656736</v>
      </c>
      <c r="Y31" s="154"/>
    </row>
    <row r="32" spans="1:45" x14ac:dyDescent="0.15">
      <c r="A32" s="93" t="s">
        <v>6</v>
      </c>
      <c r="D32" s="400">
        <f>D14*$Y$14/1000</f>
        <v>400</v>
      </c>
      <c r="E32" s="400">
        <f t="shared" ref="E32:X32" si="32">E14*$Y$14/1000*AB3</f>
        <v>380.71249999999998</v>
      </c>
      <c r="F32" s="400">
        <f t="shared" si="32"/>
        <v>363.04077812500003</v>
      </c>
      <c r="G32" s="400">
        <f t="shared" si="32"/>
        <v>346.84691405703114</v>
      </c>
      <c r="H32" s="400">
        <f t="shared" si="32"/>
        <v>332.00361812949228</v>
      </c>
      <c r="I32" s="341">
        <f t="shared" si="32"/>
        <v>318.3934816719879</v>
      </c>
      <c r="J32" s="150">
        <f t="shared" si="32"/>
        <v>305.90827686627676</v>
      </c>
      <c r="K32" s="150">
        <f t="shared" si="32"/>
        <v>294.44830299623698</v>
      </c>
      <c r="L32" s="150">
        <f t="shared" si="32"/>
        <v>283.92177616412152</v>
      </c>
      <c r="M32" s="150">
        <f t="shared" si="32"/>
        <v>273.77157266625409</v>
      </c>
      <c r="N32" s="150">
        <f t="shared" si="32"/>
        <v>263.9842389434354</v>
      </c>
      <c r="O32" s="150">
        <f t="shared" si="32"/>
        <v>254.54680240120749</v>
      </c>
      <c r="P32" s="150">
        <f t="shared" si="32"/>
        <v>245.44675421536434</v>
      </c>
      <c r="Q32" s="150">
        <f t="shared" si="32"/>
        <v>236.67203275216499</v>
      </c>
      <c r="R32" s="150">
        <f t="shared" si="32"/>
        <v>228.21100758127511</v>
      </c>
      <c r="S32" s="389">
        <f t="shared" si="32"/>
        <v>220.05246406024449</v>
      </c>
      <c r="T32" s="400">
        <f t="shared" si="32"/>
        <v>212.18558847009072</v>
      </c>
      <c r="U32" s="400">
        <f t="shared" si="32"/>
        <v>204.59995368228496</v>
      </c>
      <c r="V32" s="400">
        <f t="shared" si="32"/>
        <v>197.28550533814322</v>
      </c>
      <c r="W32" s="400">
        <f t="shared" si="32"/>
        <v>190.23254852230457</v>
      </c>
      <c r="X32" s="400">
        <f t="shared" si="32"/>
        <v>183.43173491263218</v>
      </c>
    </row>
    <row r="33" spans="1:28" x14ac:dyDescent="0.15">
      <c r="A33" s="93" t="s">
        <v>7</v>
      </c>
      <c r="D33" s="400">
        <f>D15*$Y$15/1000</f>
        <v>76</v>
      </c>
      <c r="E33" s="400">
        <f t="shared" ref="E33:X33" si="33">E15*$Y$15/1000*AB3</f>
        <v>72.335374999999999</v>
      </c>
      <c r="F33" s="400">
        <f t="shared" si="33"/>
        <v>68.977747843749981</v>
      </c>
      <c r="G33" s="400">
        <f t="shared" si="33"/>
        <v>65.900913670835919</v>
      </c>
      <c r="H33" s="400">
        <f t="shared" si="33"/>
        <v>63.080687444603534</v>
      </c>
      <c r="I33" s="341">
        <f t="shared" si="33"/>
        <v>60.494761517677695</v>
      </c>
      <c r="J33" s="150">
        <f t="shared" si="33"/>
        <v>58.122572604592584</v>
      </c>
      <c r="K33" s="150">
        <f t="shared" si="33"/>
        <v>55.945177569285022</v>
      </c>
      <c r="L33" s="150">
        <f t="shared" si="33"/>
        <v>53.945137471183088</v>
      </c>
      <c r="M33" s="150">
        <f t="shared" si="33"/>
        <v>52.01659880658827</v>
      </c>
      <c r="N33" s="150">
        <f t="shared" si="33"/>
        <v>50.157005399252732</v>
      </c>
      <c r="O33" s="150">
        <f t="shared" si="33"/>
        <v>48.363892456229429</v>
      </c>
      <c r="P33" s="150">
        <f t="shared" si="33"/>
        <v>46.634883300919221</v>
      </c>
      <c r="Q33" s="150">
        <f t="shared" si="33"/>
        <v>44.967686222911354</v>
      </c>
      <c r="R33" s="150">
        <f t="shared" si="33"/>
        <v>43.360091440442268</v>
      </c>
      <c r="S33" s="389">
        <f t="shared" si="33"/>
        <v>41.809968171446457</v>
      </c>
      <c r="T33" s="400">
        <f t="shared" si="33"/>
        <v>40.315261809317235</v>
      </c>
      <c r="U33" s="400">
        <f t="shared" si="33"/>
        <v>38.873991199634141</v>
      </c>
      <c r="V33" s="400">
        <f t="shared" si="33"/>
        <v>37.484246014247212</v>
      </c>
      <c r="W33" s="400">
        <f t="shared" si="33"/>
        <v>36.144184219237872</v>
      </c>
      <c r="X33" s="400">
        <f t="shared" si="33"/>
        <v>34.852029633400107</v>
      </c>
    </row>
    <row r="34" spans="1:28" x14ac:dyDescent="0.15">
      <c r="A34" s="93" t="s">
        <v>8</v>
      </c>
      <c r="D34" s="400">
        <f>D16*$Y$16/1000</f>
        <v>40.799999999999997</v>
      </c>
      <c r="E34" s="400">
        <f t="shared" ref="E34:X34" si="34">E16*$Y$16/1000*AB3</f>
        <v>38.832674999999995</v>
      </c>
      <c r="F34" s="400">
        <f t="shared" si="34"/>
        <v>37.030159368749999</v>
      </c>
      <c r="G34" s="400">
        <f t="shared" si="34"/>
        <v>35.378385233817184</v>
      </c>
      <c r="H34" s="400">
        <f t="shared" si="34"/>
        <v>33.864369049208214</v>
      </c>
      <c r="I34" s="341">
        <f t="shared" si="34"/>
        <v>32.476135130542765</v>
      </c>
      <c r="J34" s="150">
        <f t="shared" si="34"/>
        <v>31.202644240360232</v>
      </c>
      <c r="K34" s="150">
        <f t="shared" si="34"/>
        <v>30.033726905616184</v>
      </c>
      <c r="L34" s="150">
        <f t="shared" si="34"/>
        <v>28.960021168740397</v>
      </c>
      <c r="M34" s="150">
        <f t="shared" si="34"/>
        <v>27.924700411957922</v>
      </c>
      <c r="N34" s="150">
        <f t="shared" si="34"/>
        <v>26.926392372230417</v>
      </c>
      <c r="O34" s="150">
        <f t="shared" si="34"/>
        <v>25.963773844923175</v>
      </c>
      <c r="P34" s="150">
        <f t="shared" si="34"/>
        <v>25.035568929967162</v>
      </c>
      <c r="Q34" s="150">
        <f t="shared" si="34"/>
        <v>24.140547340720833</v>
      </c>
      <c r="R34" s="150">
        <f t="shared" si="34"/>
        <v>23.277522773290059</v>
      </c>
      <c r="S34" s="389">
        <f t="shared" si="34"/>
        <v>22.445351334144938</v>
      </c>
      <c r="T34" s="400">
        <f t="shared" si="34"/>
        <v>21.642930023949258</v>
      </c>
      <c r="U34" s="400">
        <f t="shared" si="34"/>
        <v>20.869195275593064</v>
      </c>
      <c r="V34" s="400">
        <f t="shared" si="34"/>
        <v>20.123121544490608</v>
      </c>
      <c r="W34" s="400">
        <f t="shared" si="34"/>
        <v>19.403719949275068</v>
      </c>
      <c r="X34" s="400">
        <f t="shared" si="34"/>
        <v>18.710036961088488</v>
      </c>
    </row>
    <row r="35" spans="1:28" x14ac:dyDescent="0.15">
      <c r="A35" s="93" t="s">
        <v>12</v>
      </c>
      <c r="D35" s="400">
        <f>D17*$Y$17/1000</f>
        <v>39</v>
      </c>
      <c r="E35" s="400">
        <f t="shared" ref="E35:X35" si="35">E17*$Y$17/1000*AB3</f>
        <v>37.119468749999996</v>
      </c>
      <c r="F35" s="400">
        <f t="shared" si="35"/>
        <v>35.396475867187497</v>
      </c>
      <c r="G35" s="400">
        <f t="shared" si="35"/>
        <v>33.817574120560536</v>
      </c>
      <c r="H35" s="400">
        <f t="shared" si="35"/>
        <v>32.370352767625498</v>
      </c>
      <c r="I35" s="341">
        <f t="shared" si="35"/>
        <v>31.043364463018815</v>
      </c>
      <c r="J35" s="150">
        <f t="shared" si="35"/>
        <v>29.826056994461979</v>
      </c>
      <c r="K35" s="150">
        <f t="shared" si="35"/>
        <v>28.7087095421331</v>
      </c>
      <c r="L35" s="150">
        <f t="shared" si="35"/>
        <v>27.682373176001839</v>
      </c>
      <c r="M35" s="150">
        <f t="shared" si="35"/>
        <v>26.692728334959771</v>
      </c>
      <c r="N35" s="150">
        <f t="shared" si="35"/>
        <v>25.738463296984953</v>
      </c>
      <c r="O35" s="150">
        <f t="shared" si="35"/>
        <v>24.818313234117738</v>
      </c>
      <c r="P35" s="150">
        <f t="shared" si="35"/>
        <v>23.931058535998019</v>
      </c>
      <c r="Q35" s="150">
        <f t="shared" si="35"/>
        <v>23.075523193336092</v>
      </c>
      <c r="R35" s="150">
        <f t="shared" si="35"/>
        <v>22.250573239174319</v>
      </c>
      <c r="S35" s="389">
        <f t="shared" si="35"/>
        <v>21.455115245873834</v>
      </c>
      <c r="T35" s="400">
        <f t="shared" si="35"/>
        <v>20.688094875833848</v>
      </c>
      <c r="U35" s="400">
        <f t="shared" si="35"/>
        <v>19.948495484022786</v>
      </c>
      <c r="V35" s="400">
        <f t="shared" si="35"/>
        <v>19.235336770468969</v>
      </c>
      <c r="W35" s="400">
        <f t="shared" si="35"/>
        <v>18.547673480924697</v>
      </c>
      <c r="X35" s="400">
        <f t="shared" si="35"/>
        <v>17.884594153981634</v>
      </c>
    </row>
    <row r="36" spans="1:28" x14ac:dyDescent="0.15">
      <c r="A36" s="93" t="s">
        <v>13</v>
      </c>
      <c r="D36" s="400">
        <f>D18*$Y$18/1000</f>
        <v>19.600000000000001</v>
      </c>
      <c r="E36" s="400">
        <f t="shared" ref="E36:X36" si="36">E18*$Y$18/1000*AB3</f>
        <v>18.654912499999998</v>
      </c>
      <c r="F36" s="400">
        <f t="shared" si="36"/>
        <v>17.788998128124994</v>
      </c>
      <c r="G36" s="400">
        <f t="shared" si="36"/>
        <v>16.995498788794524</v>
      </c>
      <c r="H36" s="400">
        <f t="shared" si="36"/>
        <v>16.268177288345118</v>
      </c>
      <c r="I36" s="341">
        <f t="shared" si="36"/>
        <v>15.601280601927405</v>
      </c>
      <c r="J36" s="150">
        <f t="shared" si="36"/>
        <v>14.989505566447558</v>
      </c>
      <c r="K36" s="150">
        <f t="shared" si="36"/>
        <v>14.427966846815611</v>
      </c>
      <c r="L36" s="150">
        <f t="shared" si="36"/>
        <v>13.912167032041951</v>
      </c>
      <c r="M36" s="150">
        <f t="shared" si="36"/>
        <v>13.414807060646448</v>
      </c>
      <c r="N36" s="150">
        <f t="shared" si="36"/>
        <v>12.935227708228334</v>
      </c>
      <c r="O36" s="150">
        <f t="shared" si="36"/>
        <v>12.472793317659171</v>
      </c>
      <c r="P36" s="150">
        <f t="shared" si="36"/>
        <v>12.026890956552855</v>
      </c>
      <c r="Q36" s="150">
        <f t="shared" si="36"/>
        <v>11.596929604856086</v>
      </c>
      <c r="R36" s="150">
        <f t="shared" si="36"/>
        <v>11.182339371482479</v>
      </c>
      <c r="S36" s="389">
        <f t="shared" si="36"/>
        <v>10.782570738951978</v>
      </c>
      <c r="T36" s="400">
        <f t="shared" si="36"/>
        <v>10.397093835034445</v>
      </c>
      <c r="U36" s="400">
        <f t="shared" si="36"/>
        <v>10.025397730431962</v>
      </c>
      <c r="V36" s="400">
        <f t="shared" si="36"/>
        <v>9.6669897615690186</v>
      </c>
      <c r="W36" s="400">
        <f t="shared" si="36"/>
        <v>9.3213948775929243</v>
      </c>
      <c r="X36" s="400">
        <f t="shared" si="36"/>
        <v>8.9881550107189767</v>
      </c>
    </row>
    <row r="37" spans="1:28" x14ac:dyDescent="0.15">
      <c r="D37" s="403">
        <f>SUM(D32:D36)</f>
        <v>575.4</v>
      </c>
      <c r="E37" s="403">
        <f t="shared" ref="E37:X37" si="37">SUM(E32:E36)</f>
        <v>547.65493125</v>
      </c>
      <c r="F37" s="403">
        <f>SUM(F32:F36)</f>
        <v>522.23415933281251</v>
      </c>
      <c r="G37" s="403">
        <f t="shared" si="37"/>
        <v>498.93928587103932</v>
      </c>
      <c r="H37" s="403">
        <f t="shared" si="37"/>
        <v>477.58720467927463</v>
      </c>
      <c r="I37" s="393">
        <f>SUM(I32:I36)</f>
        <v>458.00902338515459</v>
      </c>
      <c r="J37" s="155">
        <f t="shared" si="37"/>
        <v>440.04905627213913</v>
      </c>
      <c r="K37" s="155">
        <f t="shared" si="37"/>
        <v>423.56388386008683</v>
      </c>
      <c r="L37" s="155">
        <f t="shared" si="37"/>
        <v>408.42147501208882</v>
      </c>
      <c r="M37" s="155">
        <f t="shared" si="37"/>
        <v>393.82040728040653</v>
      </c>
      <c r="N37" s="155">
        <f t="shared" si="37"/>
        <v>379.74132772013184</v>
      </c>
      <c r="O37" s="155">
        <f t="shared" si="37"/>
        <v>366.16557525413702</v>
      </c>
      <c r="P37" s="155">
        <f t="shared" si="37"/>
        <v>353.07515593880157</v>
      </c>
      <c r="Q37" s="155">
        <f t="shared" si="37"/>
        <v>340.45271911398936</v>
      </c>
      <c r="R37" s="155">
        <f t="shared" si="37"/>
        <v>328.28153440566427</v>
      </c>
      <c r="S37" s="394">
        <f>SUM(S32:S36)</f>
        <v>316.54546955066172</v>
      </c>
      <c r="T37" s="403">
        <f t="shared" si="37"/>
        <v>305.22896901422553</v>
      </c>
      <c r="U37" s="403">
        <f t="shared" si="37"/>
        <v>294.31703337196689</v>
      </c>
      <c r="V37" s="403">
        <f t="shared" si="37"/>
        <v>283.79519942891903</v>
      </c>
      <c r="W37" s="403">
        <f t="shared" si="37"/>
        <v>273.64952104933514</v>
      </c>
      <c r="X37" s="403">
        <f t="shared" si="37"/>
        <v>263.86655067182136</v>
      </c>
    </row>
    <row r="38" spans="1:28" ht="19" thickBot="1" x14ac:dyDescent="0.25">
      <c r="A38" s="92" t="s">
        <v>185</v>
      </c>
      <c r="B38" s="156"/>
      <c r="C38" s="156"/>
      <c r="D38" s="404">
        <f>D31+D37</f>
        <v>772.64200000000005</v>
      </c>
      <c r="E38" s="404">
        <f t="shared" ref="E38:H38" si="38">E31+E37</f>
        <v>738.03778124999997</v>
      </c>
      <c r="F38" s="404">
        <f>F31+F37</f>
        <v>710.1093893328125</v>
      </c>
      <c r="G38" s="404">
        <f>G31+G37</f>
        <v>686.62702420353935</v>
      </c>
      <c r="H38" s="404">
        <f t="shared" si="38"/>
        <v>665.45312434758216</v>
      </c>
      <c r="I38" s="395">
        <f>I31+I37</f>
        <v>650.09633278059209</v>
      </c>
      <c r="J38" s="395">
        <f t="shared" ref="J38:R38" si="39">J31+J37</f>
        <v>631.81103314599636</v>
      </c>
      <c r="K38" s="395">
        <f t="shared" si="39"/>
        <v>614.18531463955094</v>
      </c>
      <c r="L38" s="395">
        <f t="shared" si="39"/>
        <v>598.23881900834522</v>
      </c>
      <c r="M38" s="395">
        <f t="shared" si="39"/>
        <v>584.66098941683231</v>
      </c>
      <c r="N38" s="395">
        <f t="shared" si="39"/>
        <v>572.64438883252251</v>
      </c>
      <c r="O38" s="395">
        <f t="shared" si="39"/>
        <v>551.05567878648981</v>
      </c>
      <c r="P38" s="395">
        <f t="shared" si="39"/>
        <v>522.37024379367472</v>
      </c>
      <c r="Q38" s="395">
        <f t="shared" si="39"/>
        <v>487.88960487014697</v>
      </c>
      <c r="R38" s="395">
        <f t="shared" si="39"/>
        <v>458.24294697200816</v>
      </c>
      <c r="S38" s="635">
        <f>S31+S37</f>
        <v>432.72221711886391</v>
      </c>
      <c r="T38" s="404">
        <f t="shared" ref="T38:X38" si="40">T31+T37</f>
        <v>404.08448375725993</v>
      </c>
      <c r="U38" s="404">
        <f>U31+U37</f>
        <v>385.7902634717143</v>
      </c>
      <c r="V38" s="404">
        <f t="shared" si="40"/>
        <v>371.02797102802981</v>
      </c>
      <c r="W38" s="404">
        <f t="shared" si="40"/>
        <v>360.28236763740449</v>
      </c>
      <c r="X38" s="404">
        <f t="shared" si="40"/>
        <v>354.66577750647809</v>
      </c>
    </row>
    <row r="39" spans="1:28" x14ac:dyDescent="0.15">
      <c r="A39" s="94"/>
      <c r="B39" s="156"/>
      <c r="C39" s="156"/>
    </row>
    <row r="40" spans="1:28" x14ac:dyDescent="0.15">
      <c r="D40" s="94">
        <v>2010</v>
      </c>
      <c r="E40" s="94">
        <v>2011</v>
      </c>
      <c r="F40" s="94">
        <v>2012</v>
      </c>
      <c r="G40" s="94">
        <v>2013</v>
      </c>
      <c r="H40" s="94">
        <v>2014</v>
      </c>
      <c r="I40" s="94">
        <v>2015</v>
      </c>
      <c r="J40" s="94">
        <v>2016</v>
      </c>
      <c r="K40" s="94">
        <v>2017</v>
      </c>
      <c r="L40" s="94">
        <v>2018</v>
      </c>
      <c r="M40" s="94">
        <v>2019</v>
      </c>
      <c r="N40" s="94">
        <v>2020</v>
      </c>
      <c r="O40" s="94">
        <v>2021</v>
      </c>
      <c r="P40" s="94">
        <v>2022</v>
      </c>
      <c r="Q40" s="94">
        <v>2023</v>
      </c>
      <c r="R40" s="94">
        <v>2024</v>
      </c>
      <c r="S40" s="94">
        <v>2025</v>
      </c>
      <c r="T40" s="94">
        <v>2026</v>
      </c>
      <c r="U40" s="94">
        <v>2027</v>
      </c>
      <c r="V40" s="94">
        <v>2028</v>
      </c>
      <c r="W40" s="94">
        <v>2029</v>
      </c>
      <c r="X40" s="94">
        <v>2030</v>
      </c>
    </row>
    <row r="41" spans="1:28" x14ac:dyDescent="0.15">
      <c r="N41" s="40"/>
    </row>
    <row r="42" spans="1:28" x14ac:dyDescent="0.15">
      <c r="A42" s="93" t="s">
        <v>271</v>
      </c>
      <c r="D42" s="93">
        <f>D37/D38</f>
        <v>0.74471747588145598</v>
      </c>
      <c r="E42" s="93">
        <f t="shared" ref="E42:X42" si="41">E37/E38</f>
        <v>0.74204186447263942</v>
      </c>
      <c r="F42" s="93">
        <f t="shared" si="41"/>
        <v>0.73542776250780284</v>
      </c>
      <c r="G42" s="93">
        <f t="shared" si="41"/>
        <v>0.72665256141030787</v>
      </c>
      <c r="H42" s="93">
        <f t="shared" si="41"/>
        <v>0.71768722274391095</v>
      </c>
      <c r="I42" s="93">
        <f t="shared" si="41"/>
        <v>0.70452485314931457</v>
      </c>
      <c r="J42" s="93">
        <f t="shared" si="41"/>
        <v>0.69648840109833021</v>
      </c>
      <c r="K42" s="93">
        <f t="shared" si="41"/>
        <v>0.68963531651463406</v>
      </c>
      <c r="L42" s="93">
        <f t="shared" si="41"/>
        <v>0.6827064076000583</v>
      </c>
      <c r="M42" s="93">
        <f t="shared" si="41"/>
        <v>0.67358762498113833</v>
      </c>
      <c r="N42" s="93">
        <f t="shared" si="41"/>
        <v>0.66313638119170015</v>
      </c>
      <c r="O42" s="93">
        <f t="shared" si="41"/>
        <v>0.66448017750309818</v>
      </c>
      <c r="P42" s="93">
        <f t="shared" si="41"/>
        <v>0.67590977880864678</v>
      </c>
      <c r="Q42" s="93">
        <f t="shared" si="41"/>
        <v>0.69780687211936332</v>
      </c>
      <c r="R42" s="93">
        <f t="shared" si="41"/>
        <v>0.71639189773654588</v>
      </c>
      <c r="S42" s="93">
        <f t="shared" si="41"/>
        <v>0.73152118617406292</v>
      </c>
      <c r="T42" s="93">
        <f t="shared" si="41"/>
        <v>0.75535929065165863</v>
      </c>
      <c r="U42" s="93">
        <f t="shared" si="41"/>
        <v>0.76289388623605292</v>
      </c>
      <c r="V42" s="93">
        <f t="shared" si="41"/>
        <v>0.76488896145104746</v>
      </c>
      <c r="W42" s="93">
        <f t="shared" si="41"/>
        <v>0.75954180839829932</v>
      </c>
      <c r="X42" s="93">
        <f t="shared" si="41"/>
        <v>0.74398650054980775</v>
      </c>
    </row>
    <row r="45" spans="1:28" ht="14" thickBot="1" x14ac:dyDescent="0.2"/>
    <row r="46" spans="1:28" x14ac:dyDescent="0.15">
      <c r="G46" s="94">
        <v>2010</v>
      </c>
      <c r="H46" s="94">
        <v>2011</v>
      </c>
      <c r="I46" s="94">
        <v>2012</v>
      </c>
      <c r="J46" s="94">
        <v>2013</v>
      </c>
      <c r="K46" s="94">
        <v>2014</v>
      </c>
      <c r="L46" s="381">
        <v>2015</v>
      </c>
      <c r="M46" s="382">
        <v>2016</v>
      </c>
      <c r="N46" s="382">
        <v>2017</v>
      </c>
      <c r="O46" s="382">
        <v>2018</v>
      </c>
      <c r="P46" s="382">
        <v>2019</v>
      </c>
      <c r="Q46" s="382">
        <v>2020</v>
      </c>
      <c r="R46" s="382">
        <v>2021</v>
      </c>
      <c r="S46" s="382">
        <v>2022</v>
      </c>
      <c r="T46" s="382">
        <v>2023</v>
      </c>
      <c r="U46" s="382">
        <v>2024</v>
      </c>
      <c r="V46" s="383">
        <v>2025</v>
      </c>
      <c r="W46" s="94">
        <v>2026</v>
      </c>
      <c r="X46" s="94">
        <v>2027</v>
      </c>
      <c r="Y46" s="94">
        <v>2028</v>
      </c>
      <c r="Z46" s="94">
        <v>2029</v>
      </c>
      <c r="AA46" s="94">
        <v>2030</v>
      </c>
      <c r="AB46" s="94"/>
    </row>
    <row r="47" spans="1:28" ht="16" thickBot="1" x14ac:dyDescent="0.25">
      <c r="F47" s="40" t="s">
        <v>192</v>
      </c>
      <c r="G47" s="251">
        <f>D38</f>
        <v>772.64200000000005</v>
      </c>
      <c r="H47" s="251">
        <f t="shared" ref="H47:AA47" si="42">E38</f>
        <v>738.03778124999997</v>
      </c>
      <c r="I47" s="251">
        <f>F38</f>
        <v>710.1093893328125</v>
      </c>
      <c r="J47" s="251">
        <f t="shared" si="42"/>
        <v>686.62702420353935</v>
      </c>
      <c r="K47" s="251">
        <f t="shared" si="42"/>
        <v>665.45312434758216</v>
      </c>
      <c r="L47" s="451">
        <f>'Cons Dev Expe'!I39</f>
        <v>961.03604739004732</v>
      </c>
      <c r="M47" s="452">
        <f>J38+(M48-J38)/2</f>
        <v>792.40620831388105</v>
      </c>
      <c r="N47" s="452">
        <f t="shared" ref="N47:V47" si="43">K38+(N48-K38)/2</f>
        <v>779.39472738262498</v>
      </c>
      <c r="O47" s="452">
        <f t="shared" si="43"/>
        <v>768.40517826481323</v>
      </c>
      <c r="P47" s="452">
        <f t="shared" si="43"/>
        <v>759.83291688506574</v>
      </c>
      <c r="Q47" s="452">
        <f t="shared" si="43"/>
        <v>753.08700222559298</v>
      </c>
      <c r="R47" s="452">
        <f t="shared" si="43"/>
        <v>736.10334740830706</v>
      </c>
      <c r="S47" s="452">
        <f t="shared" si="43"/>
        <v>711.39488649156579</v>
      </c>
      <c r="T47" s="452">
        <f t="shared" si="43"/>
        <v>680.27696802099388</v>
      </c>
      <c r="U47" s="452">
        <f t="shared" si="43"/>
        <v>648.66869217675378</v>
      </c>
      <c r="V47" s="452">
        <f t="shared" si="43"/>
        <v>616.80500140019262</v>
      </c>
      <c r="W47" s="251">
        <f t="shared" si="42"/>
        <v>404.08448375725993</v>
      </c>
      <c r="X47" s="251">
        <f t="shared" si="42"/>
        <v>385.7902634717143</v>
      </c>
      <c r="Y47" s="251">
        <f t="shared" si="42"/>
        <v>371.02797102802981</v>
      </c>
      <c r="Z47" s="251">
        <f t="shared" si="42"/>
        <v>360.28236763740449</v>
      </c>
      <c r="AA47" s="251">
        <f t="shared" si="42"/>
        <v>354.66577750647809</v>
      </c>
      <c r="AB47" s="150"/>
    </row>
    <row r="48" spans="1:28" ht="15" x14ac:dyDescent="0.2">
      <c r="F48" s="40" t="s">
        <v>193</v>
      </c>
      <c r="G48" s="252">
        <f>'Cons Dev Expe'!D39</f>
        <v>1046.32</v>
      </c>
      <c r="H48" s="252">
        <f>'Cons Dev Expe'!E39</f>
        <v>1019.0430787499999</v>
      </c>
      <c r="I48" s="252">
        <f>'Cons Dev Expe'!F39</f>
        <v>998.54217616481242</v>
      </c>
      <c r="J48" s="252">
        <f>'Cons Dev Expe'!G39</f>
        <v>981.96857847976116</v>
      </c>
      <c r="K48" s="252">
        <f>'Cons Dev Expe'!H39</f>
        <v>969.43268869378323</v>
      </c>
      <c r="L48" s="252">
        <f>'Cons Dev Expe'!I39</f>
        <v>961.03604739004732</v>
      </c>
      <c r="M48" s="252">
        <f>'Cons Dev Expe'!J39</f>
        <v>953.00138348176574</v>
      </c>
      <c r="N48" s="252">
        <f>'Cons Dev Expe'!K39</f>
        <v>944.60414012569913</v>
      </c>
      <c r="O48" s="252">
        <f>'Cons Dev Expe'!L39</f>
        <v>938.57153752128124</v>
      </c>
      <c r="P48" s="252">
        <f>'Cons Dev Expe'!M39</f>
        <v>935.00484435329918</v>
      </c>
      <c r="Q48" s="252">
        <f>'Cons Dev Expe'!N39</f>
        <v>933.52961561866346</v>
      </c>
      <c r="R48" s="252">
        <f>'Cons Dev Expe'!O39</f>
        <v>921.15101603012431</v>
      </c>
      <c r="S48" s="252">
        <f>'Cons Dev Expe'!P39</f>
        <v>900.41952918945685</v>
      </c>
      <c r="T48" s="252">
        <f>'Cons Dev Expe'!Q39</f>
        <v>872.66433117184079</v>
      </c>
      <c r="U48" s="252">
        <f>'Cons Dev Expe'!R39</f>
        <v>839.09443738149935</v>
      </c>
      <c r="V48" s="252">
        <f>'Cons Dev Expe'!S39</f>
        <v>800.88778568152145</v>
      </c>
      <c r="W48" s="252">
        <f>'Cons Dev Expe'!T39</f>
        <v>755.46966632803446</v>
      </c>
      <c r="X48" s="252">
        <f>'Cons Dev Expe'!U39</f>
        <v>725.12449475063192</v>
      </c>
      <c r="Y48" s="252">
        <f>'Cons Dev Expe'!V39</f>
        <v>699.32297084331879</v>
      </c>
      <c r="Z48" s="252">
        <f>'Cons Dev Expe'!W39</f>
        <v>677.41585833463046</v>
      </c>
      <c r="AA48" s="252">
        <f>'Cons Dev Expe'!X39</f>
        <v>658.87944597967089</v>
      </c>
      <c r="AB48" s="150"/>
    </row>
    <row r="49" spans="6:22" x14ac:dyDescent="0.15">
      <c r="F49" s="40" t="s">
        <v>321</v>
      </c>
      <c r="L49" s="150">
        <f>I19/100</f>
        <v>114.05417416534809</v>
      </c>
      <c r="M49" s="150">
        <f t="shared" ref="M49:V49" si="44">J19/100</f>
        <v>124.09059428810828</v>
      </c>
      <c r="N49" s="150">
        <f t="shared" si="44"/>
        <v>132.61617897847549</v>
      </c>
      <c r="O49" s="150">
        <f t="shared" si="44"/>
        <v>143.26740109647091</v>
      </c>
      <c r="P49" s="150">
        <f t="shared" si="44"/>
        <v>157.09439224552173</v>
      </c>
      <c r="Q49" s="150">
        <f t="shared" si="44"/>
        <v>174.84049970605869</v>
      </c>
      <c r="R49" s="150">
        <f t="shared" si="44"/>
        <v>196.71585425370878</v>
      </c>
      <c r="S49" s="150">
        <f t="shared" si="44"/>
        <v>227.93702299141248</v>
      </c>
      <c r="T49" s="150">
        <f t="shared" si="44"/>
        <v>275.73888687999101</v>
      </c>
      <c r="U49" s="150">
        <f t="shared" si="44"/>
        <v>354.86068048794181</v>
      </c>
      <c r="V49" s="150">
        <f t="shared" si="44"/>
        <v>485.95492617201984</v>
      </c>
    </row>
    <row r="50" spans="6:22" x14ac:dyDescent="0.15">
      <c r="L50" s="150"/>
      <c r="M50" s="150"/>
      <c r="N50" s="150"/>
      <c r="O50" s="150"/>
      <c r="P50" s="150"/>
      <c r="Q50" s="150"/>
      <c r="R50" s="150"/>
      <c r="S50" s="150"/>
      <c r="T50" s="150"/>
      <c r="U50" s="150"/>
      <c r="V50" s="150"/>
    </row>
    <row r="61" spans="6:22" x14ac:dyDescent="0.15">
      <c r="F61" s="93" t="s">
        <v>236</v>
      </c>
    </row>
    <row r="88" spans="10:21" x14ac:dyDescent="0.15">
      <c r="K88" s="150"/>
      <c r="L88" s="150"/>
      <c r="M88" s="150"/>
      <c r="N88" s="150"/>
      <c r="O88" s="150"/>
      <c r="P88" s="150"/>
      <c r="Q88" s="150"/>
      <c r="R88" s="150"/>
      <c r="S88" s="150"/>
      <c r="T88" s="150"/>
      <c r="U88" s="150"/>
    </row>
    <row r="90" spans="10:21" x14ac:dyDescent="0.15"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</row>
    <row r="93" spans="10:21" x14ac:dyDescent="0.15">
      <c r="J93" s="4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</row>
    <row r="96" spans="10:21" x14ac:dyDescent="0.15">
      <c r="J96" s="40"/>
      <c r="K96" s="150"/>
      <c r="L96" s="150"/>
      <c r="M96" s="150"/>
      <c r="N96" s="150"/>
      <c r="O96" s="150"/>
      <c r="P96" s="150"/>
      <c r="Q96" s="150"/>
      <c r="R96" s="150"/>
      <c r="S96" s="150"/>
      <c r="T96" s="150"/>
      <c r="U96" s="150"/>
    </row>
    <row r="97" spans="10:21" x14ac:dyDescent="0.15">
      <c r="J97" s="40"/>
      <c r="K97" s="150"/>
      <c r="L97" s="150"/>
      <c r="M97" s="150"/>
      <c r="N97" s="150"/>
      <c r="O97" s="150"/>
      <c r="P97" s="150"/>
      <c r="Q97" s="150"/>
      <c r="R97" s="150"/>
      <c r="S97" s="150"/>
      <c r="T97" s="150"/>
      <c r="U97" s="150"/>
    </row>
    <row r="98" spans="10:21" x14ac:dyDescent="0.15">
      <c r="J98" s="40"/>
      <c r="K98" s="150"/>
      <c r="L98" s="150"/>
      <c r="M98" s="150"/>
      <c r="N98" s="150"/>
      <c r="O98" s="150"/>
      <c r="P98" s="150"/>
      <c r="Q98" s="150"/>
      <c r="R98" s="150"/>
      <c r="S98" s="150"/>
      <c r="T98" s="150"/>
      <c r="U98" s="150"/>
    </row>
    <row r="101" spans="10:21" x14ac:dyDescent="0.15">
      <c r="K101" s="150"/>
      <c r="L101" s="150"/>
      <c r="M101" s="150"/>
      <c r="N101" s="150"/>
      <c r="O101" s="150"/>
      <c r="P101" s="150"/>
      <c r="Q101" s="150"/>
      <c r="R101" s="150"/>
      <c r="S101" s="150"/>
      <c r="T101" s="150"/>
      <c r="U101" s="150"/>
    </row>
    <row r="102" spans="10:21" x14ac:dyDescent="0.15">
      <c r="K102" s="150"/>
      <c r="L102" s="150"/>
      <c r="M102" s="150"/>
      <c r="N102" s="150"/>
      <c r="O102" s="150"/>
      <c r="P102" s="150"/>
      <c r="Q102" s="150"/>
      <c r="R102" s="150"/>
      <c r="S102" s="150"/>
      <c r="T102" s="150"/>
      <c r="U102" s="150"/>
    </row>
  </sheetData>
  <pageMargins left="0.75" right="0.75" top="1" bottom="1" header="0.5" footer="0.5"/>
  <pageSetup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U44"/>
  <sheetViews>
    <sheetView zoomScale="40" zoomScaleNormal="40" workbookViewId="0">
      <selection activeCell="A12" sqref="A12"/>
    </sheetView>
  </sheetViews>
  <sheetFormatPr baseColWidth="10" defaultColWidth="11" defaultRowHeight="13" x14ac:dyDescent="0.15"/>
  <cols>
    <col min="4" max="4" width="11.33203125" customWidth="1"/>
    <col min="6" max="6" width="12" bestFit="1" customWidth="1"/>
    <col min="8" max="17" width="8.6640625" bestFit="1" customWidth="1"/>
    <col min="18" max="24" width="9.6640625" bestFit="1" customWidth="1"/>
    <col min="25" max="25" width="9.1640625" customWidth="1"/>
  </cols>
  <sheetData>
    <row r="1" spans="1:47" ht="14" thickBot="1" x14ac:dyDescent="0.2">
      <c r="B1" s="7" t="s">
        <v>34</v>
      </c>
      <c r="C1" s="28" t="s">
        <v>86</v>
      </c>
    </row>
    <row r="2" spans="1:47" s="7" customFormat="1" ht="26" x14ac:dyDescent="0.15">
      <c r="B2" s="18"/>
      <c r="C2" s="18"/>
      <c r="D2" s="18">
        <v>2010</v>
      </c>
      <c r="E2" s="18">
        <v>2011</v>
      </c>
      <c r="F2" s="18">
        <v>2012</v>
      </c>
      <c r="G2" s="18">
        <v>2013</v>
      </c>
      <c r="H2" s="18">
        <v>2014</v>
      </c>
      <c r="I2" s="615">
        <v>2015</v>
      </c>
      <c r="J2" s="616">
        <v>2016</v>
      </c>
      <c r="K2" s="616">
        <v>2017</v>
      </c>
      <c r="L2" s="616">
        <v>2018</v>
      </c>
      <c r="M2" s="616">
        <v>2019</v>
      </c>
      <c r="N2" s="616">
        <v>2020</v>
      </c>
      <c r="O2" s="616">
        <v>2021</v>
      </c>
      <c r="P2" s="616">
        <v>2022</v>
      </c>
      <c r="Q2" s="616">
        <v>2023</v>
      </c>
      <c r="R2" s="616">
        <v>2024</v>
      </c>
      <c r="S2" s="617">
        <v>2025</v>
      </c>
      <c r="T2" s="18">
        <v>2026</v>
      </c>
      <c r="U2" s="18">
        <v>2027</v>
      </c>
      <c r="V2" s="18">
        <v>2028</v>
      </c>
      <c r="W2" s="18">
        <v>2029</v>
      </c>
      <c r="X2" s="18">
        <v>2030</v>
      </c>
      <c r="Y2" s="8" t="s">
        <v>10</v>
      </c>
      <c r="AA2" s="8"/>
      <c r="AB2" s="8">
        <v>2011</v>
      </c>
      <c r="AC2" s="7">
        <v>2012</v>
      </c>
      <c r="AD2" s="7">
        <v>2013</v>
      </c>
      <c r="AE2" s="7">
        <v>2014</v>
      </c>
      <c r="AF2" s="7">
        <v>2015</v>
      </c>
      <c r="AG2" s="7">
        <v>2016</v>
      </c>
      <c r="AH2" s="7">
        <v>2017</v>
      </c>
      <c r="AI2" s="7">
        <v>2018</v>
      </c>
      <c r="AJ2" s="7">
        <v>2019</v>
      </c>
      <c r="AK2" s="7">
        <v>2020</v>
      </c>
      <c r="AL2" s="7">
        <v>2021</v>
      </c>
      <c r="AM2" s="7">
        <v>2022</v>
      </c>
      <c r="AN2" s="7">
        <v>2023</v>
      </c>
      <c r="AO2" s="7">
        <v>2024</v>
      </c>
      <c r="AP2" s="7">
        <v>2025</v>
      </c>
      <c r="AQ2" s="7">
        <v>2026</v>
      </c>
      <c r="AR2" s="7">
        <v>2027</v>
      </c>
      <c r="AS2" s="7">
        <v>2028</v>
      </c>
      <c r="AT2" s="7">
        <v>2029</v>
      </c>
      <c r="AU2" s="7">
        <v>2030</v>
      </c>
    </row>
    <row r="3" spans="1:47" ht="14" x14ac:dyDescent="0.15">
      <c r="A3" s="28" t="s">
        <v>71</v>
      </c>
      <c r="B3" s="11"/>
      <c r="C3" s="11"/>
      <c r="D3" s="17">
        <f>'Prod old'!B3*5</f>
        <v>730</v>
      </c>
      <c r="E3" s="17">
        <f>'Prod old'!B3*4+'Prod old'!C3</f>
        <v>732</v>
      </c>
      <c r="F3" s="17">
        <f>'Prod old'!B3*3+'Prod old'!C3+'Prod old'!D3</f>
        <v>737</v>
      </c>
      <c r="G3" s="17">
        <f>'Prod old'!B3*2+'Prod old'!C3+'Prod old'!D3+'Prod old'!E3</f>
        <v>738.98</v>
      </c>
      <c r="H3" s="17">
        <f>SUM('Prod old'!B3:F3)</f>
        <v>738.00040000000001</v>
      </c>
      <c r="I3" s="375">
        <f>SUM('Prod old'!C3:G3)</f>
        <v>734.12039200000004</v>
      </c>
      <c r="J3" s="342">
        <f>SUM('Prod old'!D3:H3)</f>
        <v>719.71318448</v>
      </c>
      <c r="K3" s="342">
        <f>SUM('Prod old'!E3:I3)</f>
        <v>694.29040941120002</v>
      </c>
      <c r="L3" s="342">
        <f>SUM('Prod old'!F3:J3)</f>
        <v>664.35300084652795</v>
      </c>
      <c r="M3" s="342">
        <f>SUM('Prod old'!G3:K3)</f>
        <v>630.29263679573626</v>
      </c>
      <c r="N3" s="342">
        <f>SUM('Prod old'!H3:L3)</f>
        <v>592.47507858799202</v>
      </c>
      <c r="O3" s="342">
        <f>SUM('Prod old'!I3:M3)</f>
        <v>556.92657387271254</v>
      </c>
      <c r="P3" s="342">
        <f>SUM('Prod old'!J3:N3)</f>
        <v>523.51097944034973</v>
      </c>
      <c r="Q3" s="342">
        <f>SUM('Prod old'!K3:O3)</f>
        <v>492.10032067392871</v>
      </c>
      <c r="R3" s="342">
        <f>SUM('Prod old'!L3:P3)</f>
        <v>462.57430143349296</v>
      </c>
      <c r="S3" s="343">
        <f>SUM('Prod old'!M3:Q3)</f>
        <v>434.81984334748341</v>
      </c>
      <c r="T3" s="17">
        <f>SUM('Prod old'!N3:R3)</f>
        <v>408.73065274663441</v>
      </c>
      <c r="U3" s="17">
        <f>SUM('Prod old'!O3:S3)</f>
        <v>384.20681358183634</v>
      </c>
      <c r="V3" s="17">
        <f>SUM('Prod old'!P3:T3)</f>
        <v>361.15440476692623</v>
      </c>
      <c r="W3" s="17">
        <f>SUM('Prod old'!Q3:U3)</f>
        <v>339.48514048091062</v>
      </c>
      <c r="X3" s="17">
        <f>SUM('Prod old'!R3:V3)</f>
        <v>319.11603205205597</v>
      </c>
      <c r="Y3">
        <v>220</v>
      </c>
      <c r="Z3" t="s">
        <v>36</v>
      </c>
      <c r="AA3" s="28" t="s">
        <v>55</v>
      </c>
      <c r="AB3" s="28">
        <v>0.95</v>
      </c>
      <c r="AC3" s="27">
        <f>AB3*0.95</f>
        <v>0.90249999999999997</v>
      </c>
      <c r="AD3" s="21">
        <f>AC3*0.95</f>
        <v>0.85737499999999989</v>
      </c>
      <c r="AE3" s="21">
        <f t="shared" ref="AE3:AU3" si="0">AD3*0.95</f>
        <v>0.81450624999999988</v>
      </c>
      <c r="AF3" s="21">
        <f t="shared" si="0"/>
        <v>0.77378093749999988</v>
      </c>
      <c r="AG3" s="21">
        <f t="shared" si="0"/>
        <v>0.7350918906249998</v>
      </c>
      <c r="AH3" s="21">
        <f t="shared" si="0"/>
        <v>0.69833729609374973</v>
      </c>
      <c r="AI3" s="21">
        <f t="shared" si="0"/>
        <v>0.66342043128906225</v>
      </c>
      <c r="AJ3" s="21">
        <f t="shared" si="0"/>
        <v>0.63024940972460908</v>
      </c>
      <c r="AK3" s="21">
        <f t="shared" si="0"/>
        <v>0.59873693923837856</v>
      </c>
      <c r="AL3" s="21">
        <f t="shared" si="0"/>
        <v>0.56880009227645956</v>
      </c>
      <c r="AM3" s="21">
        <f t="shared" si="0"/>
        <v>0.54036008766263655</v>
      </c>
      <c r="AN3" s="21">
        <f t="shared" si="0"/>
        <v>0.5133420832795047</v>
      </c>
      <c r="AO3" s="21">
        <f t="shared" si="0"/>
        <v>0.48767497911552943</v>
      </c>
      <c r="AP3" s="21">
        <f t="shared" si="0"/>
        <v>0.46329123015975293</v>
      </c>
      <c r="AQ3" s="21">
        <f t="shared" si="0"/>
        <v>0.44012666865176525</v>
      </c>
      <c r="AR3" s="21">
        <f t="shared" si="0"/>
        <v>0.41812033521917696</v>
      </c>
      <c r="AS3" s="21">
        <f t="shared" si="0"/>
        <v>0.39721431845821809</v>
      </c>
      <c r="AT3" s="21">
        <f t="shared" si="0"/>
        <v>0.37735360253530714</v>
      </c>
      <c r="AU3" s="21">
        <f t="shared" si="0"/>
        <v>0.35848592240854177</v>
      </c>
    </row>
    <row r="4" spans="1:47" ht="14" x14ac:dyDescent="0.15">
      <c r="A4" s="28" t="s">
        <v>72</v>
      </c>
      <c r="B4" s="11"/>
      <c r="C4" s="11"/>
      <c r="D4" s="17">
        <f>'Prod old'!B4*5</f>
        <v>810</v>
      </c>
      <c r="E4" s="17">
        <f>'Prod old'!B4*4+'Prod old'!C4</f>
        <v>813</v>
      </c>
      <c r="F4" s="17">
        <f>'Prod old'!B4*3+'Prod old'!C4+'Prod old'!D4</f>
        <v>820</v>
      </c>
      <c r="G4" s="17">
        <f>'Prod old'!B4*2+'Prod old'!C4+'Prod old'!D4+'Prod old'!E4</f>
        <v>823.62</v>
      </c>
      <c r="H4" s="17">
        <f>SUM('Prod old'!B4:F4)</f>
        <v>823.92759999999998</v>
      </c>
      <c r="I4" s="375">
        <f>SUM('Prod old'!C4:G4)</f>
        <v>820.98904800000003</v>
      </c>
      <c r="J4" s="342">
        <f>SUM('Prod old'!D4:H4)</f>
        <v>805.50680912000007</v>
      </c>
      <c r="K4" s="342">
        <f>SUM('Prod old'!E4:I4)</f>
        <v>777.05350457280008</v>
      </c>
      <c r="L4" s="342">
        <f>SUM('Prod old'!F4:J4)</f>
        <v>743.54739829843209</v>
      </c>
      <c r="M4" s="342">
        <f>SUM('Prod old'!G4:K4)</f>
        <v>705.42685840052616</v>
      </c>
      <c r="N4" s="342">
        <f>SUM('Prod old'!H4:L4)</f>
        <v>663.10124689649456</v>
      </c>
      <c r="O4" s="342">
        <f>SUM('Prod old'!I4:M4)</f>
        <v>623.31517208270486</v>
      </c>
      <c r="P4" s="342">
        <f>SUM('Prod old'!J4:N4)</f>
        <v>585.91626175774252</v>
      </c>
      <c r="Q4" s="342">
        <f>SUM('Prod old'!K4:O4)</f>
        <v>550.76128605227791</v>
      </c>
      <c r="R4" s="342">
        <f>SUM('Prod old'!L4:P4)</f>
        <v>517.71560888914121</v>
      </c>
      <c r="S4" s="343">
        <f>SUM('Prod old'!M4:Q4)</f>
        <v>486.65267235579267</v>
      </c>
      <c r="T4" s="17">
        <f>SUM('Prod old'!N4:R4)</f>
        <v>457.45351201444521</v>
      </c>
      <c r="U4" s="17">
        <f>SUM('Prod old'!O4:S4)</f>
        <v>430.00630129357853</v>
      </c>
      <c r="V4" s="17">
        <f>SUM('Prod old'!P4:T4)</f>
        <v>404.20592321596376</v>
      </c>
      <c r="W4" s="17">
        <f>SUM('Prod old'!Q4:U4)</f>
        <v>379.95356782300598</v>
      </c>
      <c r="X4" s="17">
        <f>SUM('Prod old'!R4:V4)</f>
        <v>357.15635375362564</v>
      </c>
      <c r="Y4">
        <v>97</v>
      </c>
      <c r="Z4">
        <v>1.05</v>
      </c>
      <c r="AA4" s="28" t="s">
        <v>16</v>
      </c>
      <c r="AB4" s="28">
        <v>0.97</v>
      </c>
      <c r="AC4" s="27">
        <f>AB4*0.97</f>
        <v>0.94089999999999996</v>
      </c>
      <c r="AD4" s="21">
        <f>AC4*0.97</f>
        <v>0.91267299999999996</v>
      </c>
      <c r="AE4" s="21">
        <f t="shared" ref="AE4:AU4" si="1">AD4*0.97</f>
        <v>0.88529280999999993</v>
      </c>
      <c r="AF4" s="21">
        <f t="shared" si="1"/>
        <v>0.8587340256999999</v>
      </c>
      <c r="AG4" s="21">
        <f t="shared" si="1"/>
        <v>0.83297200492899992</v>
      </c>
      <c r="AH4" s="21">
        <f t="shared" si="1"/>
        <v>0.80798284478112992</v>
      </c>
      <c r="AI4" s="21">
        <f t="shared" si="1"/>
        <v>0.78374335943769602</v>
      </c>
      <c r="AJ4" s="21">
        <f t="shared" si="1"/>
        <v>0.76023105865456508</v>
      </c>
      <c r="AK4" s="21">
        <f t="shared" si="1"/>
        <v>0.73742412689492809</v>
      </c>
      <c r="AL4" s="21">
        <f t="shared" si="1"/>
        <v>0.71530140308808021</v>
      </c>
      <c r="AM4" s="21">
        <f t="shared" si="1"/>
        <v>0.69384236099543783</v>
      </c>
      <c r="AN4" s="21">
        <f t="shared" si="1"/>
        <v>0.67302709016557472</v>
      </c>
      <c r="AO4" s="21">
        <f t="shared" si="1"/>
        <v>0.65283627746060746</v>
      </c>
      <c r="AP4" s="21">
        <f t="shared" si="1"/>
        <v>0.63325118913678924</v>
      </c>
      <c r="AQ4" s="21">
        <f t="shared" si="1"/>
        <v>0.61425365346268557</v>
      </c>
      <c r="AR4" s="21">
        <f t="shared" si="1"/>
        <v>0.595826043858805</v>
      </c>
      <c r="AS4" s="21">
        <f t="shared" si="1"/>
        <v>0.57795126254304086</v>
      </c>
      <c r="AT4" s="21">
        <f t="shared" si="1"/>
        <v>0.56061272466674961</v>
      </c>
      <c r="AU4" s="21">
        <f t="shared" si="1"/>
        <v>0.54379434292674711</v>
      </c>
    </row>
    <row r="5" spans="1:47" ht="14" x14ac:dyDescent="0.15">
      <c r="A5" s="28" t="s">
        <v>73</v>
      </c>
      <c r="B5" s="11"/>
      <c r="C5" s="20"/>
      <c r="D5" s="17">
        <f>'Prod old'!B5*5</f>
        <v>1005</v>
      </c>
      <c r="E5" s="17">
        <f>'Prod old'!B5*4+'Prod old'!C5</f>
        <v>1019</v>
      </c>
      <c r="F5" s="17">
        <f>'Prod old'!B5*3+'Prod old'!C5+'Prod old'!D5</f>
        <v>1064</v>
      </c>
      <c r="G5" s="17">
        <f>'Prod old'!B5*2+'Prod old'!C5+'Prod old'!D5+'Prod old'!E5</f>
        <v>1147</v>
      </c>
      <c r="H5" s="17">
        <f>SUM('Prod old'!B5:F5)</f>
        <v>1278</v>
      </c>
      <c r="I5" s="375">
        <f>SUM('Prod old'!C5:G5)</f>
        <v>1461</v>
      </c>
      <c r="J5" s="342">
        <f>SUM('Prod old'!D5:H5)</f>
        <v>1689</v>
      </c>
      <c r="K5" s="342">
        <f>SUM('Prod old'!E5:I5)</f>
        <v>1954.0651041666665</v>
      </c>
      <c r="L5" s="342">
        <f>SUM('Prod old'!F5:J5)</f>
        <v>2259.6532321506074</v>
      </c>
      <c r="M5" s="342">
        <f>SUM('Prod old'!G5:K5)</f>
        <v>2607.829119382081</v>
      </c>
      <c r="N5" s="342">
        <f>SUM('Prod old'!H5:L5)</f>
        <v>3008.5111976204735</v>
      </c>
      <c r="O5" s="342">
        <f>SUM('Prod old'!I5:M5)</f>
        <v>3224.6441433407231</v>
      </c>
      <c r="P5" s="342">
        <f>SUM('Prod old'!J5:N5)</f>
        <v>3267.2507135790661</v>
      </c>
      <c r="Q5" s="342">
        <f>SUM('Prod old'!K5:O5)</f>
        <v>3142.7467920953331</v>
      </c>
      <c r="R5" s="342">
        <f>SUM('Prod old'!L5:P5)</f>
        <v>2853.2416383240343</v>
      </c>
      <c r="S5" s="343">
        <f>SUM('Prod old'!M5:Q5)</f>
        <v>2396.7229761921881</v>
      </c>
      <c r="T5" s="17">
        <f>SUM('Prod old'!N5:R5)</f>
        <v>2013.2473000014375</v>
      </c>
      <c r="U5" s="17">
        <f>SUM('Prod old'!O5:S5)</f>
        <v>1691.1277320012071</v>
      </c>
      <c r="V5" s="17">
        <f>SUM('Prod old'!P5:T5)</f>
        <v>1420.5472948810134</v>
      </c>
      <c r="W5" s="17">
        <f>SUM('Prod old'!Q5:U5)</f>
        <v>1193.2597277000514</v>
      </c>
      <c r="X5" s="17">
        <f>SUM('Prod old'!R5:V5)</f>
        <v>1002.3381712680427</v>
      </c>
      <c r="Y5">
        <v>80</v>
      </c>
      <c r="AA5" s="28" t="s">
        <v>56</v>
      </c>
      <c r="AB5" s="28">
        <v>0.99</v>
      </c>
      <c r="AC5" s="27">
        <f>AB5*0.99</f>
        <v>0.98009999999999997</v>
      </c>
      <c r="AD5" s="21">
        <f>AC5*0.99</f>
        <v>0.97029899999999991</v>
      </c>
      <c r="AE5" s="21">
        <f t="shared" ref="AE5:AU5" si="2">AD5*0.99</f>
        <v>0.96059600999999994</v>
      </c>
      <c r="AF5" s="21">
        <f t="shared" si="2"/>
        <v>0.95099004989999991</v>
      </c>
      <c r="AG5" s="21">
        <f t="shared" si="2"/>
        <v>0.94148014940099989</v>
      </c>
      <c r="AH5" s="21">
        <f t="shared" si="2"/>
        <v>0.93206534790698992</v>
      </c>
      <c r="AI5" s="21">
        <f t="shared" si="2"/>
        <v>0.92274469442791995</v>
      </c>
      <c r="AJ5" s="21">
        <f t="shared" si="2"/>
        <v>0.91351724748364072</v>
      </c>
      <c r="AK5" s="21">
        <f t="shared" si="2"/>
        <v>0.9043820750088043</v>
      </c>
      <c r="AL5" s="21">
        <f t="shared" si="2"/>
        <v>0.89533825425871627</v>
      </c>
      <c r="AM5" s="21">
        <f t="shared" si="2"/>
        <v>0.88638487171612912</v>
      </c>
      <c r="AN5" s="21">
        <f t="shared" si="2"/>
        <v>0.87752102299896784</v>
      </c>
      <c r="AO5" s="21">
        <f t="shared" si="2"/>
        <v>0.86874581276897811</v>
      </c>
      <c r="AP5" s="21">
        <f t="shared" si="2"/>
        <v>0.86005835464128833</v>
      </c>
      <c r="AQ5" s="21">
        <f t="shared" si="2"/>
        <v>0.85145777109487542</v>
      </c>
      <c r="AR5" s="21">
        <f t="shared" si="2"/>
        <v>0.84294319338392665</v>
      </c>
      <c r="AS5" s="21">
        <f t="shared" si="2"/>
        <v>0.83451376145008738</v>
      </c>
      <c r="AT5" s="21">
        <f t="shared" si="2"/>
        <v>0.82616862383558654</v>
      </c>
      <c r="AU5" s="21">
        <f t="shared" si="2"/>
        <v>0.81790693759723065</v>
      </c>
    </row>
    <row r="6" spans="1:47" x14ac:dyDescent="0.15">
      <c r="A6" s="28" t="s">
        <v>74</v>
      </c>
      <c r="B6" s="11"/>
      <c r="C6" s="19"/>
      <c r="D6" s="17">
        <f>'Prod old'!B6*2</f>
        <v>700</v>
      </c>
      <c r="E6" s="17">
        <f>'Prod old'!B6+'Prod old'!C6</f>
        <v>810</v>
      </c>
      <c r="F6" s="17">
        <f>'Prod old'!C6+'Prod old'!D6</f>
        <v>1160</v>
      </c>
      <c r="G6" s="17">
        <f>'Prod old'!D6+'Prod old'!E6</f>
        <v>1600</v>
      </c>
      <c r="H6" s="17">
        <f>'Prod old'!E6+'Prod old'!F6</f>
        <v>2075</v>
      </c>
      <c r="I6" s="375">
        <f>'Prod old'!F6+'Prod old'!G6</f>
        <v>2565</v>
      </c>
      <c r="J6" s="342">
        <f>'Prod old'!G6+'Prod old'!H6</f>
        <v>2946.8</v>
      </c>
      <c r="K6" s="342">
        <f>'Prod old'!H6+'Prod old'!I6</f>
        <v>3300.4160000000006</v>
      </c>
      <c r="L6" s="342">
        <f>'Prod old'!I6+'Prod old'!J6</f>
        <v>3696.465920000001</v>
      </c>
      <c r="M6" s="342">
        <f>'Prod old'!J6+'Prod old'!K6</f>
        <v>4140.0418304000013</v>
      </c>
      <c r="N6" s="342">
        <f>'Prod old'!K6+'Prod old'!L6</f>
        <v>4636.8468500480012</v>
      </c>
      <c r="O6" s="342">
        <f>'Prod old'!L6+'Prod old'!M6</f>
        <v>5193.2684720537618</v>
      </c>
      <c r="P6" s="342">
        <f>'Prod old'!M6+'Prod old'!N6</f>
        <v>5816.4606887002137</v>
      </c>
      <c r="Q6" s="342">
        <f>'Prod old'!N6+'Prod old'!O6</f>
        <v>6514.4359713442409</v>
      </c>
      <c r="R6" s="342">
        <f>'Prod old'!O6+'Prod old'!P6</f>
        <v>7296.1682879055497</v>
      </c>
      <c r="S6" s="618">
        <f>'Prod old'!P6+'Prod old'!Q6</f>
        <v>8171.7084824542162</v>
      </c>
      <c r="T6" s="17">
        <f>'Prod old'!Q6+'Prod old'!R6</f>
        <v>9152.3135003487223</v>
      </c>
      <c r="U6" s="17">
        <f>'Prod old'!R6+'Prod old'!S6</f>
        <v>10250.591120390571</v>
      </c>
      <c r="V6" s="17">
        <f>'Prod old'!S6+'Prod old'!T6</f>
        <v>11480.662054837441</v>
      </c>
      <c r="W6" s="17">
        <f>'Prod old'!T6+'Prod old'!U6</f>
        <v>12858.341501417934</v>
      </c>
      <c r="X6" s="17">
        <f>'Prod old'!U6+'Prod old'!V6</f>
        <v>14401.342481588088</v>
      </c>
      <c r="Y6">
        <v>5</v>
      </c>
      <c r="AC6" s="16"/>
      <c r="AD6" s="16"/>
      <c r="AE6" s="16"/>
      <c r="AF6" s="16"/>
      <c r="AG6" s="16"/>
      <c r="AH6" s="16"/>
      <c r="AI6" s="16"/>
      <c r="AJ6" s="95"/>
      <c r="AK6" s="95"/>
      <c r="AL6" s="95"/>
      <c r="AM6" s="95"/>
      <c r="AN6" s="95"/>
      <c r="AO6" s="95"/>
      <c r="AP6" s="95"/>
      <c r="AQ6" s="95"/>
      <c r="AR6" s="95"/>
      <c r="AS6" s="95"/>
    </row>
    <row r="7" spans="1:47" x14ac:dyDescent="0.15">
      <c r="A7" s="28" t="s">
        <v>65</v>
      </c>
      <c r="B7" s="11"/>
      <c r="C7" s="19"/>
      <c r="D7" s="17">
        <f>'Prod old'!B7*2</f>
        <v>100</v>
      </c>
      <c r="E7" s="17">
        <f>'Prod old'!B7+'Prod old'!C7</f>
        <v>150</v>
      </c>
      <c r="F7" s="17">
        <f>'Prod old'!C7+'Prod old'!D7</f>
        <v>250</v>
      </c>
      <c r="G7" s="17">
        <f>'Prod old'!D7+'Prod old'!E7</f>
        <v>357</v>
      </c>
      <c r="H7" s="17">
        <f>'Prod old'!E7+'Prod old'!F7</f>
        <v>463</v>
      </c>
      <c r="I7" s="375">
        <f>'Prod old'!F7+'Prod old'!G7</f>
        <v>577</v>
      </c>
      <c r="J7" s="342">
        <f>'Prod old'!G7+'Prod old'!H7</f>
        <v>690.15</v>
      </c>
      <c r="K7" s="342">
        <f>'Prod old'!H7+'Prod old'!I7</f>
        <v>793.6724999999999</v>
      </c>
      <c r="L7" s="342">
        <f>'Prod old'!I7+'Prod old'!J7</f>
        <v>912.72337499999981</v>
      </c>
      <c r="M7" s="342">
        <f>'Prod old'!J7+'Prod old'!K7</f>
        <v>1049.6318812499997</v>
      </c>
      <c r="N7" s="342">
        <f>'Prod old'!K7+'Prod old'!L7</f>
        <v>1122.4310062499999</v>
      </c>
      <c r="O7" s="342">
        <f>'Prod old'!L7+'Prod old'!M7</f>
        <v>1122</v>
      </c>
      <c r="P7" s="342">
        <f>'Prod old'!M7+'Prod old'!N7</f>
        <v>1122</v>
      </c>
      <c r="Q7" s="342">
        <f>'Prod old'!N7+'Prod old'!O7</f>
        <v>1122</v>
      </c>
      <c r="R7" s="342">
        <f>'Prod old'!O7+'Prod old'!P7</f>
        <v>1122</v>
      </c>
      <c r="S7" s="618">
        <f>'Prod old'!P7+'Prod old'!Q7</f>
        <v>1122</v>
      </c>
      <c r="T7" s="17">
        <f>'Prod old'!Q7+'Prod old'!R7</f>
        <v>1122</v>
      </c>
      <c r="U7" s="17">
        <f>'Prod old'!R7+'Prod old'!S7</f>
        <v>1122</v>
      </c>
      <c r="V7" s="17">
        <f>'Prod old'!S7+'Prod old'!T7</f>
        <v>1122</v>
      </c>
      <c r="W7" s="17">
        <f>'Prod old'!T7+'Prod old'!U7</f>
        <v>1122</v>
      </c>
      <c r="X7" s="17">
        <f>'Prod old'!U7+'Prod old'!V7</f>
        <v>1122</v>
      </c>
      <c r="Y7">
        <v>15</v>
      </c>
      <c r="AC7" s="16"/>
      <c r="AD7" s="16"/>
      <c r="AE7" s="16"/>
      <c r="AF7" s="16"/>
      <c r="AG7" s="16"/>
      <c r="AH7" s="16"/>
      <c r="AI7" s="16"/>
      <c r="AJ7" s="95"/>
      <c r="AK7" s="95"/>
      <c r="AL7" s="95"/>
      <c r="AM7" s="95"/>
      <c r="AN7" s="95"/>
      <c r="AO7" s="95"/>
      <c r="AP7" s="95"/>
      <c r="AQ7" s="95"/>
      <c r="AR7" s="95"/>
      <c r="AS7" s="95"/>
    </row>
    <row r="8" spans="1:47" x14ac:dyDescent="0.15">
      <c r="A8" s="28" t="s">
        <v>270</v>
      </c>
      <c r="B8" s="17"/>
      <c r="C8" s="21"/>
      <c r="D8" s="17">
        <f>'Prod old'!B8*2</f>
        <v>2500</v>
      </c>
      <c r="E8" s="17">
        <f>'Prod old'!B8+'Prod old'!C8</f>
        <v>2510</v>
      </c>
      <c r="F8" s="17">
        <f>'Prod old'!C8+'Prod old'!D8</f>
        <v>2310</v>
      </c>
      <c r="G8" s="17">
        <f>'Prod old'!D8+'Prod old'!E8</f>
        <v>1956</v>
      </c>
      <c r="H8" s="17">
        <f>'Prod old'!E8+'Prod old'!F8</f>
        <v>1499</v>
      </c>
      <c r="I8" s="375">
        <f>'Prod old'!F8+'Prod old'!G8</f>
        <v>1357</v>
      </c>
      <c r="J8" s="342">
        <f>'Prod old'!G8+'Prod old'!H8</f>
        <v>1489.8</v>
      </c>
      <c r="K8" s="342">
        <f>'Prod old'!H8+'Prod old'!I8</f>
        <v>1415.31</v>
      </c>
      <c r="L8" s="342">
        <f>'Prod old'!I8+'Prod old'!J8</f>
        <v>1344.5444999999997</v>
      </c>
      <c r="M8" s="342">
        <f>'Prod old'!J8+'Prod old'!K8</f>
        <v>1277.3172749999997</v>
      </c>
      <c r="N8" s="342">
        <f>'Prod old'!K8+'Prod old'!L8</f>
        <v>1213.4514112499996</v>
      </c>
      <c r="O8" s="342">
        <f>'Prod old'!L8+'Prod old'!M8</f>
        <v>1152.7788406874995</v>
      </c>
      <c r="P8" s="342">
        <f>'Prod old'!M8+'Prod old'!N8</f>
        <v>1095.1398986531244</v>
      </c>
      <c r="Q8" s="342">
        <f>'Prod old'!N8+'Prod old'!O8</f>
        <v>1040.3829037204682</v>
      </c>
      <c r="R8" s="342">
        <f>'Prod old'!O8+'Prod old'!P8</f>
        <v>988.36375853444474</v>
      </c>
      <c r="S8" s="618">
        <f>'Prod old'!P8+'Prod old'!Q8</f>
        <v>938.94557060772252</v>
      </c>
      <c r="T8" s="17">
        <f>'Prod old'!Q8+'Prod old'!R8</f>
        <v>891.99829207733637</v>
      </c>
      <c r="U8" s="17">
        <f>'Prod old'!R8+'Prod old'!S8</f>
        <v>847.39837747346951</v>
      </c>
      <c r="V8" s="17">
        <f>'Prod old'!S8+'Prod old'!T8</f>
        <v>805.02845859979595</v>
      </c>
      <c r="W8" s="17">
        <f>'Prod old'!T8+'Prod old'!U8</f>
        <v>764.77703566980608</v>
      </c>
      <c r="X8" s="17">
        <f>'Prod old'!U8+'Prod old'!V8</f>
        <v>726.53818388631566</v>
      </c>
      <c r="Y8" s="15">
        <v>1</v>
      </c>
    </row>
    <row r="9" spans="1:47" x14ac:dyDescent="0.15">
      <c r="A9" s="28" t="s">
        <v>75</v>
      </c>
      <c r="B9" s="17"/>
      <c r="C9" s="21"/>
      <c r="D9" s="17">
        <f>'Prod old'!B9*2</f>
        <v>0</v>
      </c>
      <c r="E9" s="17">
        <f>'Prod old'!B9+'Prod old'!C9</f>
        <v>0</v>
      </c>
      <c r="F9" s="17">
        <f>'Prod old'!C9+'Prod old'!D9</f>
        <v>10</v>
      </c>
      <c r="G9" s="17">
        <f>'Prod old'!D9+'Prod old'!E9</f>
        <v>60</v>
      </c>
      <c r="H9" s="17">
        <f>'Prod old'!E9+'Prod old'!F9</f>
        <v>150</v>
      </c>
      <c r="I9" s="375">
        <f>'Prod old'!F9+'Prod old'!G9</f>
        <v>243.333333333333</v>
      </c>
      <c r="J9" s="342">
        <f>'Prod old'!G9+'Prod old'!H9</f>
        <v>331.666666666666</v>
      </c>
      <c r="K9" s="342">
        <f>'Prod old'!H9+'Prod old'!I9</f>
        <v>421.666666666666</v>
      </c>
      <c r="L9" s="342">
        <f>'Prod old'!I9+'Prod old'!J9</f>
        <v>511.66666666666595</v>
      </c>
      <c r="M9" s="342">
        <f>'Prod old'!J9+'Prod old'!K9</f>
        <v>601.66666666666595</v>
      </c>
      <c r="N9" s="342">
        <f>'Prod old'!K9+'Prod old'!L9</f>
        <v>691.66666666666595</v>
      </c>
      <c r="O9" s="342">
        <f>'Prod old'!L9+'Prod old'!M9</f>
        <v>795.59999999999923</v>
      </c>
      <c r="P9" s="342">
        <f>'Prod old'!M9+'Prod old'!N9</f>
        <v>922.89599999999893</v>
      </c>
      <c r="Q9" s="342">
        <f>'Prod old'!N9+'Prod old'!O9</f>
        <v>1070.5593599999988</v>
      </c>
      <c r="R9" s="342">
        <f>'Prod old'!O9+'Prod old'!P9</f>
        <v>1241.8488575999986</v>
      </c>
      <c r="S9" s="618">
        <f>'Prod old'!P9+'Prod old'!Q9</f>
        <v>1440.5446748159982</v>
      </c>
      <c r="T9" s="17">
        <f>'Prod old'!Q9+'Prod old'!R9</f>
        <v>1671.0318227865578</v>
      </c>
      <c r="U9" s="17">
        <f>'Prod old'!R9+'Prod old'!S9</f>
        <v>1938.3969144324069</v>
      </c>
      <c r="V9" s="17">
        <f>'Prod old'!S9+'Prod old'!T9</f>
        <v>2248.5404207415913</v>
      </c>
      <c r="W9" s="17">
        <f>'Prod old'!T9+'Prod old'!U9</f>
        <v>2608.3068880602459</v>
      </c>
      <c r="X9" s="17">
        <f>'Prod old'!U9+'Prod old'!V9</f>
        <v>3025.6359901498849</v>
      </c>
      <c r="Y9" s="15">
        <v>10</v>
      </c>
    </row>
    <row r="10" spans="1:47" x14ac:dyDescent="0.15">
      <c r="A10" s="95" t="s">
        <v>281</v>
      </c>
      <c r="B10" s="17"/>
      <c r="C10" s="21"/>
      <c r="D10" s="17"/>
      <c r="E10" s="17"/>
      <c r="F10" s="17"/>
      <c r="G10" s="17"/>
      <c r="H10" s="17"/>
      <c r="I10" s="619">
        <v>100</v>
      </c>
      <c r="J10" s="620">
        <v>170.66666666666669</v>
      </c>
      <c r="K10" s="620">
        <v>290.33333333333337</v>
      </c>
      <c r="L10" s="620">
        <v>493</v>
      </c>
      <c r="M10" s="620">
        <v>838</v>
      </c>
      <c r="N10" s="620">
        <v>1423</v>
      </c>
      <c r="O10" s="620">
        <v>2417</v>
      </c>
      <c r="P10" s="620">
        <v>4106</v>
      </c>
      <c r="Q10" s="620">
        <v>6974</v>
      </c>
      <c r="R10" s="620">
        <v>11847</v>
      </c>
      <c r="S10" s="621">
        <v>20124</v>
      </c>
      <c r="T10" s="17"/>
      <c r="U10" s="17"/>
      <c r="V10" s="17"/>
      <c r="W10" s="17"/>
      <c r="X10" s="17"/>
      <c r="Y10" s="530">
        <v>0.5</v>
      </c>
    </row>
    <row r="11" spans="1:47" x14ac:dyDescent="0.15">
      <c r="A11" s="95" t="s">
        <v>282</v>
      </c>
      <c r="B11" s="17"/>
      <c r="C11" s="21"/>
      <c r="D11" s="17"/>
      <c r="E11" s="17"/>
      <c r="F11" s="17"/>
      <c r="G11" s="17"/>
      <c r="H11" s="17"/>
      <c r="I11" s="619">
        <v>50</v>
      </c>
      <c r="J11" s="620">
        <v>84.0421695</v>
      </c>
      <c r="K11" s="620">
        <v>141.2617250853346</v>
      </c>
      <c r="L11" s="620">
        <v>237.43883686968184</v>
      </c>
      <c r="M11" s="620">
        <v>399.09749948169298</v>
      </c>
      <c r="N11" s="620">
        <v>670.82039396933203</v>
      </c>
      <c r="O11" s="620">
        <v>1127.5440250805475</v>
      </c>
      <c r="P11" s="620">
        <v>1895.2249214906324</v>
      </c>
      <c r="Q11" s="620">
        <v>3185.5762818507983</v>
      </c>
      <c r="R11" s="620">
        <v>5354.4548366896906</v>
      </c>
      <c r="S11" s="621">
        <v>9000.0000193033957</v>
      </c>
      <c r="T11" s="17"/>
      <c r="U11" s="17"/>
      <c r="V11" s="17"/>
      <c r="W11" s="17"/>
      <c r="X11" s="17"/>
      <c r="Y11" s="530">
        <v>0.5</v>
      </c>
    </row>
    <row r="12" spans="1:47" x14ac:dyDescent="0.15">
      <c r="A12" s="95" t="s">
        <v>283</v>
      </c>
      <c r="B12" s="17"/>
      <c r="C12" s="21"/>
      <c r="D12" s="17"/>
      <c r="E12" s="17"/>
      <c r="F12" s="17"/>
      <c r="G12" s="17"/>
      <c r="H12" s="17"/>
      <c r="I12" s="619">
        <v>3</v>
      </c>
      <c r="J12" s="620">
        <v>5.2446695280000002</v>
      </c>
      <c r="K12" s="620">
        <v>9.1688528193105814</v>
      </c>
      <c r="L12" s="620">
        <v>16.029200996051699</v>
      </c>
      <c r="M12" s="620">
        <v>28.022620674059866</v>
      </c>
      <c r="N12" s="620">
        <v>48.989794914648201</v>
      </c>
      <c r="O12" s="620">
        <v>85.645094857274927</v>
      </c>
      <c r="P12" s="620">
        <v>149.72673974020643</v>
      </c>
      <c r="Q12" s="620">
        <v>261.75575648074908</v>
      </c>
      <c r="R12" s="620">
        <v>457.60747993105775</v>
      </c>
      <c r="S12" s="621">
        <v>800.00000192643006</v>
      </c>
      <c r="T12" s="17"/>
      <c r="U12" s="17"/>
      <c r="V12" s="17"/>
      <c r="W12" s="17"/>
      <c r="X12" s="17"/>
      <c r="Y12" s="530">
        <v>1</v>
      </c>
    </row>
    <row r="13" spans="1:47" x14ac:dyDescent="0.15">
      <c r="B13" s="11"/>
      <c r="C13" s="11"/>
      <c r="D13" s="17"/>
      <c r="E13" s="17"/>
      <c r="F13" s="17"/>
      <c r="G13" s="17"/>
      <c r="H13" s="17"/>
      <c r="I13" s="375"/>
      <c r="J13" s="342"/>
      <c r="K13" s="342"/>
      <c r="L13" s="342"/>
      <c r="M13" s="342"/>
      <c r="N13" s="342"/>
      <c r="O13" s="342"/>
      <c r="P13" s="342"/>
      <c r="Q13" s="342"/>
      <c r="R13" s="342"/>
      <c r="S13" s="343"/>
      <c r="T13" s="17"/>
      <c r="U13" s="17"/>
      <c r="V13" s="17"/>
      <c r="W13" s="17"/>
      <c r="X13" s="17"/>
      <c r="AC13" s="16"/>
      <c r="AD13" s="16"/>
      <c r="AE13" s="16"/>
      <c r="AF13" s="16"/>
      <c r="AG13" s="16"/>
      <c r="AH13" s="16"/>
      <c r="AI13" s="16"/>
      <c r="AJ13" s="95"/>
      <c r="AK13" s="95"/>
      <c r="AL13" s="95"/>
      <c r="AM13" s="95"/>
      <c r="AN13" s="95"/>
      <c r="AO13" s="95"/>
      <c r="AP13" s="95"/>
      <c r="AQ13" s="95"/>
      <c r="AR13" s="95"/>
      <c r="AS13" s="95"/>
    </row>
    <row r="14" spans="1:47" x14ac:dyDescent="0.15">
      <c r="A14" s="28" t="s">
        <v>76</v>
      </c>
      <c r="B14" s="11"/>
      <c r="C14" s="11"/>
      <c r="D14" s="17">
        <f>'Prod old'!B16*10</f>
        <v>2500</v>
      </c>
      <c r="E14" s="17">
        <f>'Prod old'!B16*9+'Prod old'!C16</f>
        <v>2503.75</v>
      </c>
      <c r="F14" s="17">
        <f>'Prod old'!B16*8+'Prod old'!C16+'Prod old'!D16</f>
        <v>2511.3062500000001</v>
      </c>
      <c r="G14" s="17">
        <f>'Prod old'!B16*7+'Prod old'!C16+'Prod old'!D16+'Prod old'!E16</f>
        <v>2522.72584375</v>
      </c>
      <c r="H14" s="17">
        <f>'Prod old'!B16*6+'Prod old'!C16+'Prod old'!D16+'Prod old'!E16+'Prod old'!F16</f>
        <v>2538.0667314062493</v>
      </c>
      <c r="I14" s="375">
        <f>'Prod old'!B16*5+'Prod old'!C16+'Prod old'!D16+'Prod old'!E16+'Prod old'!F16+'Prod old'!G16</f>
        <v>2557.3877323773431</v>
      </c>
      <c r="J14" s="342">
        <f>'Prod old'!B16*4+'Prod old'!C16+'Prod old'!D16+'Prod old'!E16+'Prod old'!F16+'Prod old'!G16+'Prod old'!H16</f>
        <v>2580.748548363003</v>
      </c>
      <c r="K14" s="342">
        <f>'Prod old'!B16*3+'Prod old'!C16+'Prod old'!D16+'Prod old'!E16+'Prod old'!F16+'Prod old'!G16+'Prod old'!H16+'Prod old'!I16</f>
        <v>2608.2097765884478</v>
      </c>
      <c r="L14" s="342">
        <f>'Prod old'!B16*2+'Prod old'!C16+'Prod old'!D16+'Prod old'!E16+'Prod old'!F16+'Prod old'!G16+'Prod old'!H16+'Prod old'!I16+'Prod old'!J16</f>
        <v>2639.8329232372744</v>
      </c>
      <c r="M14" s="342">
        <f>SUM('Prod old'!B16:K16)</f>
        <v>2675.6804170858331</v>
      </c>
      <c r="N14" s="342">
        <f>SUM('Prod old'!C16:L16)</f>
        <v>2715.8156233421205</v>
      </c>
      <c r="O14" s="342">
        <f>SUM('Prod old'!D16:M16)</f>
        <v>2756.552857692252</v>
      </c>
      <c r="P14" s="342">
        <f>SUM('Prod old'!E16:N16)</f>
        <v>2797.9011505576354</v>
      </c>
      <c r="Q14" s="342">
        <f>SUM('Prod old'!F16:O16)</f>
        <v>2839.8696678159995</v>
      </c>
      <c r="R14" s="342">
        <f>SUM('Prod old'!G16:P16)</f>
        <v>2882.4677128332391</v>
      </c>
      <c r="S14" s="343">
        <f>SUM('Prod old'!H16:Q16)</f>
        <v>2925.7047285257372</v>
      </c>
      <c r="T14" s="17">
        <f>SUM('Prod old'!I16:R16)</f>
        <v>2969.5902994536236</v>
      </c>
      <c r="U14" s="17">
        <f>SUM('Prod old'!J16:S16)</f>
        <v>3014.1341539454279</v>
      </c>
      <c r="V14" s="17">
        <f>SUM('Prod old'!K16:T16)</f>
        <v>3059.3461662546088</v>
      </c>
      <c r="W14" s="17">
        <f>SUM('Prod old'!L16:U16)</f>
        <v>3105.2363587484278</v>
      </c>
      <c r="X14" s="17">
        <f>SUM('Prod old'!M16:V16)</f>
        <v>3151.8149041296538</v>
      </c>
      <c r="Y14">
        <v>200</v>
      </c>
      <c r="Z14" t="s">
        <v>35</v>
      </c>
      <c r="AC14" s="16"/>
      <c r="AD14" s="16"/>
      <c r="AE14" s="16"/>
      <c r="AF14" s="16"/>
      <c r="AG14" s="16"/>
      <c r="AH14" s="16"/>
      <c r="AI14" s="16"/>
      <c r="AJ14" s="95"/>
      <c r="AK14" s="95"/>
      <c r="AL14" s="95"/>
      <c r="AM14" s="95"/>
      <c r="AN14" s="95"/>
      <c r="AO14" s="95"/>
      <c r="AP14" s="95"/>
      <c r="AQ14" s="95"/>
      <c r="AR14" s="95"/>
      <c r="AS14" s="95"/>
    </row>
    <row r="15" spans="1:47" x14ac:dyDescent="0.15">
      <c r="A15" s="28" t="s">
        <v>77</v>
      </c>
      <c r="B15" s="11"/>
      <c r="C15" s="11"/>
      <c r="D15" s="17">
        <f>'Prod old'!B17*10</f>
        <v>950</v>
      </c>
      <c r="E15" s="17">
        <f>'Prod old'!B17*9+'Prod old'!C17</f>
        <v>951.42499999999995</v>
      </c>
      <c r="F15" s="17">
        <f>'Prod old'!B17*8+'Prod old'!C17+'Prod old'!D17</f>
        <v>954.2963749999999</v>
      </c>
      <c r="G15" s="17">
        <f>'Prod old'!B17*7+'Prod old'!C17+'Prod old'!D17+'Prod old'!E17</f>
        <v>958.63582062499984</v>
      </c>
      <c r="H15" s="17">
        <f>'Prod old'!B17*6+'Prod old'!C17+'Prod old'!D17+'Prod old'!E17+'Prod old'!F17</f>
        <v>964.46535793437477</v>
      </c>
      <c r="I15" s="375">
        <f>'Prod old'!B17*5+'Prod old'!C17+'Prod old'!D17+'Prod old'!E17+'Prod old'!F17+'Prod old'!G17</f>
        <v>971.80733830339034</v>
      </c>
      <c r="J15" s="342">
        <f>'Prod old'!B17*4+'Prod old'!C17+'Prod old'!D17+'Prod old'!E17+'Prod old'!F17+'Prod old'!G17+'Prod old'!H17</f>
        <v>980.68444837794118</v>
      </c>
      <c r="K15" s="342">
        <f>'Prod old'!B17*3+'Prod old'!C17+'Prod old'!D17+'Prod old'!E17+'Prod old'!F17+'Prod old'!G17+'Prod old'!H17+'Prod old'!I17</f>
        <v>991.11971510361025</v>
      </c>
      <c r="L15" s="342">
        <f>'Prod old'!B17*2+'Prod old'!C17+'Prod old'!D17+'Prod old'!E17+'Prod old'!F17+'Prod old'!G17+'Prod old'!H17+'Prod old'!I17+'Prod old'!J17</f>
        <v>1003.1365108301643</v>
      </c>
      <c r="M15" s="342">
        <f>SUM('Prod old'!B17:K17)</f>
        <v>1016.7585584926167</v>
      </c>
      <c r="N15" s="342">
        <f>SUM('Prod old'!C17:L17)</f>
        <v>1032.0099368700057</v>
      </c>
      <c r="O15" s="342">
        <f>SUM('Prod old'!D17:M17)</f>
        <v>1047.4900859230556</v>
      </c>
      <c r="P15" s="342">
        <f>SUM('Prod old'!E17:N17)</f>
        <v>1063.2024372119015</v>
      </c>
      <c r="Q15" s="342">
        <f>SUM('Prod old'!F17:O17)</f>
        <v>1079.1504737700798</v>
      </c>
      <c r="R15" s="342">
        <f>SUM('Prod old'!G17:P17)</f>
        <v>1095.337730876631</v>
      </c>
      <c r="S15" s="343">
        <f>SUM('Prod old'!H17:Q17)</f>
        <v>1111.7677968397802</v>
      </c>
      <c r="T15" s="17">
        <f>SUM('Prod old'!I17:R17)</f>
        <v>1128.4443137923768</v>
      </c>
      <c r="U15" s="17">
        <f>SUM('Prod old'!J17:S17)</f>
        <v>1145.3709784992625</v>
      </c>
      <c r="V15" s="17">
        <f>SUM('Prod old'!K17:T17)</f>
        <v>1162.5515431767515</v>
      </c>
      <c r="W15" s="17">
        <f>SUM('Prod old'!L17:U17)</f>
        <v>1179.9898163244027</v>
      </c>
      <c r="X15" s="17">
        <f>SUM('Prod old'!M17:V17)</f>
        <v>1197.6896635692685</v>
      </c>
      <c r="Y15">
        <v>100</v>
      </c>
      <c r="Z15">
        <v>0.38</v>
      </c>
      <c r="AC15" s="16"/>
      <c r="AD15" s="16"/>
      <c r="AE15" s="16"/>
      <c r="AF15" s="16"/>
      <c r="AG15" s="16"/>
      <c r="AH15" s="16"/>
      <c r="AI15" s="16"/>
      <c r="AJ15" s="95"/>
      <c r="AK15" s="95"/>
      <c r="AL15" s="95"/>
      <c r="AM15" s="95"/>
      <c r="AN15" s="95"/>
      <c r="AO15" s="95"/>
      <c r="AP15" s="95"/>
      <c r="AQ15" s="95"/>
      <c r="AR15" s="95"/>
      <c r="AS15" s="95"/>
    </row>
    <row r="16" spans="1:47" x14ac:dyDescent="0.15">
      <c r="A16" s="28" t="s">
        <v>78</v>
      </c>
      <c r="B16" s="11"/>
      <c r="C16" s="11"/>
      <c r="D16" s="17">
        <f>'Prod old'!B18*10</f>
        <v>500</v>
      </c>
      <c r="E16" s="17">
        <f>'Prod old'!B18*9+'Prod old'!C18</f>
        <v>500.75</v>
      </c>
      <c r="F16" s="17">
        <f>'Prod old'!B18*8+'Prod old'!C18+'Prod old'!D18</f>
        <v>502.26125000000002</v>
      </c>
      <c r="G16" s="17">
        <f>'Prod old'!B18*7+'Prod old'!C18+'Prod old'!D18+'Prod old'!E18</f>
        <v>504.54516875000002</v>
      </c>
      <c r="H16" s="17">
        <f>'Prod old'!B18*6+'Prod old'!C18+'Prod old'!D18+'Prod old'!E18+'Prod old'!F18</f>
        <v>507.61334628124996</v>
      </c>
      <c r="I16" s="375">
        <f>'Prod old'!B18*5+'Prod old'!C18+'Prod old'!D18+'Prod old'!E18+'Prod old'!F18+'Prod old'!G18</f>
        <v>511.47754647546867</v>
      </c>
      <c r="J16" s="342">
        <f>'Prod old'!B18*4+'Prod old'!C18+'Prod old'!D18+'Prod old'!E18+'Prod old'!F18+'Prod old'!G18+'Prod old'!H18</f>
        <v>516.14970967260069</v>
      </c>
      <c r="K16" s="342">
        <f>'Prod old'!B18*3+'Prod old'!C18+'Prod old'!D18+'Prod old'!E18+'Prod old'!F18+'Prod old'!G18+'Prod old'!H18+'Prod old'!I18</f>
        <v>521.64195531768962</v>
      </c>
      <c r="L16" s="342">
        <f>'Prod old'!B18*2+'Prod old'!C18+'Prod old'!D18+'Prod old'!E18+'Prod old'!F18+'Prod old'!G18+'Prod old'!H18+'Prod old'!I18+'Prod old'!J18</f>
        <v>527.96658464745497</v>
      </c>
      <c r="M16" s="342">
        <f>SUM('Prod old'!B18:K18)</f>
        <v>535.13608341716667</v>
      </c>
      <c r="N16" s="342">
        <f>SUM('Prod old'!C18:L18)</f>
        <v>543.16312466842419</v>
      </c>
      <c r="O16" s="342">
        <f>SUM('Prod old'!D18:M18)</f>
        <v>551.3105715384504</v>
      </c>
      <c r="P16" s="342">
        <f>SUM('Prod old'!E18:N18)</f>
        <v>559.58023011152704</v>
      </c>
      <c r="Q16" s="342">
        <f>SUM('Prod old'!F18:O18)</f>
        <v>567.97393356320003</v>
      </c>
      <c r="R16" s="342">
        <f>SUM('Prod old'!G18:P18)</f>
        <v>576.49354256664787</v>
      </c>
      <c r="S16" s="343">
        <f>SUM('Prod old'!H18:Q18)</f>
        <v>585.14094570514749</v>
      </c>
      <c r="T16" s="17">
        <f>SUM('Prod old'!I18:R18)</f>
        <v>593.91805989072463</v>
      </c>
      <c r="U16" s="17">
        <f>SUM('Prod old'!J18:S18)</f>
        <v>602.82683078908553</v>
      </c>
      <c r="V16" s="17">
        <f>SUM('Prod old'!K18:T18)</f>
        <v>611.86923325092187</v>
      </c>
      <c r="W16" s="17">
        <f>SUM('Prod old'!L18:U18)</f>
        <v>621.04727174968559</v>
      </c>
      <c r="X16" s="17">
        <f>SUM('Prod old'!M18:V18)</f>
        <v>630.36298082593078</v>
      </c>
      <c r="Y16">
        <v>102</v>
      </c>
      <c r="Z16">
        <v>0.2</v>
      </c>
      <c r="AC16" s="16"/>
      <c r="AD16" s="16"/>
      <c r="AE16" s="16"/>
      <c r="AF16" s="16"/>
      <c r="AG16" s="16"/>
      <c r="AH16" s="16"/>
      <c r="AI16" s="16"/>
      <c r="AJ16" s="95"/>
      <c r="AK16" s="95"/>
      <c r="AL16" s="95"/>
      <c r="AM16" s="95"/>
      <c r="AN16" s="95"/>
      <c r="AO16" s="95"/>
      <c r="AP16" s="95"/>
      <c r="AQ16" s="95"/>
      <c r="AR16" s="95"/>
      <c r="AS16" s="95"/>
    </row>
    <row r="17" spans="1:45" x14ac:dyDescent="0.15">
      <c r="A17" s="28" t="s">
        <v>79</v>
      </c>
      <c r="B17" s="11"/>
      <c r="C17" s="11"/>
      <c r="D17" s="17">
        <f>'Prod old'!B19*10</f>
        <v>750</v>
      </c>
      <c r="E17" s="17">
        <f>'Prod old'!B19*9+'Prod old'!C19</f>
        <v>751.125</v>
      </c>
      <c r="F17" s="17">
        <f>'Prod old'!B19*8+'Prod old'!C19+'Prod old'!D19</f>
        <v>753.39187500000003</v>
      </c>
      <c r="G17" s="17">
        <f>'Prod old'!B19*7+'Prod old'!C19+'Prod old'!D19+'Prod old'!E19</f>
        <v>756.81775312499997</v>
      </c>
      <c r="H17" s="17">
        <f>'Prod old'!B19*6+'Prod old'!C19+'Prod old'!D19+'Prod old'!E19+'Prod old'!F19</f>
        <v>761.42001942187494</v>
      </c>
      <c r="I17" s="375">
        <f>'Prod old'!B19*5+'Prod old'!C19+'Prod old'!D19+'Prod old'!E19+'Prod old'!F19+'Prod old'!G19</f>
        <v>767.21631971320301</v>
      </c>
      <c r="J17" s="342">
        <f>'Prod old'!B19*4+'Prod old'!C19+'Prod old'!D19+'Prod old'!E19+'Prod old'!F19+'Prod old'!G19+'Prod old'!H19</f>
        <v>774.22456450890104</v>
      </c>
      <c r="K17" s="342">
        <f>'Prod old'!B19*3+'Prod old'!C19+'Prod old'!D19+'Prod old'!E19+'Prod old'!F19+'Prod old'!G19+'Prod old'!H19+'Prod old'!I19</f>
        <v>782.46293297653426</v>
      </c>
      <c r="L17" s="342">
        <f>'Prod old'!B19*2+'Prod old'!C19+'Prod old'!D19+'Prod old'!E19+'Prod old'!F19+'Prod old'!G19+'Prod old'!H19+'Prod old'!I19+'Prod old'!J19</f>
        <v>791.94987697118222</v>
      </c>
      <c r="M17" s="342">
        <f>SUM('Prod old'!B19:K19)</f>
        <v>802.7041251257499</v>
      </c>
      <c r="N17" s="342">
        <f>SUM('Prod old'!C19:L19)</f>
        <v>814.74468700263606</v>
      </c>
      <c r="O17" s="342">
        <f>SUM('Prod old'!D19:M19)</f>
        <v>826.96585730767549</v>
      </c>
      <c r="P17" s="342">
        <f>SUM('Prod old'!E19:N19)</f>
        <v>839.37034516729057</v>
      </c>
      <c r="Q17" s="342">
        <f>SUM('Prod old'!F19:O19)</f>
        <v>851.96090034479982</v>
      </c>
      <c r="R17" s="342">
        <f>SUM('Prod old'!G19:P19)</f>
        <v>864.7403138499717</v>
      </c>
      <c r="S17" s="343">
        <f>SUM('Prod old'!H19:Q19)</f>
        <v>877.71141855772123</v>
      </c>
      <c r="T17" s="17">
        <f>SUM('Prod old'!I19:R19)</f>
        <v>890.87708983608695</v>
      </c>
      <c r="U17" s="17">
        <f>SUM('Prod old'!J19:S19)</f>
        <v>904.2402461836283</v>
      </c>
      <c r="V17" s="17">
        <f>SUM('Prod old'!K19:T19)</f>
        <v>917.80384987638274</v>
      </c>
      <c r="W17" s="17">
        <f>SUM('Prod old'!L19:U19)</f>
        <v>931.57090762452845</v>
      </c>
      <c r="X17" s="17">
        <f>SUM('Prod old'!M19:V19)</f>
        <v>945.54447123889634</v>
      </c>
      <c r="Y17">
        <v>65</v>
      </c>
      <c r="Z17">
        <v>0.3</v>
      </c>
      <c r="AC17" s="16"/>
      <c r="AD17" s="16"/>
      <c r="AE17" s="16"/>
      <c r="AF17" s="16"/>
      <c r="AG17" s="16"/>
      <c r="AH17" s="16"/>
      <c r="AI17" s="16"/>
      <c r="AJ17" s="95"/>
      <c r="AK17" s="95"/>
      <c r="AL17" s="95"/>
      <c r="AM17" s="95"/>
      <c r="AN17" s="95"/>
      <c r="AO17" s="95"/>
      <c r="AP17" s="95"/>
      <c r="AQ17" s="95"/>
      <c r="AR17" s="95"/>
      <c r="AS17" s="95"/>
    </row>
    <row r="18" spans="1:45" x14ac:dyDescent="0.15">
      <c r="A18" s="28" t="s">
        <v>80</v>
      </c>
      <c r="B18" s="11"/>
      <c r="C18" s="11"/>
      <c r="D18" s="17">
        <f>'Prod old'!B20*10</f>
        <v>875</v>
      </c>
      <c r="E18" s="17">
        <f>'Prod old'!B20*9+'Prod old'!C20</f>
        <v>876.3125</v>
      </c>
      <c r="F18" s="17">
        <f>'Prod old'!B20*8+'Prod old'!C20+'Prod old'!D20</f>
        <v>878.95718749999992</v>
      </c>
      <c r="G18" s="17">
        <f>'Prod old'!B20*7+'Prod old'!C20+'Prod old'!D20+'Prod old'!E20</f>
        <v>882.95404531249983</v>
      </c>
      <c r="H18" s="17">
        <f>'Prod old'!B20*6+'Prod old'!C20+'Prod old'!D20+'Prod old'!E20+'Prod old'!F20</f>
        <v>888.32335599218732</v>
      </c>
      <c r="I18" s="375">
        <f>'Prod old'!B20*5+'Prod old'!C20+'Prod old'!D20+'Prod old'!E20+'Prod old'!F20+'Prod old'!G20</f>
        <v>895.08570633207</v>
      </c>
      <c r="J18" s="342">
        <f>'Prod old'!B20*4+'Prod old'!C20+'Prod old'!D20+'Prod old'!E20+'Prod old'!F20+'Prod old'!G20+'Prod old'!H20</f>
        <v>903.26199192705099</v>
      </c>
      <c r="K18" s="342">
        <f>'Prod old'!B20*3+'Prod old'!C20+'Prod old'!D20+'Prod old'!E20+'Prod old'!F20+'Prod old'!G20+'Prod old'!H20+'Prod old'!I20</f>
        <v>912.8734218059567</v>
      </c>
      <c r="L18" s="342">
        <f>'Prod old'!B20*2+'Prod old'!C20+'Prod old'!D20+'Prod old'!E20+'Prod old'!F20+'Prod old'!G20+'Prod old'!H20+'Prod old'!I20+'Prod old'!J20</f>
        <v>923.94152313304596</v>
      </c>
      <c r="M18" s="342">
        <f>SUM('Prod old'!B20:K20)</f>
        <v>936.48814598004162</v>
      </c>
      <c r="N18" s="342">
        <f>SUM('Prod old'!C20:L20)</f>
        <v>950.53546816974199</v>
      </c>
      <c r="O18" s="342">
        <f>SUM('Prod old'!D20:M20)</f>
        <v>964.79350019228798</v>
      </c>
      <c r="P18" s="342">
        <f>SUM('Prod old'!E20:N20)</f>
        <v>979.26540269517227</v>
      </c>
      <c r="Q18" s="342">
        <f>SUM('Prod old'!F20:O20)</f>
        <v>993.95438373559978</v>
      </c>
      <c r="R18" s="342">
        <f>SUM('Prod old'!G20:P20)</f>
        <v>1008.8636994916337</v>
      </c>
      <c r="S18" s="343">
        <f>SUM('Prod old'!H20:Q20)</f>
        <v>1023.996654984008</v>
      </c>
      <c r="T18" s="17">
        <f>SUM('Prod old'!I20:R20)</f>
        <v>1039.356604808768</v>
      </c>
      <c r="U18" s="17">
        <f>SUM('Prod old'!J20:S20)</f>
        <v>1054.9469538808994</v>
      </c>
      <c r="V18" s="17">
        <f>SUM('Prod old'!K20:T20)</f>
        <v>1070.7711581891128</v>
      </c>
      <c r="W18" s="17">
        <f>SUM('Prod old'!L20:U20)</f>
        <v>1086.8327255619497</v>
      </c>
      <c r="X18" s="17">
        <f>SUM('Prod old'!M20:V20)</f>
        <v>1103.1352164453788</v>
      </c>
      <c r="Y18">
        <v>28</v>
      </c>
      <c r="Z18">
        <v>0.35</v>
      </c>
      <c r="AC18" s="16"/>
      <c r="AD18" s="16"/>
      <c r="AE18" s="16"/>
      <c r="AF18" s="16"/>
      <c r="AG18" s="16"/>
      <c r="AH18" s="16"/>
      <c r="AI18" s="16"/>
      <c r="AJ18" s="95"/>
      <c r="AK18" s="95"/>
      <c r="AL18" s="95"/>
      <c r="AM18" s="95"/>
      <c r="AN18" s="95"/>
      <c r="AO18" s="95"/>
      <c r="AP18" s="95"/>
      <c r="AQ18" s="95"/>
      <c r="AR18" s="95"/>
      <c r="AS18" s="95"/>
    </row>
    <row r="19" spans="1:45" x14ac:dyDescent="0.15">
      <c r="H19" s="17"/>
      <c r="I19" s="622"/>
      <c r="J19" s="248"/>
      <c r="K19" s="248"/>
      <c r="L19" s="248"/>
      <c r="M19" s="248"/>
      <c r="N19" s="248"/>
      <c r="O19" s="248"/>
      <c r="P19" s="248"/>
      <c r="Q19" s="248"/>
      <c r="R19" s="248"/>
      <c r="S19" s="623"/>
      <c r="AJ19" s="95"/>
      <c r="AK19" s="95"/>
      <c r="AL19" s="95"/>
      <c r="AM19" s="95"/>
      <c r="AN19" s="95"/>
      <c r="AO19" s="95"/>
      <c r="AP19" s="95"/>
      <c r="AQ19" s="95"/>
      <c r="AR19" s="95"/>
      <c r="AS19" s="95"/>
    </row>
    <row r="20" spans="1:45" x14ac:dyDescent="0.15">
      <c r="B20" s="7" t="s">
        <v>9</v>
      </c>
      <c r="I20" s="622"/>
      <c r="J20" s="248"/>
      <c r="K20" s="248"/>
      <c r="L20" s="248"/>
      <c r="M20" s="248"/>
      <c r="N20" s="248"/>
      <c r="O20" s="248"/>
      <c r="P20" s="248"/>
      <c r="Q20" s="248"/>
      <c r="R20" s="248"/>
      <c r="S20" s="623"/>
    </row>
    <row r="21" spans="1:45" x14ac:dyDescent="0.15">
      <c r="A21" t="s">
        <v>1</v>
      </c>
      <c r="D21" s="17">
        <f>D3*$Y$3/1000</f>
        <v>160.6</v>
      </c>
      <c r="E21" s="17">
        <f>E3*$Y$3/1000*AB4</f>
        <v>156.2088</v>
      </c>
      <c r="F21" s="17">
        <f>F3*$Y$3/1000*AC4</f>
        <v>152.55752599999997</v>
      </c>
      <c r="G21" s="17">
        <f t="shared" ref="G21:X21" si="3">G3*$Y$3/1000*AD4</f>
        <v>148.3783605788</v>
      </c>
      <c r="H21" s="17">
        <f t="shared" si="3"/>
        <v>143.73621853736725</v>
      </c>
      <c r="I21" s="375">
        <f t="shared" si="3"/>
        <v>138.69111510553682</v>
      </c>
      <c r="J21" s="342">
        <f t="shared" si="3"/>
        <v>131.89020553503099</v>
      </c>
      <c r="K21" s="342">
        <f t="shared" si="3"/>
        <v>123.41444282206969</v>
      </c>
      <c r="L21" s="342">
        <f t="shared" si="3"/>
        <v>114.55009560191391</v>
      </c>
      <c r="M21" s="342">
        <f t="shared" si="3"/>
        <v>105.41696847734796</v>
      </c>
      <c r="N21" s="342">
        <f t="shared" si="3"/>
        <v>96.119191857645859</v>
      </c>
      <c r="O21" s="342">
        <f t="shared" si="3"/>
        <v>87.641479135801504</v>
      </c>
      <c r="P21" s="342">
        <f t="shared" si="3"/>
        <v>79.911500676023792</v>
      </c>
      <c r="Q21" s="342">
        <f>Q3*$Y$3/1000*AN4</f>
        <v>72.863306316398493</v>
      </c>
      <c r="R21" s="342">
        <f t="shared" si="3"/>
        <v>66.436762699292146</v>
      </c>
      <c r="S21" s="343">
        <f>S3*$Y$3/1000*AP4</f>
        <v>60.577040229214582</v>
      </c>
      <c r="T21" s="17">
        <f t="shared" si="3"/>
        <v>55.234145280997858</v>
      </c>
      <c r="U21" s="17">
        <f t="shared" si="3"/>
        <v>50.36249366721384</v>
      </c>
      <c r="V21" s="17">
        <f t="shared" si="3"/>
        <v>45.920521725765589</v>
      </c>
      <c r="W21" s="17">
        <f t="shared" si="3"/>
        <v>41.870331709553056</v>
      </c>
      <c r="X21" s="17">
        <f t="shared" si="3"/>
        <v>38.177368452770487</v>
      </c>
      <c r="Y21" s="32"/>
    </row>
    <row r="22" spans="1:45" x14ac:dyDescent="0.15">
      <c r="A22" t="s">
        <v>2</v>
      </c>
      <c r="D22" s="17">
        <f>D4*$Y$4/1000</f>
        <v>78.569999999999993</v>
      </c>
      <c r="E22" s="17">
        <f>E4*$Y$4/1000*AB4</f>
        <v>76.495170000000002</v>
      </c>
      <c r="F22" s="17">
        <f t="shared" ref="F22:X22" si="4">F4*$Y$4/1000*AC4</f>
        <v>74.839185999999998</v>
      </c>
      <c r="G22" s="17">
        <f t="shared" si="4"/>
        <v>72.91448641721999</v>
      </c>
      <c r="H22" s="17">
        <f t="shared" si="4"/>
        <v>70.753466483333924</v>
      </c>
      <c r="I22" s="375">
        <f t="shared" si="4"/>
        <v>68.386089333731107</v>
      </c>
      <c r="J22" s="342">
        <f t="shared" si="4"/>
        <v>65.083568312334819</v>
      </c>
      <c r="K22" s="342">
        <f t="shared" si="4"/>
        <v>60.90105241367214</v>
      </c>
      <c r="L22" s="342">
        <f t="shared" si="4"/>
        <v>56.526782576826463</v>
      </c>
      <c r="M22" s="342">
        <f t="shared" si="4"/>
        <v>52.019878514424015</v>
      </c>
      <c r="N22" s="342">
        <f t="shared" si="4"/>
        <v>47.4317252294518</v>
      </c>
      <c r="O22" s="342">
        <f t="shared" si="4"/>
        <v>43.248247064214155</v>
      </c>
      <c r="P22" s="342">
        <f t="shared" si="4"/>
        <v>39.433751673150461</v>
      </c>
      <c r="Q22" s="342">
        <f t="shared" si="4"/>
        <v>35.955694775578593</v>
      </c>
      <c r="R22" s="342">
        <f t="shared" si="4"/>
        <v>32.784402496372557</v>
      </c>
      <c r="S22" s="343">
        <f t="shared" si="4"/>
        <v>29.89281819619249</v>
      </c>
      <c r="T22" s="17">
        <f t="shared" si="4"/>
        <v>27.256271631288325</v>
      </c>
      <c r="U22" s="17">
        <f t="shared" si="4"/>
        <v>24.852268473408692</v>
      </c>
      <c r="V22" s="17">
        <f t="shared" si="4"/>
        <v>22.660298394054045</v>
      </c>
      <c r="W22" s="17">
        <f t="shared" si="4"/>
        <v>20.661660075698478</v>
      </c>
      <c r="X22" s="17">
        <f t="shared" si="4"/>
        <v>18.839301657021871</v>
      </c>
      <c r="Y22" s="32"/>
    </row>
    <row r="23" spans="1:45" x14ac:dyDescent="0.15">
      <c r="A23" t="s">
        <v>3</v>
      </c>
      <c r="D23" s="17">
        <f>D5*$Y$5/1000</f>
        <v>80.400000000000006</v>
      </c>
      <c r="E23" s="17">
        <f>E5*$Y$5/1000*AB4</f>
        <v>79.074399999999997</v>
      </c>
      <c r="F23" s="17">
        <f t="shared" ref="F23:O23" si="5">F5*$Y$5/1000*AC4</f>
        <v>80.089408000000006</v>
      </c>
      <c r="G23" s="17">
        <f t="shared" si="5"/>
        <v>83.746874480000002</v>
      </c>
      <c r="H23" s="17">
        <f t="shared" si="5"/>
        <v>90.512336894399994</v>
      </c>
      <c r="I23" s="375">
        <f t="shared" si="5"/>
        <v>100.36883292381599</v>
      </c>
      <c r="J23" s="342">
        <f t="shared" si="5"/>
        <v>112.55117730600648</v>
      </c>
      <c r="K23" s="342">
        <f t="shared" si="5"/>
        <v>126.30808654016944</v>
      </c>
      <c r="L23" s="342">
        <f t="shared" si="5"/>
        <v>141.67905722639722</v>
      </c>
      <c r="M23" s="342">
        <f t="shared" si="5"/>
        <v>158.60421537744332</v>
      </c>
      <c r="N23" s="342">
        <f t="shared" si="5"/>
        <v>177.48389945271137</v>
      </c>
      <c r="O23" s="342">
        <f t="shared" si="5"/>
        <v>184.52739841531039</v>
      </c>
      <c r="P23" s="342">
        <f t="shared" ref="P23:X23" si="6">P5*$Y$5/1000*AM4</f>
        <v>181.35655592589825</v>
      </c>
      <c r="Q23" s="342">
        <f t="shared" si="6"/>
        <v>169.21229828888931</v>
      </c>
      <c r="R23" s="342">
        <f t="shared" si="6"/>
        <v>149.0159719887254</v>
      </c>
      <c r="S23" s="343">
        <f>S5*$Y$5/1000*AP4</f>
        <v>121.41821397641343</v>
      </c>
      <c r="T23" s="17">
        <f t="shared" si="6"/>
        <v>98.931560747981635</v>
      </c>
      <c r="U23" s="17">
        <f t="shared" si="6"/>
        <v>80.60943569745541</v>
      </c>
      <c r="V23" s="17">
        <f t="shared" si="6"/>
        <v>65.680568206286637</v>
      </c>
      <c r="W23" s="17">
        <f t="shared" si="6"/>
        <v>53.51652697448236</v>
      </c>
      <c r="X23" s="17">
        <f t="shared" si="6"/>
        <v>43.605266178808208</v>
      </c>
      <c r="Y23" s="32"/>
    </row>
    <row r="24" spans="1:45" x14ac:dyDescent="0.15">
      <c r="A24" t="s">
        <v>4</v>
      </c>
      <c r="D24" s="267">
        <f>D6*$Y$6/1000</f>
        <v>3.5</v>
      </c>
      <c r="E24" s="267">
        <f>E6*$Y$6/1000*AB4</f>
        <v>3.9284999999999997</v>
      </c>
      <c r="F24" s="267">
        <f>F6*$Y$6/1000*AC4</f>
        <v>5.4572199999999995</v>
      </c>
      <c r="G24" s="17">
        <f t="shared" ref="G24:X24" si="7">G6*$Y$6/1000*AD4</f>
        <v>7.3013839999999997</v>
      </c>
      <c r="H24" s="17">
        <f t="shared" si="7"/>
        <v>9.1849129037499999</v>
      </c>
      <c r="I24" s="375">
        <f t="shared" si="7"/>
        <v>11.013263879602498</v>
      </c>
      <c r="J24" s="342">
        <f t="shared" si="7"/>
        <v>12.273009520623885</v>
      </c>
      <c r="K24" s="342">
        <f t="shared" si="7"/>
        <v>13.333397543205791</v>
      </c>
      <c r="L24" s="342">
        <f t="shared" si="7"/>
        <v>14.485403090938771</v>
      </c>
      <c r="M24" s="342">
        <f t="shared" si="7"/>
        <v>15.736941917995882</v>
      </c>
      <c r="N24" s="342">
        <f t="shared" si="7"/>
        <v>17.096613699710726</v>
      </c>
      <c r="O24" s="342">
        <f t="shared" si="7"/>
        <v>18.573761123365731</v>
      </c>
      <c r="P24" s="342">
        <f t="shared" si="7"/>
        <v>20.178534084424534</v>
      </c>
      <c r="Q24" s="342">
        <f t="shared" si="7"/>
        <v>21.921959429318818</v>
      </c>
      <c r="R24" s="342">
        <f t="shared" si="7"/>
        <v>23.816016724011966</v>
      </c>
      <c r="S24" s="343">
        <f t="shared" si="7"/>
        <v>25.873720568966601</v>
      </c>
      <c r="T24" s="17">
        <f t="shared" si="7"/>
        <v>28.109210026125314</v>
      </c>
      <c r="U24" s="17">
        <f t="shared" si="7"/>
        <v>30.537845772382546</v>
      </c>
      <c r="V24" s="17">
        <f t="shared" si="7"/>
        <v>33.176315647116404</v>
      </c>
      <c r="W24" s="17">
        <f t="shared" si="7"/>
        <v>36.042749319027259</v>
      </c>
      <c r="X24" s="17">
        <f t="shared" si="7"/>
        <v>39.156842860191219</v>
      </c>
      <c r="Y24" s="32"/>
    </row>
    <row r="25" spans="1:45" x14ac:dyDescent="0.15">
      <c r="A25" t="s">
        <v>5</v>
      </c>
      <c r="D25" s="17">
        <f>D7*$Y$7/1000</f>
        <v>1.5</v>
      </c>
      <c r="E25" s="17">
        <f>E7*$Y$7/1000*AB4</f>
        <v>2.1825000000000001</v>
      </c>
      <c r="F25" s="17">
        <f t="shared" ref="F25:X25" si="8">F7*$Y$7/1000*AC4</f>
        <v>3.528375</v>
      </c>
      <c r="G25" s="17">
        <f t="shared" si="8"/>
        <v>4.8873639149999999</v>
      </c>
      <c r="H25" s="17">
        <f t="shared" si="8"/>
        <v>6.1483585654499997</v>
      </c>
      <c r="I25" s="375">
        <f t="shared" si="8"/>
        <v>7.4323429924334983</v>
      </c>
      <c r="J25" s="342">
        <f t="shared" si="8"/>
        <v>8.6231344380262396</v>
      </c>
      <c r="K25" s="342">
        <f t="shared" si="8"/>
        <v>9.6191064656182679</v>
      </c>
      <c r="L25" s="342">
        <f t="shared" si="8"/>
        <v>10.730113262397179</v>
      </c>
      <c r="M25" s="342">
        <f t="shared" si="8"/>
        <v>11.96944134420405</v>
      </c>
      <c r="N25" s="342">
        <f t="shared" si="8"/>
        <v>12.415615571755525</v>
      </c>
      <c r="O25" s="342">
        <f t="shared" si="8"/>
        <v>12.038522613972388</v>
      </c>
      <c r="P25" s="342">
        <f t="shared" si="8"/>
        <v>11.677366935553218</v>
      </c>
      <c r="Q25" s="342">
        <f t="shared" si="8"/>
        <v>11.327045927486621</v>
      </c>
      <c r="R25" s="342">
        <f t="shared" si="8"/>
        <v>10.987234549662022</v>
      </c>
      <c r="S25" s="343">
        <f t="shared" si="8"/>
        <v>10.657617513172163</v>
      </c>
      <c r="T25" s="17">
        <f t="shared" si="8"/>
        <v>10.337888987776997</v>
      </c>
      <c r="U25" s="17">
        <f t="shared" si="8"/>
        <v>10.027752318143687</v>
      </c>
      <c r="V25" s="17">
        <f t="shared" si="8"/>
        <v>9.7269197485993768</v>
      </c>
      <c r="W25" s="17">
        <f t="shared" si="8"/>
        <v>9.4351121561413951</v>
      </c>
      <c r="X25" s="17">
        <f t="shared" si="8"/>
        <v>9.1520587914571525</v>
      </c>
      <c r="Y25" s="32"/>
    </row>
    <row r="26" spans="1:45" x14ac:dyDescent="0.15">
      <c r="A26" s="28" t="s">
        <v>39</v>
      </c>
      <c r="D26" s="17">
        <f>D8*$Y$8/1000</f>
        <v>2.5</v>
      </c>
      <c r="E26" s="17">
        <f>E8*$Y$8/1000*AB4</f>
        <v>2.4346999999999999</v>
      </c>
      <c r="F26" s="17">
        <f t="shared" ref="F26:X26" si="9">F8*$Y$8/1000*AC4</f>
        <v>2.1734789999999999</v>
      </c>
      <c r="G26" s="17">
        <f t="shared" si="9"/>
        <v>1.7851883879999999</v>
      </c>
      <c r="H26" s="17">
        <f t="shared" si="9"/>
        <v>1.32705392219</v>
      </c>
      <c r="I26" s="375">
        <f t="shared" si="9"/>
        <v>1.1653020728749</v>
      </c>
      <c r="J26" s="342">
        <f t="shared" si="9"/>
        <v>1.2409616929432241</v>
      </c>
      <c r="K26" s="342">
        <f t="shared" si="9"/>
        <v>1.1435462000471808</v>
      </c>
      <c r="L26" s="342">
        <f t="shared" si="9"/>
        <v>1.0537778233434771</v>
      </c>
      <c r="M26" s="342">
        <f t="shared" si="9"/>
        <v>0.97105626421101399</v>
      </c>
      <c r="N26" s="342">
        <f t="shared" si="9"/>
        <v>0.89482834747044937</v>
      </c>
      <c r="O26" s="342">
        <f t="shared" si="9"/>
        <v>0.82458432219401889</v>
      </c>
      <c r="P26" s="342">
        <f t="shared" si="9"/>
        <v>0.75985445290178832</v>
      </c>
      <c r="Q26" s="342">
        <f t="shared" si="9"/>
        <v>0.70020587834899795</v>
      </c>
      <c r="R26" s="342">
        <f t="shared" si="9"/>
        <v>0.6452397168986016</v>
      </c>
      <c r="S26" s="343">
        <f t="shared" si="9"/>
        <v>0.59458839912206141</v>
      </c>
      <c r="T26" s="17">
        <f t="shared" si="9"/>
        <v>0.54791320979097957</v>
      </c>
      <c r="U26" s="17">
        <f t="shared" si="9"/>
        <v>0.50490202282238761</v>
      </c>
      <c r="V26" s="17">
        <f t="shared" si="9"/>
        <v>0.46526721403083021</v>
      </c>
      <c r="W26" s="17">
        <f t="shared" si="9"/>
        <v>0.42874373772940993</v>
      </c>
      <c r="X26" s="17">
        <f t="shared" si="9"/>
        <v>0.39508735431765118</v>
      </c>
      <c r="Y26" s="32"/>
    </row>
    <row r="27" spans="1:45" x14ac:dyDescent="0.15">
      <c r="A27" s="28" t="s">
        <v>60</v>
      </c>
      <c r="D27" s="17">
        <f>D9*$Y$9/1000</f>
        <v>0</v>
      </c>
      <c r="E27" s="17">
        <f>E9*$Y$9/1000*AB4</f>
        <v>0</v>
      </c>
      <c r="F27" s="17">
        <f t="shared" ref="F27:X27" si="10">F9*$Y$9/1000*AC4</f>
        <v>9.4090000000000007E-2</v>
      </c>
      <c r="G27" s="17">
        <f t="shared" si="10"/>
        <v>0.54760379999999997</v>
      </c>
      <c r="H27" s="17">
        <f t="shared" si="10"/>
        <v>1.3279392149999998</v>
      </c>
      <c r="I27" s="375">
        <f>I9*$Y$9/1000*AF4</f>
        <v>2.0895861292033304</v>
      </c>
      <c r="J27" s="342">
        <f t="shared" si="10"/>
        <v>2.7626904830145111</v>
      </c>
      <c r="K27" s="342">
        <f t="shared" si="10"/>
        <v>3.4069943288270923</v>
      </c>
      <c r="L27" s="342">
        <f t="shared" si="10"/>
        <v>4.0101535224562062</v>
      </c>
      <c r="M27" s="342">
        <f t="shared" si="10"/>
        <v>4.5740568695716277</v>
      </c>
      <c r="N27" s="342">
        <f t="shared" si="10"/>
        <v>5.1005168776899144</v>
      </c>
      <c r="O27" s="342">
        <f t="shared" si="10"/>
        <v>5.6909379629687606</v>
      </c>
      <c r="P27" s="342">
        <f t="shared" si="10"/>
        <v>6.4034433959324488</v>
      </c>
      <c r="Q27" s="342">
        <f t="shared" si="10"/>
        <v>7.2051545091031928</v>
      </c>
      <c r="R27" s="342">
        <f t="shared" si="10"/>
        <v>8.1072398536429109</v>
      </c>
      <c r="S27" s="343">
        <f t="shared" si="10"/>
        <v>9.1222662833190018</v>
      </c>
      <c r="T27" s="17">
        <f t="shared" si="10"/>
        <v>10.264374021990541</v>
      </c>
      <c r="U27" s="17">
        <f t="shared" si="10"/>
        <v>11.549473649543756</v>
      </c>
      <c r="V27" s="17">
        <f t="shared" si="10"/>
        <v>12.995467750466631</v>
      </c>
      <c r="W27" s="17">
        <f t="shared" si="10"/>
        <v>14.62250031282505</v>
      </c>
      <c r="X27" s="17">
        <f t="shared" si="10"/>
        <v>16.453237351990747</v>
      </c>
      <c r="Y27" s="32"/>
    </row>
    <row r="28" spans="1:45" x14ac:dyDescent="0.15">
      <c r="A28" s="95" t="s">
        <v>281</v>
      </c>
      <c r="D28" s="17"/>
      <c r="E28" s="17"/>
      <c r="F28" s="17"/>
      <c r="G28" s="17"/>
      <c r="H28" s="17"/>
      <c r="I28" s="624">
        <f>I10*$Y$10/1000*AF4</f>
        <v>4.2936701284999997E-2</v>
      </c>
      <c r="J28" s="625">
        <f t="shared" ref="J28:R28" si="11">J10*$Y$10/1000*AG4</f>
        <v>7.1080277753941337E-2</v>
      </c>
      <c r="K28" s="625">
        <f t="shared" si="11"/>
        <v>0.11729217630072739</v>
      </c>
      <c r="L28" s="625">
        <f t="shared" si="11"/>
        <v>0.19319273810139206</v>
      </c>
      <c r="M28" s="625">
        <f t="shared" si="11"/>
        <v>0.31853681357626273</v>
      </c>
      <c r="N28" s="625">
        <f t="shared" si="11"/>
        <v>0.52467726628574141</v>
      </c>
      <c r="O28" s="625">
        <f t="shared" si="11"/>
        <v>0.86444174563194487</v>
      </c>
      <c r="P28" s="625">
        <f t="shared" si="11"/>
        <v>1.4244583671236339</v>
      </c>
      <c r="Q28" s="625">
        <f t="shared" si="11"/>
        <v>2.3468454634073592</v>
      </c>
      <c r="R28" s="625">
        <f t="shared" si="11"/>
        <v>3.8670756895379079</v>
      </c>
      <c r="S28" s="626">
        <f>S10*$Y$10/1000*AP4</f>
        <v>6.3717734650943729</v>
      </c>
      <c r="T28" s="255"/>
      <c r="U28" s="255"/>
      <c r="V28" s="255"/>
      <c r="W28" s="255"/>
      <c r="X28" s="255"/>
      <c r="Y28" s="32"/>
    </row>
    <row r="29" spans="1:45" x14ac:dyDescent="0.15">
      <c r="A29" s="95" t="s">
        <v>282</v>
      </c>
      <c r="D29" s="17"/>
      <c r="E29" s="17"/>
      <c r="F29" s="17"/>
      <c r="G29" s="17"/>
      <c r="H29" s="17"/>
      <c r="I29" s="624">
        <f>I11*$Y$11/1000*AF4</f>
        <v>2.1468350642499998E-2</v>
      </c>
      <c r="J29" s="625">
        <f t="shared" ref="J29:S29" si="12">J11*$Y$11/1000*AG4</f>
        <v>3.5002387213498923E-2</v>
      </c>
      <c r="K29" s="625">
        <f t="shared" si="12"/>
        <v>5.7068525246569281E-2</v>
      </c>
      <c r="L29" s="625">
        <f t="shared" si="12"/>
        <v>9.3045555834611757E-2</v>
      </c>
      <c r="M29" s="625">
        <f t="shared" si="12"/>
        <v>0.15170315726867861</v>
      </c>
      <c r="N29" s="625">
        <f t="shared" si="12"/>
        <v>0.24733957166307319</v>
      </c>
      <c r="O29" s="625">
        <f t="shared" si="12"/>
        <v>0.40326691159184858</v>
      </c>
      <c r="P29" s="625">
        <f t="shared" si="12"/>
        <v>0.65749366707222678</v>
      </c>
      <c r="Q29" s="625">
        <f t="shared" si="12"/>
        <v>1.0719895677372568</v>
      </c>
      <c r="R29" s="625">
        <f t="shared" si="12"/>
        <v>1.7477911817077212</v>
      </c>
      <c r="S29" s="626">
        <f t="shared" si="12"/>
        <v>2.8496303572275008</v>
      </c>
      <c r="T29" s="255"/>
      <c r="U29" s="255"/>
      <c r="V29" s="255"/>
      <c r="W29" s="255"/>
      <c r="X29" s="255"/>
      <c r="Y29" s="32"/>
    </row>
    <row r="30" spans="1:45" x14ac:dyDescent="0.15">
      <c r="A30" s="95" t="s">
        <v>283</v>
      </c>
      <c r="D30" s="17"/>
      <c r="E30" s="17"/>
      <c r="F30" s="17"/>
      <c r="G30" s="17"/>
      <c r="H30" s="17"/>
      <c r="I30" s="624">
        <f>I12*$Y$12/1000*AF4</f>
        <v>2.5762020770999997E-3</v>
      </c>
      <c r="J30" s="625">
        <f t="shared" ref="J30:S30" si="13">J12*$Y$12/1000*AG4</f>
        <v>4.3686628919281916E-3</v>
      </c>
      <c r="K30" s="625">
        <f t="shared" si="13"/>
        <v>7.4082757843260466E-3</v>
      </c>
      <c r="L30" s="625">
        <f t="shared" si="13"/>
        <v>1.2562779837747623E-2</v>
      </c>
      <c r="M30" s="625">
        <f t="shared" si="13"/>
        <v>2.1303666581315835E-2</v>
      </c>
      <c r="N30" s="625">
        <f t="shared" si="13"/>
        <v>3.612625674169604E-2</v>
      </c>
      <c r="O30" s="625">
        <f t="shared" si="13"/>
        <v>6.1262056519020475E-2</v>
      </c>
      <c r="P30" s="625">
        <f t="shared" si="13"/>
        <v>0.10388675460549428</v>
      </c>
      <c r="Q30" s="625">
        <f t="shared" si="13"/>
        <v>0.17616871511832732</v>
      </c>
      <c r="R30" s="625">
        <f t="shared" si="13"/>
        <v>0.29874276373632142</v>
      </c>
      <c r="S30" s="626">
        <f t="shared" si="13"/>
        <v>0.50660095252934556</v>
      </c>
      <c r="T30" s="255"/>
      <c r="U30" s="255"/>
      <c r="V30" s="255"/>
      <c r="W30" s="255"/>
      <c r="X30" s="255"/>
      <c r="Y30" s="32"/>
    </row>
    <row r="31" spans="1:45" x14ac:dyDescent="0.15">
      <c r="D31" s="13">
        <f>SUM(D21:D27)</f>
        <v>327.07</v>
      </c>
      <c r="E31" s="13">
        <f t="shared" ref="E31:X31" si="14">SUM(E21:E27)</f>
        <v>320.32407000000001</v>
      </c>
      <c r="F31" s="13">
        <f t="shared" si="14"/>
        <v>318.73928399999994</v>
      </c>
      <c r="G31" s="13">
        <f t="shared" si="14"/>
        <v>319.56126157901991</v>
      </c>
      <c r="H31" s="13">
        <f t="shared" si="14"/>
        <v>322.99028652149116</v>
      </c>
      <c r="I31" s="627">
        <f>SUM(I21:I30)</f>
        <v>329.21351369120276</v>
      </c>
      <c r="J31" s="628">
        <f t="shared" ref="J31:R31" si="15">SUM(J21:J30)</f>
        <v>334.53519861583953</v>
      </c>
      <c r="K31" s="628">
        <f t="shared" si="15"/>
        <v>338.30839529094118</v>
      </c>
      <c r="L31" s="628">
        <f t="shared" si="15"/>
        <v>343.33418417804705</v>
      </c>
      <c r="M31" s="628">
        <f t="shared" si="15"/>
        <v>349.78410240262411</v>
      </c>
      <c r="N31" s="628">
        <f t="shared" si="15"/>
        <v>357.35053413112615</v>
      </c>
      <c r="O31" s="628">
        <f t="shared" si="15"/>
        <v>353.87390135156977</v>
      </c>
      <c r="P31" s="628">
        <f t="shared" si="15"/>
        <v>341.90684593268583</v>
      </c>
      <c r="Q31" s="628">
        <f t="shared" si="15"/>
        <v>322.78066887138692</v>
      </c>
      <c r="R31" s="628">
        <f t="shared" si="15"/>
        <v>297.70647766358758</v>
      </c>
      <c r="S31" s="629">
        <f>SUM(S21:S30)</f>
        <v>267.86426994125156</v>
      </c>
      <c r="T31" s="13">
        <f t="shared" si="14"/>
        <v>230.68136390595166</v>
      </c>
      <c r="U31" s="13">
        <f t="shared" si="14"/>
        <v>208.44417160097032</v>
      </c>
      <c r="V31" s="13">
        <f t="shared" si="14"/>
        <v>190.62535868631954</v>
      </c>
      <c r="W31" s="13">
        <f t="shared" si="14"/>
        <v>176.57762428545701</v>
      </c>
      <c r="X31" s="13">
        <f t="shared" si="14"/>
        <v>165.77916264655732</v>
      </c>
      <c r="Y31" s="32"/>
    </row>
    <row r="32" spans="1:45" x14ac:dyDescent="0.15">
      <c r="A32" t="s">
        <v>6</v>
      </c>
      <c r="D32" s="17">
        <f>D14*$Y14/1000</f>
        <v>500</v>
      </c>
      <c r="E32" s="17">
        <f>E14*$Y14/1000*AB4</f>
        <v>485.72749999999996</v>
      </c>
      <c r="F32" s="17">
        <f t="shared" ref="F32:W32" si="16">F14*$Y14/1000*AC4</f>
        <v>472.57761012499998</v>
      </c>
      <c r="G32" s="17">
        <f t="shared" si="16"/>
        <v>460.48475279856876</v>
      </c>
      <c r="H32" s="17">
        <f t="shared" si="16"/>
        <v>449.38644572283073</v>
      </c>
      <c r="I32" s="341">
        <f>I14*$Y14/1000*AF4</f>
        <v>439.22317254003798</v>
      </c>
      <c r="J32" s="342">
        <f t="shared" si="16"/>
        <v>429.93825850950731</v>
      </c>
      <c r="K32" s="266">
        <f>K14*$Y14/1000*AH4</f>
        <v>421.47775101477794</v>
      </c>
      <c r="L32" s="342">
        <f t="shared" si="16"/>
        <v>413.79030472244295</v>
      </c>
      <c r="M32" s="150">
        <f t="shared" si="16"/>
        <v>406.82707122049021</v>
      </c>
      <c r="N32" s="342">
        <f>N14*$Y14/1000*AK4</f>
        <v>400.54159297013371</v>
      </c>
      <c r="O32" s="342">
        <f t="shared" si="16"/>
        <v>394.35322535874502</v>
      </c>
      <c r="P32" s="342">
        <f t="shared" si="16"/>
        <v>388.26046802695242</v>
      </c>
      <c r="Q32" s="342">
        <f t="shared" si="16"/>
        <v>382.26184379593587</v>
      </c>
      <c r="R32" s="342">
        <f t="shared" si="16"/>
        <v>376.35589830928865</v>
      </c>
      <c r="S32" s="343">
        <f>S14*$Y14/1000*AP4</f>
        <v>370.5411996804101</v>
      </c>
      <c r="T32" s="17">
        <f t="shared" si="16"/>
        <v>364.8163381453478</v>
      </c>
      <c r="U32" s="17">
        <f t="shared" si="16"/>
        <v>359.17992572100218</v>
      </c>
      <c r="V32" s="17">
        <f t="shared" si="16"/>
        <v>353.6305958686126</v>
      </c>
      <c r="W32" s="17">
        <f t="shared" si="16"/>
        <v>348.16700316244243</v>
      </c>
      <c r="X32" s="17">
        <f>X14*$Y14/1000*AU4</f>
        <v>342.78782296358264</v>
      </c>
    </row>
    <row r="33" spans="1:24" x14ac:dyDescent="0.15">
      <c r="A33" t="s">
        <v>7</v>
      </c>
      <c r="D33" s="17">
        <f>D15*$Y15/1000</f>
        <v>95</v>
      </c>
      <c r="E33" s="17">
        <f>E15*$Y15/1000*AB4</f>
        <v>92.288224999999997</v>
      </c>
      <c r="F33" s="17">
        <f t="shared" ref="F33:X33" si="17">F15*$Y15/1000*AC4</f>
        <v>89.789745923749976</v>
      </c>
      <c r="G33" s="17">
        <f t="shared" si="17"/>
        <v>87.49210303172805</v>
      </c>
      <c r="H33" s="17">
        <f t="shared" si="17"/>
        <v>85.383424687337836</v>
      </c>
      <c r="I33" s="375">
        <f t="shared" si="17"/>
        <v>83.452402782607194</v>
      </c>
      <c r="J33" s="342">
        <f t="shared" si="17"/>
        <v>81.688269116806396</v>
      </c>
      <c r="K33" s="342">
        <f t="shared" si="17"/>
        <v>80.080772692807798</v>
      </c>
      <c r="L33" s="342">
        <f t="shared" si="17"/>
        <v>78.620157897264178</v>
      </c>
      <c r="M33" s="342">
        <f t="shared" si="17"/>
        <v>77.297143531893155</v>
      </c>
      <c r="N33" s="342">
        <f t="shared" si="17"/>
        <v>76.102902664325384</v>
      </c>
      <c r="O33" s="342">
        <f t="shared" si="17"/>
        <v>74.927112818161532</v>
      </c>
      <c r="P33" s="342">
        <f t="shared" si="17"/>
        <v>73.769488925120953</v>
      </c>
      <c r="Q33" s="342">
        <f t="shared" si="17"/>
        <v>72.629750321227817</v>
      </c>
      <c r="R33" s="342">
        <f t="shared" si="17"/>
        <v>71.507620678764837</v>
      </c>
      <c r="S33" s="343">
        <f t="shared" si="17"/>
        <v>70.402827939277913</v>
      </c>
      <c r="T33" s="17">
        <f t="shared" si="17"/>
        <v>69.315104247616063</v>
      </c>
      <c r="U33" s="17">
        <f t="shared" si="17"/>
        <v>68.244185886990394</v>
      </c>
      <c r="V33" s="17">
        <f t="shared" si="17"/>
        <v>67.189813215036395</v>
      </c>
      <c r="W33" s="17">
        <f t="shared" si="17"/>
        <v>66.15173060086407</v>
      </c>
      <c r="X33" s="17">
        <f t="shared" si="17"/>
        <v>65.129686363080722</v>
      </c>
    </row>
    <row r="34" spans="1:24" x14ac:dyDescent="0.15">
      <c r="A34" t="s">
        <v>8</v>
      </c>
      <c r="D34" s="17">
        <f>D16*$Y16/1000</f>
        <v>51</v>
      </c>
      <c r="E34" s="17">
        <f>E16*$Y16/1000*AB4</f>
        <v>49.544204999999998</v>
      </c>
      <c r="F34" s="17">
        <f t="shared" ref="F34:X34" si="18">F16*$Y16/1000*AC4</f>
        <v>48.202916232749992</v>
      </c>
      <c r="G34" s="17">
        <f t="shared" si="18"/>
        <v>46.969444785454009</v>
      </c>
      <c r="H34" s="17">
        <f t="shared" si="18"/>
        <v>45.837417463728741</v>
      </c>
      <c r="I34" s="375">
        <f t="shared" si="18"/>
        <v>44.800763599083879</v>
      </c>
      <c r="J34" s="342">
        <f t="shared" si="18"/>
        <v>43.85370236796976</v>
      </c>
      <c r="K34" s="342">
        <f t="shared" si="18"/>
        <v>42.990730603507352</v>
      </c>
      <c r="L34" s="342">
        <f t="shared" si="18"/>
        <v>42.206611081689196</v>
      </c>
      <c r="M34" s="342">
        <f t="shared" si="18"/>
        <v>41.496361264490012</v>
      </c>
      <c r="N34" s="342">
        <f t="shared" si="18"/>
        <v>40.855242482953635</v>
      </c>
      <c r="O34" s="342">
        <f t="shared" si="18"/>
        <v>40.224028986591989</v>
      </c>
      <c r="P34" s="342">
        <f t="shared" si="18"/>
        <v>39.602567738749137</v>
      </c>
      <c r="Q34" s="342">
        <f t="shared" si="18"/>
        <v>38.990708067185473</v>
      </c>
      <c r="R34" s="342">
        <f t="shared" si="18"/>
        <v>38.388301627547442</v>
      </c>
      <c r="S34" s="343">
        <f t="shared" si="18"/>
        <v>37.795202367401828</v>
      </c>
      <c r="T34" s="17">
        <f t="shared" si="18"/>
        <v>37.211266490825466</v>
      </c>
      <c r="U34" s="17">
        <f t="shared" si="18"/>
        <v>36.636352423542213</v>
      </c>
      <c r="V34" s="17">
        <f t="shared" si="18"/>
        <v>36.070320778598493</v>
      </c>
      <c r="W34" s="17">
        <f t="shared" si="18"/>
        <v>35.513034322569133</v>
      </c>
      <c r="X34" s="17">
        <f t="shared" si="18"/>
        <v>34.964357942285432</v>
      </c>
    </row>
    <row r="35" spans="1:24" x14ac:dyDescent="0.15">
      <c r="A35" t="s">
        <v>12</v>
      </c>
      <c r="D35" s="17">
        <f>D17*$Y17/1000</f>
        <v>48.75</v>
      </c>
      <c r="E35" s="17">
        <f>E17*$Y17/1000*AB4</f>
        <v>47.358431249999995</v>
      </c>
      <c r="F35" s="17">
        <f t="shared" ref="F35:X35" si="19">F17*$Y17/1000*AC4</f>
        <v>46.076316987187496</v>
      </c>
      <c r="G35" s="17">
        <f t="shared" si="19"/>
        <v>44.897263397860442</v>
      </c>
      <c r="H35" s="17">
        <f t="shared" si="19"/>
        <v>43.815178457976003</v>
      </c>
      <c r="I35" s="375">
        <f t="shared" si="19"/>
        <v>42.824259322653702</v>
      </c>
      <c r="J35" s="342">
        <f t="shared" si="19"/>
        <v>41.918980204676977</v>
      </c>
      <c r="K35" s="342">
        <f t="shared" si="19"/>
        <v>41.094080723940841</v>
      </c>
      <c r="L35" s="342">
        <f t="shared" si="19"/>
        <v>40.344554710438189</v>
      </c>
      <c r="M35" s="342">
        <f t="shared" si="19"/>
        <v>39.66563944399779</v>
      </c>
      <c r="N35" s="342">
        <f t="shared" si="19"/>
        <v>39.052805314588021</v>
      </c>
      <c r="O35" s="342">
        <f t="shared" si="19"/>
        <v>38.449439472477628</v>
      </c>
      <c r="P35" s="342">
        <f t="shared" si="19"/>
        <v>37.855395632627854</v>
      </c>
      <c r="Q35" s="342">
        <f t="shared" si="19"/>
        <v>37.270529770103742</v>
      </c>
      <c r="R35" s="342">
        <f t="shared" si="19"/>
        <v>36.694700085155638</v>
      </c>
      <c r="S35" s="343">
        <f t="shared" si="19"/>
        <v>36.127766968839985</v>
      </c>
      <c r="T35" s="17">
        <f t="shared" si="19"/>
        <v>35.569592969171403</v>
      </c>
      <c r="U35" s="17">
        <f t="shared" si="19"/>
        <v>35.020042757797711</v>
      </c>
      <c r="V35" s="17">
        <f t="shared" si="19"/>
        <v>34.478983097189733</v>
      </c>
      <c r="W35" s="17">
        <f t="shared" si="19"/>
        <v>33.946282808338147</v>
      </c>
      <c r="X35" s="17">
        <f t="shared" si="19"/>
        <v>33.42181273894932</v>
      </c>
    </row>
    <row r="36" spans="1:24" x14ac:dyDescent="0.15">
      <c r="A36" t="s">
        <v>13</v>
      </c>
      <c r="D36" s="17">
        <f>D18*$Y18/1000</f>
        <v>24.5</v>
      </c>
      <c r="E36" s="17">
        <f>E18*$Y18/1000*AB4</f>
        <v>23.8006475</v>
      </c>
      <c r="F36" s="17">
        <f t="shared" ref="F36:X36" si="20">F18*$Y18/1000*AC4</f>
        <v>23.156302896124998</v>
      </c>
      <c r="G36" s="17">
        <f t="shared" si="20"/>
        <v>22.563752887129862</v>
      </c>
      <c r="H36" s="17">
        <f t="shared" si="20"/>
        <v>22.019935840418707</v>
      </c>
      <c r="I36" s="375">
        <f t="shared" si="20"/>
        <v>21.521935454461858</v>
      </c>
      <c r="J36" s="342">
        <f t="shared" si="20"/>
        <v>21.066974666965859</v>
      </c>
      <c r="K36" s="342">
        <f t="shared" si="20"/>
        <v>20.652409799724118</v>
      </c>
      <c r="L36" s="342">
        <f t="shared" si="20"/>
        <v>20.275724931399704</v>
      </c>
      <c r="M36" s="342">
        <f t="shared" si="20"/>
        <v>19.934526489804021</v>
      </c>
      <c r="N36" s="342">
        <f t="shared" si="20"/>
        <v>19.626538055536546</v>
      </c>
      <c r="O36" s="342">
        <f t="shared" si="20"/>
        <v>19.3233080425785</v>
      </c>
      <c r="P36" s="342">
        <f t="shared" si="20"/>
        <v>19.024762933320662</v>
      </c>
      <c r="Q36" s="342">
        <f t="shared" si="20"/>
        <v>18.730830346000857</v>
      </c>
      <c r="R36" s="342">
        <f t="shared" si="20"/>
        <v>18.44143901715514</v>
      </c>
      <c r="S36" s="343">
        <f t="shared" si="20"/>
        <v>18.15651878434009</v>
      </c>
      <c r="T36" s="17">
        <f t="shared" si="20"/>
        <v>17.876000569122034</v>
      </c>
      <c r="U36" s="17">
        <f t="shared" si="20"/>
        <v>17.5998163603291</v>
      </c>
      <c r="V36" s="17">
        <f t="shared" si="20"/>
        <v>17.327899197562015</v>
      </c>
      <c r="W36" s="17">
        <f t="shared" si="20"/>
        <v>17.060183154959681</v>
      </c>
      <c r="X36" s="17">
        <f t="shared" si="20"/>
        <v>16.796603325215553</v>
      </c>
    </row>
    <row r="37" spans="1:24" x14ac:dyDescent="0.15">
      <c r="D37" s="13">
        <f>SUM(D32:D36)</f>
        <v>719.25</v>
      </c>
      <c r="E37" s="13">
        <f t="shared" ref="E37:N37" si="21">SUM(E32:E36)</f>
        <v>698.71900874999994</v>
      </c>
      <c r="F37" s="13">
        <f t="shared" si="21"/>
        <v>679.80289216481242</v>
      </c>
      <c r="G37" s="13">
        <f t="shared" si="21"/>
        <v>662.40731690074119</v>
      </c>
      <c r="H37" s="13">
        <f t="shared" si="21"/>
        <v>646.44240217229208</v>
      </c>
      <c r="I37" s="627">
        <f t="shared" si="21"/>
        <v>631.82253369884461</v>
      </c>
      <c r="J37" s="628">
        <f t="shared" si="21"/>
        <v>618.46618486592627</v>
      </c>
      <c r="K37" s="628">
        <f t="shared" si="21"/>
        <v>606.2957448347579</v>
      </c>
      <c r="L37" s="628">
        <f t="shared" si="21"/>
        <v>595.23735334323419</v>
      </c>
      <c r="M37" s="628">
        <f t="shared" si="21"/>
        <v>585.22074195067512</v>
      </c>
      <c r="N37" s="628">
        <f t="shared" si="21"/>
        <v>576.17908148753725</v>
      </c>
      <c r="O37" s="628">
        <f t="shared" ref="O37:X37" si="22">SUM(O32:O36)</f>
        <v>567.27711467855454</v>
      </c>
      <c r="P37" s="628">
        <f t="shared" si="22"/>
        <v>558.51268325677097</v>
      </c>
      <c r="Q37" s="628">
        <f t="shared" si="22"/>
        <v>549.88366230045381</v>
      </c>
      <c r="R37" s="628">
        <f t="shared" si="22"/>
        <v>541.38795971791171</v>
      </c>
      <c r="S37" s="629">
        <f t="shared" si="22"/>
        <v>533.02351574026989</v>
      </c>
      <c r="T37" s="13">
        <f t="shared" si="22"/>
        <v>524.78830242208278</v>
      </c>
      <c r="U37" s="13">
        <f t="shared" si="22"/>
        <v>516.6803231496616</v>
      </c>
      <c r="V37" s="13">
        <f t="shared" si="22"/>
        <v>508.69761215699924</v>
      </c>
      <c r="W37" s="13">
        <f t="shared" si="22"/>
        <v>500.83823404917348</v>
      </c>
      <c r="X37" s="13">
        <f t="shared" si="22"/>
        <v>493.10028333311362</v>
      </c>
    </row>
    <row r="38" spans="1:24" x14ac:dyDescent="0.15">
      <c r="D38" s="13"/>
      <c r="E38" s="13"/>
      <c r="F38" s="13"/>
      <c r="G38" s="13"/>
      <c r="H38" s="13"/>
      <c r="I38" s="627"/>
      <c r="J38" s="628"/>
      <c r="K38" s="628"/>
      <c r="L38" s="628"/>
      <c r="M38" s="628"/>
      <c r="N38" s="628"/>
      <c r="O38" s="628"/>
      <c r="P38" s="628"/>
      <c r="Q38" s="628"/>
      <c r="R38" s="628"/>
      <c r="S38" s="629"/>
      <c r="T38" s="13"/>
      <c r="U38" s="13"/>
      <c r="V38" s="13"/>
      <c r="W38" s="13"/>
      <c r="X38" s="13"/>
    </row>
    <row r="39" spans="1:24" ht="19" thickBot="1" x14ac:dyDescent="0.25">
      <c r="A39" s="14" t="s">
        <v>185</v>
      </c>
      <c r="B39" s="9"/>
      <c r="C39" s="9"/>
      <c r="D39" s="254">
        <f>D31+D37</f>
        <v>1046.32</v>
      </c>
      <c r="E39" s="254">
        <f t="shared" ref="E39:M39" si="23">E31+E37</f>
        <v>1019.0430787499999</v>
      </c>
      <c r="F39" s="254">
        <f>F31+F37</f>
        <v>998.54217616481242</v>
      </c>
      <c r="G39" s="254">
        <f>G31+G37</f>
        <v>981.96857847976116</v>
      </c>
      <c r="H39" s="254">
        <f t="shared" si="23"/>
        <v>969.43268869378323</v>
      </c>
      <c r="I39" s="395">
        <f>I31+I37</f>
        <v>961.03604739004732</v>
      </c>
      <c r="J39" s="630">
        <f t="shared" si="23"/>
        <v>953.00138348176574</v>
      </c>
      <c r="K39" s="630">
        <f t="shared" si="23"/>
        <v>944.60414012569913</v>
      </c>
      <c r="L39" s="630">
        <f t="shared" si="23"/>
        <v>938.57153752128124</v>
      </c>
      <c r="M39" s="630">
        <f t="shared" si="23"/>
        <v>935.00484435329918</v>
      </c>
      <c r="N39" s="630">
        <f>N31+N37</f>
        <v>933.52961561866346</v>
      </c>
      <c r="O39" s="630">
        <f>O31+O37</f>
        <v>921.15101603012431</v>
      </c>
      <c r="P39" s="630">
        <f t="shared" ref="P39:X39" si="24">P31+P37</f>
        <v>900.41952918945685</v>
      </c>
      <c r="Q39" s="630">
        <f t="shared" si="24"/>
        <v>872.66433117184079</v>
      </c>
      <c r="R39" s="630">
        <f t="shared" si="24"/>
        <v>839.09443738149935</v>
      </c>
      <c r="S39" s="631">
        <f>S31+S37</f>
        <v>800.88778568152145</v>
      </c>
      <c r="T39" s="254">
        <f t="shared" si="24"/>
        <v>755.46966632803446</v>
      </c>
      <c r="U39" s="254">
        <f t="shared" si="24"/>
        <v>725.12449475063192</v>
      </c>
      <c r="V39" s="254">
        <f t="shared" si="24"/>
        <v>699.32297084331879</v>
      </c>
      <c r="W39" s="254">
        <f t="shared" si="24"/>
        <v>677.41585833463046</v>
      </c>
      <c r="X39" s="254">
        <f t="shared" si="24"/>
        <v>658.87944597967089</v>
      </c>
    </row>
    <row r="40" spans="1:24" x14ac:dyDescent="0.15">
      <c r="A40" s="7"/>
      <c r="B40" s="9"/>
      <c r="C40" s="9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pans="1:24" x14ac:dyDescent="0.15">
      <c r="A41" s="7"/>
      <c r="B41" s="9"/>
      <c r="C41" s="9"/>
      <c r="D41" s="18">
        <v>2010</v>
      </c>
      <c r="E41" s="18">
        <v>2011</v>
      </c>
      <c r="F41" s="18">
        <v>2012</v>
      </c>
      <c r="G41" s="18">
        <v>2013</v>
      </c>
      <c r="H41" s="18">
        <v>2014</v>
      </c>
      <c r="I41" s="18">
        <v>2015</v>
      </c>
      <c r="J41" s="18">
        <v>2016</v>
      </c>
      <c r="K41" s="18">
        <v>2017</v>
      </c>
      <c r="L41" s="18">
        <v>2018</v>
      </c>
      <c r="M41" s="18">
        <v>2019</v>
      </c>
      <c r="N41" s="18">
        <v>2020</v>
      </c>
      <c r="O41" s="18">
        <v>2021</v>
      </c>
      <c r="P41" s="18">
        <v>2022</v>
      </c>
      <c r="Q41" s="18">
        <v>2023</v>
      </c>
      <c r="R41" s="18">
        <v>2024</v>
      </c>
      <c r="S41" s="18">
        <v>2025</v>
      </c>
      <c r="T41" s="18">
        <v>2026</v>
      </c>
      <c r="U41" s="18">
        <v>2027</v>
      </c>
      <c r="V41" s="18">
        <v>2028</v>
      </c>
      <c r="W41" s="18">
        <v>2029</v>
      </c>
      <c r="X41" s="18">
        <v>2030</v>
      </c>
    </row>
    <row r="44" spans="1:24" x14ac:dyDescent="0.15">
      <c r="A44" s="93" t="s">
        <v>271</v>
      </c>
      <c r="D44">
        <f>D37/D39</f>
        <v>0.68740920559675822</v>
      </c>
      <c r="E44">
        <f t="shared" ref="E44:X44" si="25">E37/E39</f>
        <v>0.68566189528226551</v>
      </c>
      <c r="F44">
        <f t="shared" si="25"/>
        <v>0.68079537188483152</v>
      </c>
      <c r="G44">
        <f t="shared" si="25"/>
        <v>0.67457078710833085</v>
      </c>
      <c r="H44">
        <f t="shared" si="25"/>
        <v>0.66682546370837847</v>
      </c>
      <c r="I44">
        <f t="shared" si="25"/>
        <v>0.65743895394426588</v>
      </c>
      <c r="J44">
        <f t="shared" si="25"/>
        <v>0.64896672301395431</v>
      </c>
      <c r="K44">
        <f t="shared" si="25"/>
        <v>0.64185167000652543</v>
      </c>
      <c r="L44">
        <f t="shared" si="25"/>
        <v>0.63419497560646809</v>
      </c>
      <c r="M44">
        <f t="shared" si="25"/>
        <v>0.62590129397184679</v>
      </c>
      <c r="N44">
        <f t="shared" si="25"/>
        <v>0.61720493045707514</v>
      </c>
      <c r="O44">
        <f t="shared" si="25"/>
        <v>0.6158350854600837</v>
      </c>
      <c r="P44">
        <f t="shared" si="25"/>
        <v>0.62028050830876036</v>
      </c>
      <c r="Q44">
        <f t="shared" si="25"/>
        <v>0.63012047434327123</v>
      </c>
      <c r="R44">
        <f t="shared" si="25"/>
        <v>0.64520503962269316</v>
      </c>
      <c r="S44">
        <f t="shared" si="25"/>
        <v>0.66554082265930614</v>
      </c>
      <c r="T44">
        <f t="shared" si="25"/>
        <v>0.69465171907274581</v>
      </c>
      <c r="U44">
        <f t="shared" si="25"/>
        <v>0.71254015950370886</v>
      </c>
      <c r="V44">
        <f t="shared" si="25"/>
        <v>0.72741441846756016</v>
      </c>
      <c r="W44">
        <f t="shared" si="25"/>
        <v>0.73933644730497139</v>
      </c>
      <c r="X44">
        <f t="shared" si="25"/>
        <v>0.74839226863411334</v>
      </c>
    </row>
  </sheetData>
  <phoneticPr fontId="6" type="noConversion"/>
  <pageMargins left="0.75" right="0.75" top="1" bottom="1" header="0.5" footer="0.5"/>
  <pageSetup orientation="portrait" horizontalDpi="200" verticalDpi="2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107"/>
  <sheetViews>
    <sheetView topLeftCell="D92" zoomScale="132" zoomScaleNormal="132" workbookViewId="0">
      <selection activeCell="A28" sqref="A28"/>
    </sheetView>
  </sheetViews>
  <sheetFormatPr baseColWidth="10" defaultColWidth="11" defaultRowHeight="13" x14ac:dyDescent="0.15"/>
  <cols>
    <col min="1" max="1" width="24" bestFit="1" customWidth="1"/>
    <col min="2" max="2" width="11.6640625" bestFit="1" customWidth="1"/>
    <col min="3" max="3" width="14" customWidth="1"/>
    <col min="4" max="4" width="15.33203125" bestFit="1" customWidth="1"/>
    <col min="5" max="5" width="7.6640625" bestFit="1" customWidth="1"/>
    <col min="6" max="6" width="15.33203125" bestFit="1" customWidth="1"/>
    <col min="7" max="7" width="16.33203125" customWidth="1"/>
    <col min="8" max="8" width="7.5" bestFit="1" customWidth="1"/>
    <col min="9" max="9" width="13.5" bestFit="1" customWidth="1"/>
    <col min="10" max="10" width="7.5" bestFit="1" customWidth="1"/>
    <col min="11" max="12" width="13.5" bestFit="1" customWidth="1"/>
    <col min="13" max="13" width="7.5" bestFit="1" customWidth="1"/>
    <col min="14" max="15" width="13.5" bestFit="1" customWidth="1"/>
    <col min="16" max="16" width="12.6640625" bestFit="1" customWidth="1"/>
    <col min="17" max="18" width="13.5" bestFit="1" customWidth="1"/>
    <col min="19" max="19" width="12.6640625" bestFit="1" customWidth="1"/>
    <col min="20" max="21" width="13.5" bestFit="1" customWidth="1"/>
    <col min="22" max="23" width="13.33203125" bestFit="1" customWidth="1"/>
    <col min="24" max="24" width="9.33203125" bestFit="1" customWidth="1"/>
    <col min="25" max="25" width="5.83203125" bestFit="1" customWidth="1"/>
    <col min="26" max="26" width="4.6640625" bestFit="1" customWidth="1"/>
    <col min="27" max="27" width="13.33203125" bestFit="1" customWidth="1"/>
    <col min="28" max="28" width="9" bestFit="1" customWidth="1"/>
    <col min="29" max="30" width="9" customWidth="1"/>
  </cols>
  <sheetData>
    <row r="1" spans="1:49" ht="14" thickBot="1" x14ac:dyDescent="0.2">
      <c r="B1" s="14" t="s">
        <v>142</v>
      </c>
    </row>
    <row r="2" spans="1:49" s="7" customFormat="1" ht="39" x14ac:dyDescent="0.15">
      <c r="B2" s="345">
        <v>2010</v>
      </c>
      <c r="C2" s="345">
        <v>2011</v>
      </c>
      <c r="D2" s="345">
        <v>2012</v>
      </c>
      <c r="E2" s="345">
        <v>2013</v>
      </c>
      <c r="F2" s="345">
        <v>2014</v>
      </c>
      <c r="G2" s="371">
        <v>2015</v>
      </c>
      <c r="H2" s="372">
        <v>2016</v>
      </c>
      <c r="I2" s="372">
        <v>2017</v>
      </c>
      <c r="J2" s="372">
        <v>2018</v>
      </c>
      <c r="K2" s="372">
        <v>2019</v>
      </c>
      <c r="L2" s="372">
        <v>2020</v>
      </c>
      <c r="M2" s="373">
        <v>2021</v>
      </c>
      <c r="N2" s="373">
        <v>2022</v>
      </c>
      <c r="O2" s="373">
        <v>2023</v>
      </c>
      <c r="P2" s="373">
        <v>2024</v>
      </c>
      <c r="Q2" s="374">
        <v>2025</v>
      </c>
      <c r="R2" s="378">
        <v>2026</v>
      </c>
      <c r="S2" s="378">
        <v>2027</v>
      </c>
      <c r="T2" s="378">
        <v>2028</v>
      </c>
      <c r="U2" s="378">
        <v>2029</v>
      </c>
      <c r="V2" s="378">
        <v>2030</v>
      </c>
      <c r="W2" s="379" t="s">
        <v>55</v>
      </c>
      <c r="X2" s="55" t="s">
        <v>61</v>
      </c>
      <c r="Y2" s="55" t="s">
        <v>56</v>
      </c>
      <c r="AB2" s="8" t="s">
        <v>11</v>
      </c>
      <c r="AC2" s="8"/>
      <c r="AD2" s="8">
        <v>2011</v>
      </c>
      <c r="AE2" s="7">
        <v>2012</v>
      </c>
      <c r="AF2" s="7">
        <v>2013</v>
      </c>
      <c r="AG2" s="7">
        <v>2014</v>
      </c>
      <c r="AH2" s="7">
        <v>2015</v>
      </c>
      <c r="AI2" s="7">
        <v>2016</v>
      </c>
      <c r="AJ2" s="7">
        <v>2017</v>
      </c>
      <c r="AK2" s="7">
        <v>2018</v>
      </c>
      <c r="AL2" s="7">
        <v>2019</v>
      </c>
      <c r="AM2" s="7">
        <v>2020</v>
      </c>
      <c r="AN2" s="7">
        <v>2021</v>
      </c>
      <c r="AO2" s="7">
        <v>2022</v>
      </c>
      <c r="AP2" s="7">
        <v>2023</v>
      </c>
      <c r="AQ2" s="7">
        <v>2024</v>
      </c>
      <c r="AR2" s="7">
        <v>2025</v>
      </c>
      <c r="AS2" s="7">
        <v>2026</v>
      </c>
      <c r="AT2" s="7">
        <v>2027</v>
      </c>
      <c r="AU2" s="7">
        <v>2028</v>
      </c>
      <c r="AV2" s="7">
        <v>2029</v>
      </c>
      <c r="AW2" s="7">
        <v>2030</v>
      </c>
    </row>
    <row r="3" spans="1:49" ht="14" x14ac:dyDescent="0.15">
      <c r="A3" t="s">
        <v>1</v>
      </c>
      <c r="B3" s="348">
        <v>146</v>
      </c>
      <c r="C3" s="348">
        <v>148</v>
      </c>
      <c r="D3" s="348">
        <v>151</v>
      </c>
      <c r="E3" s="348">
        <f>D3*0.98</f>
        <v>147.97999999999999</v>
      </c>
      <c r="F3" s="348">
        <f t="shared" ref="F3:G4" si="0">E3*0.98</f>
        <v>145.0204</v>
      </c>
      <c r="G3" s="375">
        <f>F3*0.98</f>
        <v>142.119992</v>
      </c>
      <c r="H3" s="266">
        <f>G3*$AA$3</f>
        <v>133.59279247999999</v>
      </c>
      <c r="I3" s="266">
        <f>H3*$AA$3</f>
        <v>125.57722493119998</v>
      </c>
      <c r="J3" s="266">
        <f t="shared" ref="J3:L3" si="1">I3*$AA$3</f>
        <v>118.04259143532798</v>
      </c>
      <c r="K3" s="266">
        <f t="shared" si="1"/>
        <v>110.96003594920829</v>
      </c>
      <c r="L3" s="266">
        <f t="shared" si="1"/>
        <v>104.30243379225578</v>
      </c>
      <c r="M3" s="342">
        <f>L$3/K$3*L$3</f>
        <v>98.044287764720437</v>
      </c>
      <c r="N3" s="342">
        <f>M$3/L$3*M$3</f>
        <v>92.161630498837212</v>
      </c>
      <c r="O3" s="342">
        <f t="shared" ref="O3:U3" si="2">N$3/M$3*N$3</f>
        <v>86.631932668906984</v>
      </c>
      <c r="P3" s="342">
        <f t="shared" si="2"/>
        <v>81.434016708772575</v>
      </c>
      <c r="Q3" s="343">
        <f>P$3/O$3*P$3</f>
        <v>76.54797570624622</v>
      </c>
      <c r="R3" s="109">
        <f t="shared" si="2"/>
        <v>71.955097163871443</v>
      </c>
      <c r="S3" s="109">
        <f t="shared" si="2"/>
        <v>67.63779133403915</v>
      </c>
      <c r="T3" s="109">
        <f t="shared" si="2"/>
        <v>63.579523853996797</v>
      </c>
      <c r="U3" s="109">
        <f t="shared" si="2"/>
        <v>59.764752422756985</v>
      </c>
      <c r="V3" s="109">
        <f>U$3/T$3*U$3</f>
        <v>56.178867277391561</v>
      </c>
      <c r="W3" s="109">
        <v>60</v>
      </c>
      <c r="X3" s="17">
        <v>215</v>
      </c>
      <c r="Y3" s="17">
        <v>215</v>
      </c>
      <c r="AA3" s="21">
        <v>0.94</v>
      </c>
      <c r="AB3">
        <v>1</v>
      </c>
      <c r="AC3" s="28" t="s">
        <v>55</v>
      </c>
      <c r="AD3" s="28">
        <v>0.95</v>
      </c>
      <c r="AE3" s="27">
        <f>AD3*0.95</f>
        <v>0.90249999999999997</v>
      </c>
      <c r="AF3" s="21">
        <f>AE3*0.95</f>
        <v>0.85737499999999989</v>
      </c>
      <c r="AG3" s="21">
        <f t="shared" ref="AG3:AW3" si="3">AF3*0.95</f>
        <v>0.81450624999999988</v>
      </c>
      <c r="AH3" s="21">
        <f t="shared" si="3"/>
        <v>0.77378093749999988</v>
      </c>
      <c r="AI3" s="21">
        <f t="shared" si="3"/>
        <v>0.7350918906249998</v>
      </c>
      <c r="AJ3" s="21">
        <f t="shared" si="3"/>
        <v>0.69833729609374973</v>
      </c>
      <c r="AK3" s="21">
        <f t="shared" si="3"/>
        <v>0.66342043128906225</v>
      </c>
      <c r="AL3" s="21">
        <f t="shared" si="3"/>
        <v>0.63024940972460908</v>
      </c>
      <c r="AM3" s="21">
        <f t="shared" si="3"/>
        <v>0.59873693923837856</v>
      </c>
      <c r="AN3" s="21">
        <f t="shared" si="3"/>
        <v>0.56880009227645956</v>
      </c>
      <c r="AO3" s="21">
        <f t="shared" si="3"/>
        <v>0.54036008766263655</v>
      </c>
      <c r="AP3" s="21">
        <f t="shared" si="3"/>
        <v>0.5133420832795047</v>
      </c>
      <c r="AQ3" s="21">
        <f t="shared" si="3"/>
        <v>0.48767497911552943</v>
      </c>
      <c r="AR3" s="21">
        <f t="shared" si="3"/>
        <v>0.46329123015975293</v>
      </c>
      <c r="AS3" s="21">
        <f t="shared" si="3"/>
        <v>0.44012666865176525</v>
      </c>
      <c r="AT3" s="21">
        <f t="shared" si="3"/>
        <v>0.41812033521917696</v>
      </c>
      <c r="AU3" s="21">
        <f t="shared" si="3"/>
        <v>0.39721431845821809</v>
      </c>
      <c r="AV3" s="21">
        <f t="shared" si="3"/>
        <v>0.37735360253530714</v>
      </c>
      <c r="AW3" s="21">
        <f t="shared" si="3"/>
        <v>0.35848592240854177</v>
      </c>
    </row>
    <row r="4" spans="1:49" ht="14" x14ac:dyDescent="0.15">
      <c r="A4" t="s">
        <v>2</v>
      </c>
      <c r="B4" s="348">
        <v>162</v>
      </c>
      <c r="C4" s="348">
        <v>165</v>
      </c>
      <c r="D4" s="348">
        <v>169</v>
      </c>
      <c r="E4" s="348">
        <f>D4*0.98</f>
        <v>165.62</v>
      </c>
      <c r="F4" s="348">
        <f t="shared" si="0"/>
        <v>162.30760000000001</v>
      </c>
      <c r="G4" s="375">
        <f t="shared" si="0"/>
        <v>159.06144800000001</v>
      </c>
      <c r="H4" s="266">
        <f>G4*$AA$3</f>
        <v>149.51776112000002</v>
      </c>
      <c r="I4" s="266">
        <f t="shared" ref="I4:L4" si="4">H4*$AA$3</f>
        <v>140.54669545280001</v>
      </c>
      <c r="J4" s="266">
        <f t="shared" si="4"/>
        <v>132.11389372563201</v>
      </c>
      <c r="K4" s="266">
        <f t="shared" si="4"/>
        <v>124.18706010209408</v>
      </c>
      <c r="L4" s="266">
        <f t="shared" si="4"/>
        <v>116.73583649596843</v>
      </c>
      <c r="M4" s="342">
        <f t="shared" ref="M4:V4" si="5">L$4/K$4*L$4</f>
        <v>109.73168630621032</v>
      </c>
      <c r="N4" s="342">
        <f t="shared" si="5"/>
        <v>103.14778512783769</v>
      </c>
      <c r="O4" s="342">
        <f t="shared" si="5"/>
        <v>96.958918020167431</v>
      </c>
      <c r="P4" s="342">
        <f t="shared" si="5"/>
        <v>91.141382938957378</v>
      </c>
      <c r="Q4" s="343">
        <f t="shared" si="5"/>
        <v>85.672899962619937</v>
      </c>
      <c r="R4" s="109">
        <f t="shared" si="5"/>
        <v>80.532525964862742</v>
      </c>
      <c r="S4" s="109">
        <f t="shared" si="5"/>
        <v>75.700574406970986</v>
      </c>
      <c r="T4" s="109">
        <f t="shared" si="5"/>
        <v>71.158539942552736</v>
      </c>
      <c r="U4" s="109">
        <f t="shared" si="5"/>
        <v>66.889027545999582</v>
      </c>
      <c r="V4" s="109">
        <f t="shared" si="5"/>
        <v>62.87568589323962</v>
      </c>
      <c r="W4" s="109">
        <v>187</v>
      </c>
      <c r="X4" s="17">
        <v>268</v>
      </c>
      <c r="Y4" s="17">
        <v>334</v>
      </c>
      <c r="AB4">
        <v>1</v>
      </c>
      <c r="AC4" s="28" t="s">
        <v>16</v>
      </c>
      <c r="AD4" s="28">
        <v>0.97</v>
      </c>
      <c r="AE4" s="27">
        <f>AD4*0.97</f>
        <v>0.94089999999999996</v>
      </c>
      <c r="AF4" s="21">
        <f>AE4*0.97</f>
        <v>0.91267299999999996</v>
      </c>
      <c r="AG4" s="21">
        <f t="shared" ref="AG4:AW4" si="6">AF4*0.97</f>
        <v>0.88529280999999993</v>
      </c>
      <c r="AH4" s="21">
        <f t="shared" si="6"/>
        <v>0.8587340256999999</v>
      </c>
      <c r="AI4" s="21">
        <f t="shared" si="6"/>
        <v>0.83297200492899992</v>
      </c>
      <c r="AJ4" s="21">
        <f t="shared" si="6"/>
        <v>0.80798284478112992</v>
      </c>
      <c r="AK4" s="21">
        <f t="shared" si="6"/>
        <v>0.78374335943769602</v>
      </c>
      <c r="AL4" s="21">
        <f t="shared" si="6"/>
        <v>0.76023105865456508</v>
      </c>
      <c r="AM4" s="21">
        <f t="shared" si="6"/>
        <v>0.73742412689492809</v>
      </c>
      <c r="AN4" s="21">
        <f t="shared" si="6"/>
        <v>0.71530140308808021</v>
      </c>
      <c r="AO4" s="21">
        <f t="shared" si="6"/>
        <v>0.69384236099543783</v>
      </c>
      <c r="AP4" s="21">
        <f t="shared" si="6"/>
        <v>0.67302709016557472</v>
      </c>
      <c r="AQ4" s="21">
        <f t="shared" si="6"/>
        <v>0.65283627746060746</v>
      </c>
      <c r="AR4" s="21">
        <f t="shared" si="6"/>
        <v>0.63325118913678924</v>
      </c>
      <c r="AS4" s="21">
        <f t="shared" si="6"/>
        <v>0.61425365346268557</v>
      </c>
      <c r="AT4" s="21">
        <f t="shared" si="6"/>
        <v>0.595826043858805</v>
      </c>
      <c r="AU4" s="21">
        <f t="shared" si="6"/>
        <v>0.57795126254304086</v>
      </c>
      <c r="AV4" s="21">
        <f t="shared" si="6"/>
        <v>0.56061272466674961</v>
      </c>
      <c r="AW4" s="21">
        <f t="shared" si="6"/>
        <v>0.54379434292674711</v>
      </c>
    </row>
    <row r="5" spans="1:49" ht="14" x14ac:dyDescent="0.15">
      <c r="A5" t="s">
        <v>3</v>
      </c>
      <c r="B5" s="348">
        <v>201</v>
      </c>
      <c r="C5" s="348">
        <v>215</v>
      </c>
      <c r="D5" s="348">
        <v>246</v>
      </c>
      <c r="E5" s="348">
        <v>284</v>
      </c>
      <c r="F5" s="348">
        <v>332</v>
      </c>
      <c r="G5" s="375">
        <v>384</v>
      </c>
      <c r="H5" s="342">
        <v>443</v>
      </c>
      <c r="I5" s="342">
        <v>511.06510416666663</v>
      </c>
      <c r="J5" s="342">
        <v>589.58812798394092</v>
      </c>
      <c r="K5" s="342">
        <v>680.17588723147344</v>
      </c>
      <c r="L5" s="342">
        <v>784.68207823839248</v>
      </c>
      <c r="M5" s="342">
        <f>L5*0.84</f>
        <v>659.13294572024961</v>
      </c>
      <c r="N5" s="342">
        <f t="shared" ref="N5:V5" si="7">M$5/L$5*M$5</f>
        <v>553.67167440500953</v>
      </c>
      <c r="O5" s="342">
        <f t="shared" si="7"/>
        <v>465.08420650020787</v>
      </c>
      <c r="P5" s="342">
        <f t="shared" si="7"/>
        <v>390.67073346017452</v>
      </c>
      <c r="Q5" s="343">
        <f t="shared" si="7"/>
        <v>328.16341610654649</v>
      </c>
      <c r="R5" s="109">
        <f t="shared" si="7"/>
        <v>275.65726952949899</v>
      </c>
      <c r="S5" s="109">
        <f t="shared" si="7"/>
        <v>231.55210640477912</v>
      </c>
      <c r="T5" s="109">
        <f t="shared" si="7"/>
        <v>194.50376938001443</v>
      </c>
      <c r="U5" s="109">
        <f t="shared" si="7"/>
        <v>163.38316627921211</v>
      </c>
      <c r="V5" s="109">
        <f t="shared" si="7"/>
        <v>137.24185967453815</v>
      </c>
      <c r="W5" s="109">
        <v>75</v>
      </c>
      <c r="X5" s="17">
        <v>167</v>
      </c>
      <c r="Y5" s="17">
        <v>167</v>
      </c>
      <c r="AB5">
        <v>1</v>
      </c>
      <c r="AC5" s="28" t="s">
        <v>56</v>
      </c>
      <c r="AD5" s="28">
        <v>0.99</v>
      </c>
      <c r="AE5" s="27">
        <f>AD5*0.99</f>
        <v>0.98009999999999997</v>
      </c>
      <c r="AF5" s="21">
        <f>AE5*0.99</f>
        <v>0.97029899999999991</v>
      </c>
      <c r="AG5" s="21">
        <f t="shared" ref="AG5:AW5" si="8">AF5*0.99</f>
        <v>0.96059600999999994</v>
      </c>
      <c r="AH5" s="21">
        <f t="shared" si="8"/>
        <v>0.95099004989999991</v>
      </c>
      <c r="AI5" s="21">
        <f t="shared" si="8"/>
        <v>0.94148014940099989</v>
      </c>
      <c r="AJ5" s="21">
        <f t="shared" si="8"/>
        <v>0.93206534790698992</v>
      </c>
      <c r="AK5" s="21">
        <f t="shared" si="8"/>
        <v>0.92274469442791995</v>
      </c>
      <c r="AL5" s="21">
        <f t="shared" si="8"/>
        <v>0.91351724748364072</v>
      </c>
      <c r="AM5" s="21">
        <f t="shared" si="8"/>
        <v>0.9043820750088043</v>
      </c>
      <c r="AN5" s="21">
        <f t="shared" si="8"/>
        <v>0.89533825425871627</v>
      </c>
      <c r="AO5" s="21">
        <f t="shared" si="8"/>
        <v>0.88638487171612912</v>
      </c>
      <c r="AP5" s="21">
        <f t="shared" si="8"/>
        <v>0.87752102299896784</v>
      </c>
      <c r="AQ5" s="21">
        <f t="shared" si="8"/>
        <v>0.86874581276897811</v>
      </c>
      <c r="AR5" s="21">
        <f t="shared" si="8"/>
        <v>0.86005835464128833</v>
      </c>
      <c r="AS5" s="21">
        <f t="shared" si="8"/>
        <v>0.85145777109487542</v>
      </c>
      <c r="AT5" s="21">
        <f t="shared" si="8"/>
        <v>0.84294319338392665</v>
      </c>
      <c r="AU5" s="21">
        <f t="shared" si="8"/>
        <v>0.83451376145008738</v>
      </c>
      <c r="AV5" s="21">
        <f t="shared" si="8"/>
        <v>0.82616862383558654</v>
      </c>
      <c r="AW5" s="21">
        <f t="shared" si="8"/>
        <v>0.81790693759723065</v>
      </c>
    </row>
    <row r="6" spans="1:49" x14ac:dyDescent="0.15">
      <c r="A6" t="s">
        <v>4</v>
      </c>
      <c r="B6" s="348">
        <v>350</v>
      </c>
      <c r="C6" s="348">
        <v>460</v>
      </c>
      <c r="D6" s="348">
        <v>700</v>
      </c>
      <c r="E6" s="348">
        <v>900</v>
      </c>
      <c r="F6" s="348">
        <v>1175</v>
      </c>
      <c r="G6" s="375">
        <v>1390</v>
      </c>
      <c r="H6" s="342">
        <f>G6*1.12</f>
        <v>1556.8000000000002</v>
      </c>
      <c r="I6" s="342">
        <f t="shared" ref="I6:V6" si="9">H6*1.12</f>
        <v>1743.6160000000004</v>
      </c>
      <c r="J6" s="342">
        <f t="shared" si="9"/>
        <v>1952.8499200000006</v>
      </c>
      <c r="K6" s="342">
        <f t="shared" si="9"/>
        <v>2187.1919104000008</v>
      </c>
      <c r="L6" s="342">
        <f t="shared" si="9"/>
        <v>2449.6549396480009</v>
      </c>
      <c r="M6" s="342">
        <f t="shared" si="9"/>
        <v>2743.6135324057614</v>
      </c>
      <c r="N6" s="342">
        <f t="shared" si="9"/>
        <v>3072.8471562944528</v>
      </c>
      <c r="O6" s="342">
        <f t="shared" si="9"/>
        <v>3441.5888150497876</v>
      </c>
      <c r="P6" s="342">
        <f t="shared" si="9"/>
        <v>3854.5794728557626</v>
      </c>
      <c r="Q6" s="343">
        <f>P6*1.12</f>
        <v>4317.1290095984541</v>
      </c>
      <c r="R6" s="109">
        <f t="shared" si="9"/>
        <v>4835.1844907502691</v>
      </c>
      <c r="S6" s="109">
        <f t="shared" si="9"/>
        <v>5415.4066296403016</v>
      </c>
      <c r="T6" s="109">
        <f t="shared" si="9"/>
        <v>6065.2554251971387</v>
      </c>
      <c r="U6" s="109">
        <f t="shared" si="9"/>
        <v>6793.0860762207958</v>
      </c>
      <c r="V6" s="109">
        <f t="shared" si="9"/>
        <v>7608.2564053672922</v>
      </c>
      <c r="W6" s="109">
        <v>30</v>
      </c>
      <c r="X6" s="17">
        <v>40</v>
      </c>
      <c r="Y6" s="17">
        <v>60</v>
      </c>
    </row>
    <row r="7" spans="1:49" x14ac:dyDescent="0.15">
      <c r="A7" t="s">
        <v>5</v>
      </c>
      <c r="B7" s="348">
        <v>50</v>
      </c>
      <c r="C7" s="348">
        <v>100</v>
      </c>
      <c r="D7" s="348">
        <v>150</v>
      </c>
      <c r="E7" s="348">
        <v>207</v>
      </c>
      <c r="F7" s="348">
        <v>256</v>
      </c>
      <c r="G7" s="375">
        <v>321</v>
      </c>
      <c r="H7" s="342">
        <f>G7*1.15</f>
        <v>369.15</v>
      </c>
      <c r="I7" s="342">
        <f>H7*1.15</f>
        <v>424.52249999999992</v>
      </c>
      <c r="J7" s="342">
        <f>I7*1.15</f>
        <v>488.20087499999988</v>
      </c>
      <c r="K7" s="342">
        <f>J7*1.15</f>
        <v>561.43100624999977</v>
      </c>
      <c r="L7" s="342">
        <v>561</v>
      </c>
      <c r="M7" s="342">
        <v>561</v>
      </c>
      <c r="N7" s="342">
        <v>561</v>
      </c>
      <c r="O7" s="342">
        <v>561</v>
      </c>
      <c r="P7" s="342">
        <v>561</v>
      </c>
      <c r="Q7" s="343">
        <v>561</v>
      </c>
      <c r="R7" s="109">
        <v>561</v>
      </c>
      <c r="S7" s="109">
        <v>561</v>
      </c>
      <c r="T7" s="109">
        <v>561</v>
      </c>
      <c r="U7" s="109">
        <v>561</v>
      </c>
      <c r="V7" s="109">
        <v>561</v>
      </c>
      <c r="W7" s="109">
        <v>78</v>
      </c>
      <c r="X7" s="17">
        <v>75</v>
      </c>
      <c r="Y7" s="17">
        <v>287</v>
      </c>
    </row>
    <row r="8" spans="1:49" x14ac:dyDescent="0.15">
      <c r="A8" s="28" t="s">
        <v>268</v>
      </c>
      <c r="B8" s="348">
        <v>1250</v>
      </c>
      <c r="C8" s="348">
        <v>1260</v>
      </c>
      <c r="D8" s="348">
        <v>1050</v>
      </c>
      <c r="E8" s="348">
        <f>1220-314</f>
        <v>906</v>
      </c>
      <c r="F8" s="348">
        <v>593</v>
      </c>
      <c r="G8" s="375">
        <v>764</v>
      </c>
      <c r="H8" s="342">
        <f t="shared" ref="H8:V8" si="10">G8*0.95</f>
        <v>725.8</v>
      </c>
      <c r="I8" s="342">
        <f t="shared" si="10"/>
        <v>689.50999999999988</v>
      </c>
      <c r="J8" s="342">
        <f t="shared" si="10"/>
        <v>655.03449999999987</v>
      </c>
      <c r="K8" s="342">
        <f t="shared" si="10"/>
        <v>622.28277499999979</v>
      </c>
      <c r="L8" s="342">
        <f t="shared" si="10"/>
        <v>591.16863624999974</v>
      </c>
      <c r="M8" s="342">
        <f t="shared" si="10"/>
        <v>561.61020443749976</v>
      </c>
      <c r="N8" s="342">
        <f t="shared" si="10"/>
        <v>533.52969421562477</v>
      </c>
      <c r="O8" s="342">
        <f t="shared" si="10"/>
        <v>506.85320950484351</v>
      </c>
      <c r="P8" s="342">
        <f t="shared" si="10"/>
        <v>481.51054902960129</v>
      </c>
      <c r="Q8" s="343">
        <f t="shared" si="10"/>
        <v>457.43502157812122</v>
      </c>
      <c r="R8" s="109">
        <f t="shared" si="10"/>
        <v>434.56327049921515</v>
      </c>
      <c r="S8" s="109">
        <f t="shared" si="10"/>
        <v>412.83510697425436</v>
      </c>
      <c r="T8" s="109">
        <f t="shared" si="10"/>
        <v>392.1933516255416</v>
      </c>
      <c r="U8" s="109">
        <f t="shared" si="10"/>
        <v>372.58368404426449</v>
      </c>
      <c r="V8" s="109">
        <f t="shared" si="10"/>
        <v>353.95449984205123</v>
      </c>
      <c r="W8" s="109">
        <v>10</v>
      </c>
      <c r="X8" s="17">
        <v>12</v>
      </c>
      <c r="Y8" s="17">
        <v>15</v>
      </c>
    </row>
    <row r="9" spans="1:49" x14ac:dyDescent="0.15">
      <c r="A9" s="28" t="s">
        <v>60</v>
      </c>
      <c r="B9" s="348">
        <v>0</v>
      </c>
      <c r="C9" s="348">
        <v>0</v>
      </c>
      <c r="D9" s="348">
        <v>10</v>
      </c>
      <c r="E9" s="348">
        <v>50</v>
      </c>
      <c r="F9" s="348">
        <v>100</v>
      </c>
      <c r="G9" s="375">
        <v>143.333333333333</v>
      </c>
      <c r="H9" s="342">
        <v>188.333333333333</v>
      </c>
      <c r="I9" s="342">
        <v>233.333333333333</v>
      </c>
      <c r="J9" s="342">
        <v>278.33333333333297</v>
      </c>
      <c r="K9" s="342">
        <v>323.33333333333297</v>
      </c>
      <c r="L9" s="342">
        <v>368.33333333333297</v>
      </c>
      <c r="M9" s="342">
        <f>L9*1.16</f>
        <v>427.2666666666662</v>
      </c>
      <c r="N9" s="342">
        <f>M9*1.16</f>
        <v>495.62933333333274</v>
      </c>
      <c r="O9" s="342">
        <f t="shared" ref="O9:V9" si="11">N9*1.16</f>
        <v>574.93002666666598</v>
      </c>
      <c r="P9" s="342">
        <f t="shared" si="11"/>
        <v>666.91883093333252</v>
      </c>
      <c r="Q9" s="343">
        <f t="shared" si="11"/>
        <v>773.62584388266566</v>
      </c>
      <c r="R9" s="109">
        <f t="shared" si="11"/>
        <v>897.40597890389211</v>
      </c>
      <c r="S9" s="109">
        <f t="shared" si="11"/>
        <v>1040.9909355285147</v>
      </c>
      <c r="T9" s="109">
        <f t="shared" si="11"/>
        <v>1207.5494852130769</v>
      </c>
      <c r="U9" s="109">
        <f>T9*1.16</f>
        <v>1400.757402847169</v>
      </c>
      <c r="V9" s="109">
        <f t="shared" si="11"/>
        <v>1624.8785873027159</v>
      </c>
      <c r="W9" s="109">
        <v>50</v>
      </c>
      <c r="X9" s="17">
        <v>60</v>
      </c>
      <c r="Y9" s="17">
        <v>200</v>
      </c>
    </row>
    <row r="10" spans="1:49" x14ac:dyDescent="0.15">
      <c r="A10" s="95" t="s">
        <v>89</v>
      </c>
      <c r="B10" s="348">
        <v>100</v>
      </c>
      <c r="C10" s="348">
        <f>B10*1.12</f>
        <v>112.00000000000001</v>
      </c>
      <c r="D10" s="348">
        <f t="shared" ref="D10:K10" si="12">C10*1.12</f>
        <v>125.44000000000003</v>
      </c>
      <c r="E10" s="348">
        <f t="shared" si="12"/>
        <v>140.49280000000005</v>
      </c>
      <c r="F10" s="348">
        <f t="shared" si="12"/>
        <v>157.35193600000005</v>
      </c>
      <c r="G10" s="375">
        <f t="shared" si="12"/>
        <v>176.23416832000007</v>
      </c>
      <c r="H10" s="342">
        <f t="shared" si="12"/>
        <v>197.38226851840008</v>
      </c>
      <c r="I10" s="342">
        <f t="shared" si="12"/>
        <v>221.0681407406081</v>
      </c>
      <c r="J10" s="342">
        <f t="shared" si="12"/>
        <v>247.59631762948109</v>
      </c>
      <c r="K10" s="342">
        <f t="shared" si="12"/>
        <v>277.30787574501886</v>
      </c>
      <c r="L10" s="342">
        <f t="shared" ref="L10:V10" si="13">K10*1.11</f>
        <v>307.81174207697097</v>
      </c>
      <c r="M10" s="342">
        <f t="shared" si="13"/>
        <v>341.67103370543782</v>
      </c>
      <c r="N10" s="342">
        <f t="shared" si="13"/>
        <v>379.25484741303603</v>
      </c>
      <c r="O10" s="342">
        <f t="shared" si="13"/>
        <v>420.97288062847002</v>
      </c>
      <c r="P10" s="342">
        <f t="shared" si="13"/>
        <v>467.27989749760178</v>
      </c>
      <c r="Q10" s="343">
        <f t="shared" si="13"/>
        <v>518.68068622233807</v>
      </c>
      <c r="R10" s="109">
        <f t="shared" si="13"/>
        <v>575.73556170679535</v>
      </c>
      <c r="S10" s="109">
        <f t="shared" si="13"/>
        <v>639.06647349454295</v>
      </c>
      <c r="T10" s="109">
        <f t="shared" si="13"/>
        <v>709.36378557894272</v>
      </c>
      <c r="U10" s="109">
        <f t="shared" si="13"/>
        <v>787.39380199262655</v>
      </c>
      <c r="V10" s="109">
        <f t="shared" si="13"/>
        <v>874.0071202118155</v>
      </c>
      <c r="W10" s="109">
        <v>5</v>
      </c>
      <c r="X10" s="17">
        <v>7</v>
      </c>
      <c r="Y10" s="17">
        <v>10</v>
      </c>
    </row>
    <row r="11" spans="1:49" x14ac:dyDescent="0.15">
      <c r="A11" s="95" t="s">
        <v>278</v>
      </c>
      <c r="B11" s="348">
        <v>0</v>
      </c>
      <c r="C11" s="348"/>
      <c r="D11" s="348"/>
      <c r="E11" s="348"/>
      <c r="F11" s="348"/>
      <c r="G11" s="375">
        <v>33.333333333333336</v>
      </c>
      <c r="H11" s="342">
        <v>104</v>
      </c>
      <c r="I11" s="342">
        <v>153</v>
      </c>
      <c r="J11" s="342">
        <v>236</v>
      </c>
      <c r="K11" s="342">
        <v>449</v>
      </c>
      <c r="L11" s="342">
        <v>738</v>
      </c>
      <c r="M11" s="342">
        <v>1230</v>
      </c>
      <c r="N11" s="342">
        <v>2138</v>
      </c>
      <c r="O11" s="342">
        <v>3606</v>
      </c>
      <c r="P11" s="342">
        <v>6103</v>
      </c>
      <c r="Q11" s="343">
        <v>10415</v>
      </c>
      <c r="R11" s="109">
        <v>11323.835700071109</v>
      </c>
      <c r="S11" s="109">
        <v>19235.120273568788</v>
      </c>
      <c r="T11" s="109">
        <v>32673.544701494884</v>
      </c>
      <c r="U11" s="109">
        <v>55500.589971747271</v>
      </c>
      <c r="V11" s="109">
        <v>94275.522149608776</v>
      </c>
      <c r="W11" s="109">
        <v>2</v>
      </c>
      <c r="X11" s="17"/>
      <c r="Y11" s="17"/>
      <c r="Z11" s="17"/>
    </row>
    <row r="12" spans="1:49" x14ac:dyDescent="0.15">
      <c r="A12" s="95" t="s">
        <v>280</v>
      </c>
      <c r="B12" s="348">
        <v>0</v>
      </c>
      <c r="C12" s="348"/>
      <c r="D12" s="348"/>
      <c r="E12" s="348"/>
      <c r="F12" s="348"/>
      <c r="G12" s="376">
        <v>50</v>
      </c>
      <c r="H12" s="153">
        <f>G12*1.68084339</f>
        <v>84.0421695</v>
      </c>
      <c r="I12" s="153">
        <f t="shared" ref="I12:V12" si="14">H12*1.68084339</f>
        <v>141.2617250853346</v>
      </c>
      <c r="J12" s="153">
        <f t="shared" si="14"/>
        <v>237.43883686968184</v>
      </c>
      <c r="K12" s="153">
        <f t="shared" si="14"/>
        <v>399.09749948169298</v>
      </c>
      <c r="L12" s="153">
        <f t="shared" si="14"/>
        <v>670.82039396933203</v>
      </c>
      <c r="M12" s="153">
        <f t="shared" si="14"/>
        <v>1127.5440250805475</v>
      </c>
      <c r="N12" s="153">
        <f t="shared" si="14"/>
        <v>1895.2249214906324</v>
      </c>
      <c r="O12" s="153">
        <f t="shared" si="14"/>
        <v>3185.5762818507983</v>
      </c>
      <c r="P12" s="153">
        <f t="shared" si="14"/>
        <v>5354.4548366896906</v>
      </c>
      <c r="Q12" s="377">
        <f>P12*1.68084339</f>
        <v>9000.0000193033957</v>
      </c>
      <c r="R12" s="380">
        <f t="shared" si="14"/>
        <v>15127.590542445985</v>
      </c>
      <c r="S12" s="380">
        <f t="shared" si="14"/>
        <v>25427.110569896849</v>
      </c>
      <c r="T12" s="380">
        <f t="shared" si="14"/>
        <v>42738.99072821025</v>
      </c>
      <c r="U12" s="380">
        <f t="shared" si="14"/>
        <v>71837.550060783484</v>
      </c>
      <c r="V12" s="380">
        <f t="shared" si="14"/>
        <v>120747.67117346202</v>
      </c>
      <c r="W12" s="109">
        <v>2</v>
      </c>
      <c r="X12" s="17"/>
      <c r="Y12" s="17"/>
      <c r="Z12" s="17"/>
      <c r="AA12">
        <f>13.6-1.45</f>
        <v>12.15</v>
      </c>
    </row>
    <row r="13" spans="1:49" x14ac:dyDescent="0.15">
      <c r="A13" s="95" t="s">
        <v>279</v>
      </c>
      <c r="B13" s="348">
        <v>0</v>
      </c>
      <c r="C13" s="348"/>
      <c r="D13" s="348"/>
      <c r="E13" s="348"/>
      <c r="F13" s="348"/>
      <c r="G13" s="376">
        <v>3</v>
      </c>
      <c r="H13" s="153">
        <f>G13*1.748223176</f>
        <v>5.2446695280000002</v>
      </c>
      <c r="I13" s="153">
        <f t="shared" ref="I13:S13" si="15">H13*1.748223176</f>
        <v>9.1688528193105814</v>
      </c>
      <c r="J13" s="153">
        <f t="shared" si="15"/>
        <v>16.029200996051699</v>
      </c>
      <c r="K13" s="153">
        <f t="shared" si="15"/>
        <v>28.022620674059866</v>
      </c>
      <c r="L13" s="153">
        <f t="shared" si="15"/>
        <v>48.989794914648201</v>
      </c>
      <c r="M13" s="153">
        <f t="shared" si="15"/>
        <v>85.645094857274927</v>
      </c>
      <c r="N13" s="153">
        <f t="shared" si="15"/>
        <v>149.72673974020643</v>
      </c>
      <c r="O13" s="153">
        <f t="shared" si="15"/>
        <v>261.75575648074908</v>
      </c>
      <c r="P13" s="153">
        <f t="shared" si="15"/>
        <v>457.60747993105775</v>
      </c>
      <c r="Q13" s="377">
        <f t="shared" si="15"/>
        <v>800.00000192643006</v>
      </c>
      <c r="R13" s="380">
        <f t="shared" si="15"/>
        <v>1398.5785441678297</v>
      </c>
      <c r="S13" s="380">
        <f t="shared" si="15"/>
        <v>2445.0274243705394</v>
      </c>
      <c r="T13" s="380">
        <f>S13*1.748223176</f>
        <v>4274.453609240164</v>
      </c>
      <c r="U13" s="380">
        <f>T13*1.748223176</f>
        <v>7472.6988644105022</v>
      </c>
      <c r="V13" s="380">
        <f>U13*1.748223176</f>
        <v>13063.945342031322</v>
      </c>
      <c r="W13" s="109">
        <f>3.35/0.6</f>
        <v>5.5833333333333339</v>
      </c>
      <c r="X13" s="17"/>
      <c r="Y13" s="17"/>
      <c r="Z13" s="17"/>
    </row>
    <row r="14" spans="1:49" x14ac:dyDescent="0.15">
      <c r="A14" s="263"/>
      <c r="B14" s="348"/>
      <c r="C14" s="348"/>
      <c r="D14" s="348"/>
      <c r="E14" s="348"/>
      <c r="F14" s="348"/>
      <c r="G14" s="375"/>
      <c r="H14" s="342"/>
      <c r="I14" s="342"/>
      <c r="J14" s="342"/>
      <c r="K14" s="342"/>
      <c r="L14" s="342"/>
      <c r="M14" s="342"/>
      <c r="N14" s="342"/>
      <c r="O14" s="342"/>
      <c r="P14" s="342"/>
      <c r="Q14" s="343"/>
      <c r="R14" s="109"/>
      <c r="S14" s="109"/>
      <c r="T14" s="109"/>
      <c r="U14" s="109"/>
      <c r="V14" s="109"/>
      <c r="W14" s="109"/>
      <c r="X14" s="17"/>
      <c r="Y14" s="17"/>
      <c r="Z14" s="17"/>
    </row>
    <row r="15" spans="1:49" x14ac:dyDescent="0.15">
      <c r="A15" s="263"/>
      <c r="B15" s="348"/>
      <c r="C15" s="348"/>
      <c r="D15" s="348"/>
      <c r="E15" s="348"/>
      <c r="F15" s="348"/>
      <c r="G15" s="375"/>
      <c r="H15" s="342"/>
      <c r="I15" s="342"/>
      <c r="J15" s="342"/>
      <c r="K15" s="342"/>
      <c r="L15" s="342"/>
      <c r="M15" s="342"/>
      <c r="N15" s="342"/>
      <c r="O15" s="342"/>
      <c r="P15" s="342"/>
      <c r="Q15" s="343"/>
      <c r="R15" s="109"/>
      <c r="S15" s="109"/>
      <c r="T15" s="109"/>
      <c r="U15" s="109"/>
      <c r="V15" s="109"/>
      <c r="W15" s="109"/>
      <c r="X15" s="17"/>
      <c r="Y15" s="17"/>
      <c r="Z15" s="17"/>
    </row>
    <row r="16" spans="1:49" x14ac:dyDescent="0.15">
      <c r="A16" t="s">
        <v>6</v>
      </c>
      <c r="B16" s="348">
        <v>250</v>
      </c>
      <c r="C16" s="348">
        <f>B16*1.015</f>
        <v>253.74999999999997</v>
      </c>
      <c r="D16" s="348">
        <f t="shared" ref="D16:V16" si="16">C16*1.015</f>
        <v>257.55624999999992</v>
      </c>
      <c r="E16" s="348">
        <f t="shared" si="16"/>
        <v>261.41959374999988</v>
      </c>
      <c r="F16" s="348">
        <f t="shared" si="16"/>
        <v>265.34088765624983</v>
      </c>
      <c r="G16" s="375">
        <f t="shared" si="16"/>
        <v>269.32100097109355</v>
      </c>
      <c r="H16" s="342">
        <f t="shared" si="16"/>
        <v>273.36081598565994</v>
      </c>
      <c r="I16" s="342">
        <f t="shared" si="16"/>
        <v>277.46122822544481</v>
      </c>
      <c r="J16" s="342">
        <f t="shared" si="16"/>
        <v>281.62314664882643</v>
      </c>
      <c r="K16" s="342">
        <f t="shared" si="16"/>
        <v>285.84749384855883</v>
      </c>
      <c r="L16" s="342">
        <f t="shared" si="16"/>
        <v>290.13520625628718</v>
      </c>
      <c r="M16" s="342">
        <f t="shared" si="16"/>
        <v>294.48723435013147</v>
      </c>
      <c r="N16" s="342">
        <f t="shared" si="16"/>
        <v>298.90454286538341</v>
      </c>
      <c r="O16" s="342">
        <f t="shared" si="16"/>
        <v>303.38811100836415</v>
      </c>
      <c r="P16" s="342">
        <f t="shared" si="16"/>
        <v>307.9389326734896</v>
      </c>
      <c r="Q16" s="343">
        <f t="shared" si="16"/>
        <v>312.5580166635919</v>
      </c>
      <c r="R16" s="109">
        <f t="shared" si="16"/>
        <v>317.24638691354573</v>
      </c>
      <c r="S16" s="109">
        <f t="shared" si="16"/>
        <v>322.00508271724891</v>
      </c>
      <c r="T16" s="109">
        <f t="shared" si="16"/>
        <v>326.83515895800764</v>
      </c>
      <c r="U16" s="109">
        <f t="shared" si="16"/>
        <v>331.73768634237774</v>
      </c>
      <c r="V16" s="109">
        <f t="shared" si="16"/>
        <v>336.71375163751338</v>
      </c>
      <c r="W16" s="109">
        <v>250</v>
      </c>
      <c r="X16" s="17">
        <v>500</v>
      </c>
      <c r="Y16" s="17">
        <v>1700</v>
      </c>
      <c r="AA16" t="s">
        <v>35</v>
      </c>
      <c r="AB16">
        <v>1</v>
      </c>
    </row>
    <row r="17" spans="1:28" x14ac:dyDescent="0.15">
      <c r="A17" t="s">
        <v>7</v>
      </c>
      <c r="B17" s="348">
        <f>B$16*$AA17</f>
        <v>95</v>
      </c>
      <c r="C17" s="348">
        <f t="shared" ref="C17:R20" si="17">C$16*$AA17</f>
        <v>96.424999999999997</v>
      </c>
      <c r="D17" s="348">
        <f t="shared" si="17"/>
        <v>97.871374999999972</v>
      </c>
      <c r="E17" s="348">
        <f t="shared" si="17"/>
        <v>99.339445624999954</v>
      </c>
      <c r="F17" s="348">
        <f t="shared" si="17"/>
        <v>100.82953730937494</v>
      </c>
      <c r="G17" s="375">
        <f t="shared" si="17"/>
        <v>102.34198036901554</v>
      </c>
      <c r="H17" s="342">
        <f t="shared" si="17"/>
        <v>103.87711007455079</v>
      </c>
      <c r="I17" s="342">
        <f t="shared" si="17"/>
        <v>105.43526672566902</v>
      </c>
      <c r="J17" s="342">
        <f t="shared" si="17"/>
        <v>107.01679572655405</v>
      </c>
      <c r="K17" s="342">
        <f t="shared" si="17"/>
        <v>108.62204766245236</v>
      </c>
      <c r="L17" s="342">
        <f t="shared" si="17"/>
        <v>110.25137837738913</v>
      </c>
      <c r="M17" s="342">
        <f t="shared" si="17"/>
        <v>111.90514905304997</v>
      </c>
      <c r="N17" s="342">
        <f t="shared" si="17"/>
        <v>113.5837262888457</v>
      </c>
      <c r="O17" s="342">
        <f t="shared" si="17"/>
        <v>115.28748218317838</v>
      </c>
      <c r="P17" s="342">
        <f t="shared" si="17"/>
        <v>117.01679441592606</v>
      </c>
      <c r="Q17" s="343">
        <f t="shared" si="17"/>
        <v>118.77204633216492</v>
      </c>
      <c r="R17" s="109">
        <f t="shared" si="17"/>
        <v>120.55362702714739</v>
      </c>
      <c r="S17" s="109">
        <f t="shared" ref="S17:V20" si="18">S$16*$AA17</f>
        <v>122.36193143255458</v>
      </c>
      <c r="T17" s="109">
        <f t="shared" si="18"/>
        <v>124.19736040404291</v>
      </c>
      <c r="U17" s="109">
        <f t="shared" si="18"/>
        <v>126.06032081010355</v>
      </c>
      <c r="V17" s="109">
        <f t="shared" si="18"/>
        <v>127.95122562225508</v>
      </c>
      <c r="W17" s="109">
        <v>41</v>
      </c>
      <c r="X17" s="17">
        <v>45</v>
      </c>
      <c r="Y17" s="17">
        <v>50</v>
      </c>
      <c r="AA17">
        <v>0.38</v>
      </c>
      <c r="AB17">
        <v>1</v>
      </c>
    </row>
    <row r="18" spans="1:28" x14ac:dyDescent="0.15">
      <c r="A18" t="s">
        <v>8</v>
      </c>
      <c r="B18" s="348">
        <f t="shared" ref="B18:K20" si="19">B$16*$AA18</f>
        <v>50</v>
      </c>
      <c r="C18" s="348">
        <f t="shared" si="19"/>
        <v>50.75</v>
      </c>
      <c r="D18" s="348">
        <f t="shared" si="19"/>
        <v>51.51124999999999</v>
      </c>
      <c r="E18" s="348">
        <f t="shared" si="19"/>
        <v>52.283918749999977</v>
      </c>
      <c r="F18" s="348">
        <f t="shared" si="19"/>
        <v>53.068177531249972</v>
      </c>
      <c r="G18" s="375">
        <f t="shared" si="19"/>
        <v>53.864200194218711</v>
      </c>
      <c r="H18" s="342">
        <f t="shared" si="19"/>
        <v>54.672163197131994</v>
      </c>
      <c r="I18" s="342">
        <f t="shared" si="19"/>
        <v>55.492245645088964</v>
      </c>
      <c r="J18" s="342">
        <f t="shared" si="19"/>
        <v>56.324629329765287</v>
      </c>
      <c r="K18" s="342">
        <f t="shared" si="19"/>
        <v>57.169498769711765</v>
      </c>
      <c r="L18" s="342">
        <f t="shared" si="17"/>
        <v>58.027041251257437</v>
      </c>
      <c r="M18" s="342">
        <f t="shared" si="17"/>
        <v>58.8974468700263</v>
      </c>
      <c r="N18" s="342">
        <f t="shared" si="17"/>
        <v>59.780908573076687</v>
      </c>
      <c r="O18" s="342">
        <f t="shared" si="17"/>
        <v>60.677622201672833</v>
      </c>
      <c r="P18" s="342">
        <f t="shared" si="17"/>
        <v>61.587786534697926</v>
      </c>
      <c r="Q18" s="343">
        <f t="shared" si="17"/>
        <v>62.51160333271838</v>
      </c>
      <c r="R18" s="109">
        <f t="shared" si="17"/>
        <v>63.449277382709148</v>
      </c>
      <c r="S18" s="109">
        <f t="shared" si="18"/>
        <v>64.401016543449785</v>
      </c>
      <c r="T18" s="109">
        <f t="shared" si="18"/>
        <v>65.367031791601534</v>
      </c>
      <c r="U18" s="109">
        <f t="shared" si="18"/>
        <v>66.347537268475548</v>
      </c>
      <c r="V18" s="109">
        <f t="shared" si="18"/>
        <v>67.342750327502685</v>
      </c>
      <c r="W18" s="109">
        <v>150</v>
      </c>
      <c r="X18" s="17">
        <v>150</v>
      </c>
      <c r="Y18" s="17">
        <v>150</v>
      </c>
      <c r="AA18">
        <v>0.2</v>
      </c>
      <c r="AB18">
        <v>1</v>
      </c>
    </row>
    <row r="19" spans="1:28" x14ac:dyDescent="0.15">
      <c r="A19" t="s">
        <v>12</v>
      </c>
      <c r="B19" s="348">
        <f t="shared" si="19"/>
        <v>75</v>
      </c>
      <c r="C19" s="348">
        <f t="shared" si="19"/>
        <v>76.124999999999986</v>
      </c>
      <c r="D19" s="348">
        <f t="shared" si="19"/>
        <v>77.26687499999997</v>
      </c>
      <c r="E19" s="348">
        <f t="shared" si="19"/>
        <v>78.425878124999954</v>
      </c>
      <c r="F19" s="348">
        <f t="shared" si="19"/>
        <v>79.602266296874944</v>
      </c>
      <c r="G19" s="375">
        <f t="shared" si="19"/>
        <v>80.796300291328066</v>
      </c>
      <c r="H19" s="342">
        <f t="shared" si="19"/>
        <v>82.008244795697976</v>
      </c>
      <c r="I19" s="342">
        <f t="shared" si="19"/>
        <v>83.238368467633435</v>
      </c>
      <c r="J19" s="342">
        <f t="shared" si="19"/>
        <v>84.48694399464793</v>
      </c>
      <c r="K19" s="342">
        <f t="shared" si="19"/>
        <v>85.754248154567648</v>
      </c>
      <c r="L19" s="342">
        <f t="shared" si="17"/>
        <v>87.040561876886144</v>
      </c>
      <c r="M19" s="342">
        <f t="shared" si="17"/>
        <v>88.346170305039436</v>
      </c>
      <c r="N19" s="342">
        <f t="shared" si="17"/>
        <v>89.671362859615016</v>
      </c>
      <c r="O19" s="342">
        <f t="shared" si="17"/>
        <v>91.016433302509242</v>
      </c>
      <c r="P19" s="342">
        <f t="shared" si="17"/>
        <v>92.381679802046875</v>
      </c>
      <c r="Q19" s="343">
        <f t="shared" si="17"/>
        <v>93.76740499907757</v>
      </c>
      <c r="R19" s="109">
        <f t="shared" si="17"/>
        <v>95.173916074063712</v>
      </c>
      <c r="S19" s="109">
        <f t="shared" si="18"/>
        <v>96.60152481517467</v>
      </c>
      <c r="T19" s="109">
        <f t="shared" si="18"/>
        <v>98.050547687402286</v>
      </c>
      <c r="U19" s="109">
        <f t="shared" si="18"/>
        <v>99.521305902713323</v>
      </c>
      <c r="V19" s="109">
        <f t="shared" si="18"/>
        <v>101.01412549125401</v>
      </c>
      <c r="W19" s="109">
        <v>100</v>
      </c>
      <c r="X19" s="17">
        <v>100</v>
      </c>
      <c r="Y19" s="17">
        <v>100</v>
      </c>
      <c r="AA19">
        <v>0.3</v>
      </c>
      <c r="AB19">
        <v>1</v>
      </c>
    </row>
    <row r="20" spans="1:28" ht="14" thickBot="1" x14ac:dyDescent="0.2">
      <c r="A20" t="s">
        <v>13</v>
      </c>
      <c r="B20" s="348">
        <f t="shared" si="19"/>
        <v>87.5</v>
      </c>
      <c r="C20" s="348">
        <f t="shared" si="19"/>
        <v>88.812499999999986</v>
      </c>
      <c r="D20" s="348">
        <f t="shared" si="19"/>
        <v>90.144687499999961</v>
      </c>
      <c r="E20" s="348">
        <f t="shared" si="19"/>
        <v>91.496857812499954</v>
      </c>
      <c r="F20" s="348">
        <f t="shared" si="19"/>
        <v>92.86931067968743</v>
      </c>
      <c r="G20" s="361">
        <f t="shared" si="19"/>
        <v>94.262350339882744</v>
      </c>
      <c r="H20" s="362">
        <f t="shared" si="19"/>
        <v>95.676285594980968</v>
      </c>
      <c r="I20" s="362">
        <f t="shared" si="19"/>
        <v>97.111429878905682</v>
      </c>
      <c r="J20" s="362">
        <f t="shared" si="19"/>
        <v>98.568101327089252</v>
      </c>
      <c r="K20" s="362">
        <f t="shared" si="19"/>
        <v>100.04662284699559</v>
      </c>
      <c r="L20" s="362">
        <f t="shared" si="17"/>
        <v>101.54732218970051</v>
      </c>
      <c r="M20" s="362">
        <f t="shared" si="17"/>
        <v>103.070532022546</v>
      </c>
      <c r="N20" s="362">
        <f t="shared" si="17"/>
        <v>104.61659000288418</v>
      </c>
      <c r="O20" s="362">
        <f t="shared" si="17"/>
        <v>106.18583885292745</v>
      </c>
      <c r="P20" s="362">
        <f t="shared" si="17"/>
        <v>107.77862643572135</v>
      </c>
      <c r="Q20" s="363">
        <f t="shared" si="17"/>
        <v>109.39530583225716</v>
      </c>
      <c r="R20" s="109">
        <f t="shared" si="17"/>
        <v>111.036235419741</v>
      </c>
      <c r="S20" s="109">
        <f t="shared" si="18"/>
        <v>112.70177895103711</v>
      </c>
      <c r="T20" s="109">
        <f t="shared" si="18"/>
        <v>114.39230563530266</v>
      </c>
      <c r="U20" s="109">
        <f t="shared" si="18"/>
        <v>116.1081902198322</v>
      </c>
      <c r="V20" s="109">
        <f t="shared" si="18"/>
        <v>117.84981307312968</v>
      </c>
      <c r="W20" s="109">
        <v>200</v>
      </c>
      <c r="X20" s="17">
        <v>200</v>
      </c>
      <c r="Y20" s="17">
        <v>200</v>
      </c>
      <c r="AA20">
        <v>0.35</v>
      </c>
      <c r="AB20">
        <v>1</v>
      </c>
    </row>
    <row r="21" spans="1:28" x14ac:dyDescent="0.15">
      <c r="N21" s="152">
        <f>0.95^5</f>
        <v>0.77378093749999999</v>
      </c>
    </row>
    <row r="22" spans="1:28" x14ac:dyDescent="0.15">
      <c r="G22" s="17">
        <f>SUM(G3:G20)</f>
        <v>4166.6681071522053</v>
      </c>
      <c r="H22" s="17">
        <f t="shared" ref="H22:Q22" si="20">SUM(H3:H20)</f>
        <v>4566.4576141277557</v>
      </c>
      <c r="I22" s="17">
        <f t="shared" si="20"/>
        <v>5011.4081154719943</v>
      </c>
      <c r="J22" s="17">
        <f t="shared" si="20"/>
        <v>5579.247214000331</v>
      </c>
      <c r="K22" s="17">
        <f t="shared" si="20"/>
        <v>6400.4299154491673</v>
      </c>
      <c r="L22" s="17">
        <f t="shared" si="20"/>
        <v>7388.5006986704229</v>
      </c>
      <c r="M22" s="17">
        <f t="shared" si="20"/>
        <v>8601.9660095451618</v>
      </c>
      <c r="N22" s="17">
        <f t="shared" si="20"/>
        <v>10640.750913108774</v>
      </c>
      <c r="O22" s="17">
        <f t="shared" si="20"/>
        <v>13883.907514919249</v>
      </c>
      <c r="P22" s="17">
        <f t="shared" si="20"/>
        <v>19196.301019906834</v>
      </c>
      <c r="Q22" s="17">
        <f t="shared" si="20"/>
        <v>28030.259251446627</v>
      </c>
    </row>
    <row r="23" spans="1:28" x14ac:dyDescent="0.15">
      <c r="A23" t="s">
        <v>33</v>
      </c>
    </row>
    <row r="25" spans="1:28" ht="18" thickBot="1" x14ac:dyDescent="0.25">
      <c r="A25" s="22"/>
      <c r="B25" s="25" t="s">
        <v>17</v>
      </c>
      <c r="C25" s="22"/>
    </row>
    <row r="26" spans="1:28" ht="16" x14ac:dyDescent="0.2">
      <c r="B26" s="351">
        <v>2010</v>
      </c>
      <c r="C26" s="352">
        <v>2011</v>
      </c>
      <c r="D26" s="352">
        <v>2012</v>
      </c>
      <c r="E26" s="352">
        <v>2013</v>
      </c>
      <c r="F26" s="352">
        <v>2014</v>
      </c>
      <c r="G26" s="367">
        <v>2015</v>
      </c>
      <c r="H26" s="368">
        <v>2016</v>
      </c>
      <c r="I26" s="368">
        <v>2017</v>
      </c>
      <c r="J26" s="368">
        <v>2018</v>
      </c>
      <c r="K26" s="368">
        <v>2019</v>
      </c>
      <c r="L26" s="368">
        <v>2020</v>
      </c>
      <c r="M26" s="369">
        <v>2021</v>
      </c>
      <c r="N26" s="369">
        <v>2022</v>
      </c>
      <c r="O26" s="369">
        <v>2023</v>
      </c>
      <c r="P26" s="369">
        <v>2024</v>
      </c>
      <c r="Q26" s="370">
        <v>2025</v>
      </c>
      <c r="R26" s="345">
        <v>2026</v>
      </c>
      <c r="S26" s="345">
        <v>2027</v>
      </c>
      <c r="T26" s="345">
        <v>2028</v>
      </c>
      <c r="U26" s="345">
        <v>2029</v>
      </c>
      <c r="V26" s="345">
        <v>2030</v>
      </c>
    </row>
    <row r="27" spans="1:28" ht="16" x14ac:dyDescent="0.2">
      <c r="A27" t="s">
        <v>18</v>
      </c>
      <c r="B27" s="346">
        <f>B3*$W$3/1000</f>
        <v>8.76</v>
      </c>
      <c r="C27" s="346">
        <f>C3*$W$3/1000*AD3</f>
        <v>8.4359999999999999</v>
      </c>
      <c r="D27" s="346">
        <f t="shared" ref="D27:U27" si="21">D3*$W$3/1000*AE3</f>
        <v>8.1766500000000004</v>
      </c>
      <c r="E27" s="346">
        <f t="shared" si="21"/>
        <v>7.6124611499999988</v>
      </c>
      <c r="F27" s="346">
        <f t="shared" si="21"/>
        <v>7.0872013306499992</v>
      </c>
      <c r="G27" s="335">
        <f>G3*$W$3/1000*AH3</f>
        <v>6.5981844388351485</v>
      </c>
      <c r="H27" s="336">
        <f>H3*$W$3/1000*AI3</f>
        <v>5.8921787038797859</v>
      </c>
      <c r="I27" s="336">
        <f t="shared" si="21"/>
        <v>5.2617155825646487</v>
      </c>
      <c r="J27" s="336">
        <f t="shared" si="21"/>
        <v>4.6987120152302317</v>
      </c>
      <c r="K27" s="336">
        <f t="shared" si="21"/>
        <v>4.195949829600595</v>
      </c>
      <c r="L27" s="336">
        <f t="shared" si="21"/>
        <v>3.7469831978333312</v>
      </c>
      <c r="M27" s="336">
        <f t="shared" si="21"/>
        <v>3.3460559956651648</v>
      </c>
      <c r="N27" s="336">
        <f t="shared" si="21"/>
        <v>2.9880280041289917</v>
      </c>
      <c r="O27" s="336">
        <f t="shared" si="21"/>
        <v>2.6683090076871898</v>
      </c>
      <c r="P27" s="336">
        <f t="shared" si="21"/>
        <v>2.3827999438646605</v>
      </c>
      <c r="Q27" s="337">
        <f>Q3*$W$3/1000*AR3</f>
        <v>2.1278403498711418</v>
      </c>
      <c r="R27" s="346">
        <f t="shared" si="21"/>
        <v>1.9001614324349292</v>
      </c>
      <c r="S27" s="346">
        <f t="shared" si="21"/>
        <v>1.6968441591643915</v>
      </c>
      <c r="T27" s="346">
        <f t="shared" si="21"/>
        <v>1.5152818341338015</v>
      </c>
      <c r="U27" s="346">
        <f t="shared" si="21"/>
        <v>1.3531466778814845</v>
      </c>
      <c r="V27" s="346">
        <f>V3*$W$3/1000*AW3</f>
        <v>1.2083599833481655</v>
      </c>
    </row>
    <row r="28" spans="1:28" ht="16" x14ac:dyDescent="0.2">
      <c r="A28" t="s">
        <v>19</v>
      </c>
      <c r="B28" s="346">
        <f>B4*$W$4/1000</f>
        <v>30.294</v>
      </c>
      <c r="C28" s="346">
        <f t="shared" ref="C28:V28" si="22">C4*$W$4/1000*AD3</f>
        <v>29.312249999999999</v>
      </c>
      <c r="D28" s="346">
        <f t="shared" si="22"/>
        <v>28.521707500000002</v>
      </c>
      <c r="E28" s="346">
        <f t="shared" si="22"/>
        <v>26.553709682499999</v>
      </c>
      <c r="F28" s="346">
        <f t="shared" si="22"/>
        <v>24.7215037144075</v>
      </c>
      <c r="G28" s="335">
        <f>G4*$W$4/1000*AH3</f>
        <v>23.01571995811338</v>
      </c>
      <c r="H28" s="336">
        <f t="shared" si="22"/>
        <v>20.553037922595248</v>
      </c>
      <c r="I28" s="336">
        <f t="shared" si="22"/>
        <v>18.353862864877552</v>
      </c>
      <c r="J28" s="336">
        <f t="shared" si="22"/>
        <v>16.389999538335655</v>
      </c>
      <c r="K28" s="336">
        <f t="shared" si="22"/>
        <v>14.636269587733738</v>
      </c>
      <c r="L28" s="336">
        <f t="shared" si="22"/>
        <v>13.070188741846225</v>
      </c>
      <c r="M28" s="336">
        <f t="shared" si="22"/>
        <v>11.671678546468678</v>
      </c>
      <c r="N28" s="336">
        <f t="shared" si="22"/>
        <v>10.422808941996527</v>
      </c>
      <c r="O28" s="336">
        <f t="shared" si="22"/>
        <v>9.3075683852028988</v>
      </c>
      <c r="P28" s="336">
        <f t="shared" si="22"/>
        <v>8.3116585679861874</v>
      </c>
      <c r="Q28" s="337">
        <f t="shared" si="22"/>
        <v>7.4223111012116645</v>
      </c>
      <c r="R28" s="346">
        <f t="shared" si="22"/>
        <v>6.6281238133820164</v>
      </c>
      <c r="S28" s="346">
        <f t="shared" si="22"/>
        <v>5.9189145653501409</v>
      </c>
      <c r="T28" s="346">
        <f t="shared" si="22"/>
        <v>5.2855907068576764</v>
      </c>
      <c r="U28" s="346">
        <f t="shared" si="22"/>
        <v>4.7200325012239048</v>
      </c>
      <c r="V28" s="346">
        <f t="shared" si="22"/>
        <v>4.2149890235929481</v>
      </c>
    </row>
    <row r="29" spans="1:28" ht="16" x14ac:dyDescent="0.2">
      <c r="A29" t="s">
        <v>20</v>
      </c>
      <c r="B29" s="346">
        <f>B5*$W$5/1000</f>
        <v>15.074999999999999</v>
      </c>
      <c r="C29" s="346">
        <f>C5*$W$5/1000*AD3</f>
        <v>15.31875</v>
      </c>
      <c r="D29" s="346">
        <f>D5*$W$5/1000*AE3</f>
        <v>16.651125</v>
      </c>
      <c r="E29" s="346">
        <f t="shared" ref="E29:V29" si="23">E5*$W$5/1000</f>
        <v>21.3</v>
      </c>
      <c r="F29" s="346">
        <f t="shared" si="23"/>
        <v>24.9</v>
      </c>
      <c r="G29" s="335">
        <f t="shared" si="23"/>
        <v>28.8</v>
      </c>
      <c r="H29" s="336">
        <f t="shared" si="23"/>
        <v>33.225000000000001</v>
      </c>
      <c r="I29" s="336">
        <f t="shared" si="23"/>
        <v>38.329882812500003</v>
      </c>
      <c r="J29" s="336">
        <f t="shared" si="23"/>
        <v>44.219109598795569</v>
      </c>
      <c r="K29" s="336">
        <f t="shared" si="23"/>
        <v>51.013191542360509</v>
      </c>
      <c r="L29" s="336">
        <f t="shared" si="23"/>
        <v>58.851155867879442</v>
      </c>
      <c r="M29" s="336">
        <f t="shared" si="23"/>
        <v>49.434970929018725</v>
      </c>
      <c r="N29" s="336">
        <f t="shared" si="23"/>
        <v>41.525375580375716</v>
      </c>
      <c r="O29" s="336">
        <f t="shared" si="23"/>
        <v>34.881315487515586</v>
      </c>
      <c r="P29" s="336">
        <f t="shared" si="23"/>
        <v>29.300305009513089</v>
      </c>
      <c r="Q29" s="337">
        <f t="shared" si="23"/>
        <v>24.612256207990988</v>
      </c>
      <c r="R29" s="346">
        <f t="shared" si="23"/>
        <v>20.674295214712423</v>
      </c>
      <c r="S29" s="346">
        <f t="shared" si="23"/>
        <v>17.366407980358435</v>
      </c>
      <c r="T29" s="346">
        <f t="shared" si="23"/>
        <v>14.587782703501084</v>
      </c>
      <c r="U29" s="346">
        <f t="shared" si="23"/>
        <v>12.253737470940909</v>
      </c>
      <c r="V29" s="346">
        <f t="shared" si="23"/>
        <v>10.29313947559036</v>
      </c>
    </row>
    <row r="30" spans="1:28" ht="16" x14ac:dyDescent="0.2">
      <c r="A30" t="s">
        <v>21</v>
      </c>
      <c r="B30" s="346">
        <f>B6*$W$6/1000</f>
        <v>10.5</v>
      </c>
      <c r="C30" s="346">
        <f t="shared" ref="C30:V30" si="24">C6*$W$6/1000*AD3</f>
        <v>13.11</v>
      </c>
      <c r="D30" s="346">
        <f t="shared" si="24"/>
        <v>18.952500000000001</v>
      </c>
      <c r="E30" s="346">
        <f t="shared" si="24"/>
        <v>23.149124999999998</v>
      </c>
      <c r="F30" s="346">
        <f t="shared" si="24"/>
        <v>28.711345312499997</v>
      </c>
      <c r="G30" s="335">
        <f>G6*$W$6/1000*AH3</f>
        <v>32.266665093749999</v>
      </c>
      <c r="H30" s="336">
        <f>H6*$W$6/1000*AI3</f>
        <v>34.331731659749998</v>
      </c>
      <c r="I30" s="336">
        <f t="shared" si="24"/>
        <v>36.528962485973992</v>
      </c>
      <c r="J30" s="336">
        <f t="shared" si="24"/>
        <v>38.86681608507633</v>
      </c>
      <c r="K30" s="336">
        <f t="shared" si="24"/>
        <v>41.354292314521217</v>
      </c>
      <c r="L30" s="336">
        <f t="shared" si="24"/>
        <v>44.000967022650563</v>
      </c>
      <c r="M30" s="336">
        <f t="shared" si="24"/>
        <v>46.817028912100206</v>
      </c>
      <c r="N30" s="336">
        <f t="shared" si="24"/>
        <v>49.813318762474616</v>
      </c>
      <c r="O30" s="336">
        <f t="shared" si="24"/>
        <v>53.001371163272999</v>
      </c>
      <c r="P30" s="336">
        <f t="shared" si="24"/>
        <v>56.393458917722477</v>
      </c>
      <c r="Q30" s="337">
        <f>Q6*$W$6/1000*AR3</f>
        <v>60.002640288456718</v>
      </c>
      <c r="R30" s="346">
        <f t="shared" si="24"/>
        <v>63.842809266917939</v>
      </c>
      <c r="S30" s="346">
        <f t="shared" si="24"/>
        <v>67.928749060000683</v>
      </c>
      <c r="T30" s="346">
        <f t="shared" si="24"/>
        <v>72.276188999840741</v>
      </c>
      <c r="U30" s="346">
        <f t="shared" si="24"/>
        <v>76.901865095830544</v>
      </c>
      <c r="V30" s="346">
        <f t="shared" si="24"/>
        <v>81.823584461963705</v>
      </c>
    </row>
    <row r="31" spans="1:28" ht="16" x14ac:dyDescent="0.2">
      <c r="A31" t="s">
        <v>22</v>
      </c>
      <c r="B31" s="346">
        <f>B7*$W$7/1000</f>
        <v>3.9</v>
      </c>
      <c r="C31" s="346">
        <f t="shared" ref="C31:V31" si="25">C7*$W$7/1000*AD3</f>
        <v>7.4099999999999993</v>
      </c>
      <c r="D31" s="346">
        <f t="shared" si="25"/>
        <v>10.559249999999999</v>
      </c>
      <c r="E31" s="346">
        <f t="shared" si="25"/>
        <v>13.84317675</v>
      </c>
      <c r="F31" s="346">
        <f t="shared" si="25"/>
        <v>16.264060799999996</v>
      </c>
      <c r="G31" s="335">
        <f>G7*$W$7/1000*AH3</f>
        <v>19.373927113124996</v>
      </c>
      <c r="H31" s="336">
        <f t="shared" si="25"/>
        <v>21.166015371089056</v>
      </c>
      <c r="I31" s="336">
        <f t="shared" si="25"/>
        <v>23.123871792914791</v>
      </c>
      <c r="J31" s="336">
        <f t="shared" si="25"/>
        <v>25.262829933759402</v>
      </c>
      <c r="K31" s="336">
        <f t="shared" si="25"/>
        <v>27.599641702632141</v>
      </c>
      <c r="L31" s="336">
        <f t="shared" si="25"/>
        <v>26.199530987192972</v>
      </c>
      <c r="M31" s="336">
        <f t="shared" si="25"/>
        <v>24.889554437833318</v>
      </c>
      <c r="N31" s="336">
        <f t="shared" si="25"/>
        <v>23.645076715941652</v>
      </c>
      <c r="O31" s="336">
        <f t="shared" si="25"/>
        <v>22.462822880144568</v>
      </c>
      <c r="P31" s="336">
        <f t="shared" si="25"/>
        <v>21.339681736137337</v>
      </c>
      <c r="Q31" s="337">
        <f t="shared" si="25"/>
        <v>20.272697649330471</v>
      </c>
      <c r="R31" s="346">
        <f t="shared" si="25"/>
        <v>19.259062766863945</v>
      </c>
      <c r="S31" s="346">
        <f t="shared" si="25"/>
        <v>18.296109628520746</v>
      </c>
      <c r="T31" s="346">
        <f t="shared" si="25"/>
        <v>17.381304147094706</v>
      </c>
      <c r="U31" s="346">
        <f t="shared" si="25"/>
        <v>16.512238939739969</v>
      </c>
      <c r="V31" s="346">
        <f t="shared" si="25"/>
        <v>15.686626992752972</v>
      </c>
    </row>
    <row r="32" spans="1:28" ht="16" x14ac:dyDescent="0.2">
      <c r="A32" s="28" t="s">
        <v>37</v>
      </c>
      <c r="B32" s="346">
        <f>B8*$W$8/1000</f>
        <v>12.5</v>
      </c>
      <c r="C32" s="346">
        <f t="shared" ref="C32:V32" si="26">C8*$W$8/1000*AD3</f>
        <v>11.969999999999999</v>
      </c>
      <c r="D32" s="346">
        <f t="shared" si="26"/>
        <v>9.4762500000000003</v>
      </c>
      <c r="E32" s="346">
        <f t="shared" si="26"/>
        <v>7.7678174999999996</v>
      </c>
      <c r="F32" s="346">
        <f t="shared" si="26"/>
        <v>4.8300220624999994</v>
      </c>
      <c r="G32" s="335">
        <f t="shared" si="26"/>
        <v>5.9116863624999985</v>
      </c>
      <c r="H32" s="336">
        <f t="shared" si="26"/>
        <v>5.3352969421562486</v>
      </c>
      <c r="I32" s="336">
        <f t="shared" si="26"/>
        <v>4.8151054902960126</v>
      </c>
      <c r="J32" s="336">
        <f t="shared" si="26"/>
        <v>4.345632704992151</v>
      </c>
      <c r="K32" s="336">
        <f t="shared" si="26"/>
        <v>3.9219335162554159</v>
      </c>
      <c r="L32" s="336">
        <f t="shared" si="26"/>
        <v>3.5395449984205118</v>
      </c>
      <c r="M32" s="336">
        <f t="shared" si="26"/>
        <v>3.1944393610745117</v>
      </c>
      <c r="N32" s="336">
        <f t="shared" si="26"/>
        <v>2.8829815233697467</v>
      </c>
      <c r="O32" s="336">
        <f t="shared" si="26"/>
        <v>2.6018908248411958</v>
      </c>
      <c r="P32" s="336">
        <f t="shared" si="26"/>
        <v>2.3482064694191793</v>
      </c>
      <c r="Q32" s="337">
        <f t="shared" si="26"/>
        <v>2.1192563386508092</v>
      </c>
      <c r="R32" s="346">
        <f t="shared" si="26"/>
        <v>1.9126288456323548</v>
      </c>
      <c r="S32" s="346">
        <f t="shared" si="26"/>
        <v>1.7261475331832001</v>
      </c>
      <c r="T32" s="346">
        <f t="shared" si="26"/>
        <v>1.5578481486978379</v>
      </c>
      <c r="U32" s="346">
        <f t="shared" si="26"/>
        <v>1.4059579541997982</v>
      </c>
      <c r="V32" s="346">
        <f t="shared" si="26"/>
        <v>1.2688770536653178</v>
      </c>
    </row>
    <row r="33" spans="1:27" ht="16" x14ac:dyDescent="0.2">
      <c r="A33" s="28" t="s">
        <v>60</v>
      </c>
      <c r="B33" s="346">
        <f>B9*$W$9/1000</f>
        <v>0</v>
      </c>
      <c r="C33" s="346">
        <f t="shared" ref="C33:V33" si="27">C9*$W$9/1000*AD3</f>
        <v>0</v>
      </c>
      <c r="D33" s="346">
        <f t="shared" si="27"/>
        <v>0.45124999999999998</v>
      </c>
      <c r="E33" s="346">
        <f t="shared" si="27"/>
        <v>2.1434374999999997</v>
      </c>
      <c r="F33" s="346">
        <f t="shared" si="27"/>
        <v>4.072531249999999</v>
      </c>
      <c r="G33" s="335">
        <f t="shared" si="27"/>
        <v>5.5454300520833195</v>
      </c>
      <c r="H33" s="336">
        <f t="shared" si="27"/>
        <v>6.9221153033854028</v>
      </c>
      <c r="I33" s="336">
        <f t="shared" si="27"/>
        <v>8.1472684544270688</v>
      </c>
      <c r="J33" s="336">
        <f t="shared" si="27"/>
        <v>9.2326010021061045</v>
      </c>
      <c r="K33" s="336">
        <f t="shared" si="27"/>
        <v>10.189032123881168</v>
      </c>
      <c r="L33" s="336">
        <f t="shared" si="27"/>
        <v>11.026738630973462</v>
      </c>
      <c r="M33" s="336">
        <f t="shared" si="27"/>
        <v>12.151465971332753</v>
      </c>
      <c r="N33" s="336">
        <f t="shared" si="27"/>
        <v>13.39091550040869</v>
      </c>
      <c r="O33" s="336">
        <f t="shared" si="27"/>
        <v>14.756788881450374</v>
      </c>
      <c r="P33" s="336">
        <f t="shared" si="27"/>
        <v>16.261981347358311</v>
      </c>
      <c r="Q33" s="337">
        <f t="shared" si="27"/>
        <v>17.92070344478886</v>
      </c>
      <c r="R33" s="346">
        <f t="shared" si="27"/>
        <v>19.748615196157317</v>
      </c>
      <c r="S33" s="346">
        <f t="shared" si="27"/>
        <v>21.76297394616536</v>
      </c>
      <c r="T33" s="346">
        <f t="shared" si="27"/>
        <v>23.98279728867422</v>
      </c>
      <c r="U33" s="346">
        <f t="shared" si="27"/>
        <v>26.429042612118987</v>
      </c>
      <c r="V33" s="346">
        <f t="shared" si="27"/>
        <v>29.124804958555121</v>
      </c>
    </row>
    <row r="34" spans="1:27" ht="16" x14ac:dyDescent="0.2">
      <c r="A34" s="95" t="s">
        <v>89</v>
      </c>
      <c r="B34" s="346">
        <f>B10*$W$10/1000</f>
        <v>0.5</v>
      </c>
      <c r="C34" s="346">
        <f t="shared" ref="C34:V34" si="28">C10*$W$10/1000*AD3</f>
        <v>0.53200000000000014</v>
      </c>
      <c r="D34" s="346">
        <f t="shared" si="28"/>
        <v>0.56604800000000022</v>
      </c>
      <c r="E34" s="346">
        <f t="shared" si="28"/>
        <v>0.60227507200000008</v>
      </c>
      <c r="F34" s="346">
        <f t="shared" si="28"/>
        <v>0.64082067660800002</v>
      </c>
      <c r="G34" s="338">
        <f>G10*$W$10/1000*AH3</f>
        <v>0.68183319991091218</v>
      </c>
      <c r="H34" s="339">
        <f t="shared" si="28"/>
        <v>0.72547052470521045</v>
      </c>
      <c r="I34" s="339">
        <f t="shared" si="28"/>
        <v>0.77190063828634403</v>
      </c>
      <c r="J34" s="339">
        <f t="shared" si="28"/>
        <v>0.82130227913666998</v>
      </c>
      <c r="K34" s="339">
        <f t="shared" si="28"/>
        <v>0.87386562500141696</v>
      </c>
      <c r="L34" s="339">
        <f t="shared" si="28"/>
        <v>0.92149130156399406</v>
      </c>
      <c r="M34" s="339">
        <f t="shared" si="28"/>
        <v>0.97171257749923179</v>
      </c>
      <c r="N34" s="339">
        <f t="shared" si="28"/>
        <v>1.0246709129729399</v>
      </c>
      <c r="O34" s="339">
        <f t="shared" si="28"/>
        <v>1.0805154777299653</v>
      </c>
      <c r="P34" s="339">
        <f t="shared" si="28"/>
        <v>1.1394035712662485</v>
      </c>
      <c r="Q34" s="340">
        <f t="shared" si="28"/>
        <v>1.201501065900259</v>
      </c>
      <c r="R34" s="347">
        <f t="shared" si="28"/>
        <v>1.2669828739918232</v>
      </c>
      <c r="S34" s="347">
        <f t="shared" si="28"/>
        <v>1.3360334406243779</v>
      </c>
      <c r="T34" s="347">
        <f t="shared" si="28"/>
        <v>1.4088472631384066</v>
      </c>
      <c r="U34" s="347">
        <f t="shared" si="28"/>
        <v>1.4856294389794495</v>
      </c>
      <c r="V34" s="347">
        <f t="shared" si="28"/>
        <v>1.5665962434038296</v>
      </c>
    </row>
    <row r="35" spans="1:27" ht="16" x14ac:dyDescent="0.2">
      <c r="A35" s="95" t="s">
        <v>278</v>
      </c>
      <c r="B35" s="346"/>
      <c r="C35" s="346"/>
      <c r="D35" s="346"/>
      <c r="E35" s="346"/>
      <c r="F35" s="346"/>
      <c r="G35" s="338">
        <f>G11*$W$11/1000*1</f>
        <v>6.6666666666666666E-2</v>
      </c>
      <c r="H35" s="339">
        <f>H11*$W$11/1000*AD4</f>
        <v>0.20175999999999999</v>
      </c>
      <c r="I35" s="339">
        <f t="shared" ref="I35:U35" si="29">I11*$W$11/1000*AE4</f>
        <v>0.28791539999999999</v>
      </c>
      <c r="J35" s="339">
        <f t="shared" si="29"/>
        <v>0.43078165599999996</v>
      </c>
      <c r="K35" s="339">
        <f t="shared" si="29"/>
        <v>0.79499294337999993</v>
      </c>
      <c r="L35" s="339">
        <f t="shared" si="29"/>
        <v>1.2674914219331999</v>
      </c>
      <c r="M35" s="339">
        <f t="shared" si="29"/>
        <v>2.0491111321253399</v>
      </c>
      <c r="N35" s="339">
        <f t="shared" si="29"/>
        <v>3.4549346442841116</v>
      </c>
      <c r="O35" s="339">
        <f t="shared" si="29"/>
        <v>5.6523571082646633</v>
      </c>
      <c r="P35" s="339">
        <f t="shared" si="29"/>
        <v>9.2793803019376213</v>
      </c>
      <c r="Q35" s="340">
        <f>Q11*$W$11/1000*AM4</f>
        <v>15.360544563221351</v>
      </c>
      <c r="R35" s="347">
        <f t="shared" si="29"/>
        <v>16.199911129199513</v>
      </c>
      <c r="S35" s="347">
        <f t="shared" si="29"/>
        <v>26.692282529288363</v>
      </c>
      <c r="T35" s="347">
        <f t="shared" si="29"/>
        <v>43.980361431683868</v>
      </c>
      <c r="U35" s="347">
        <f t="shared" si="29"/>
        <v>72.465597108046026</v>
      </c>
      <c r="V35" s="347">
        <f>V11*$W$11/1000*AR4</f>
        <v>119.40017301546294</v>
      </c>
    </row>
    <row r="36" spans="1:27" ht="16" x14ac:dyDescent="0.2">
      <c r="A36" s="95" t="s">
        <v>280</v>
      </c>
      <c r="B36" s="346"/>
      <c r="C36" s="346"/>
      <c r="D36" s="346"/>
      <c r="E36" s="346"/>
      <c r="F36" s="346"/>
      <c r="G36" s="338">
        <f>G12*$W$12/1000*1</f>
        <v>0.1</v>
      </c>
      <c r="H36" s="339">
        <f>H12*$W$12/1000*AD4</f>
        <v>0.16304180883</v>
      </c>
      <c r="I36" s="339">
        <f t="shared" ref="I36:V36" si="30">I12*$W$12/1000*AE4</f>
        <v>0.26582631426558267</v>
      </c>
      <c r="J36" s="339">
        <f t="shared" si="30"/>
        <v>0.43340803112472626</v>
      </c>
      <c r="K36" s="339">
        <f t="shared" si="30"/>
        <v>0.70663629356024305</v>
      </c>
      <c r="L36" s="339">
        <f t="shared" si="30"/>
        <v>1.1521125948698889</v>
      </c>
      <c r="M36" s="339">
        <f t="shared" si="30"/>
        <v>1.8784252144341165</v>
      </c>
      <c r="N36" s="339">
        <f t="shared" si="30"/>
        <v>3.0626184471321891</v>
      </c>
      <c r="O36" s="339">
        <f t="shared" si="30"/>
        <v>4.9933485137655795</v>
      </c>
      <c r="P36" s="339">
        <f t="shared" si="30"/>
        <v>8.1412457380293191</v>
      </c>
      <c r="Q36" s="340">
        <f>Q12*$W$12/1000*AM4</f>
        <v>13.273634312578286</v>
      </c>
      <c r="R36" s="347">
        <f>R12*$W$12/1000*AN4</f>
        <v>21.641573480707169</v>
      </c>
      <c r="S36" s="347">
        <f t="shared" si="30"/>
        <v>35.284812862218565</v>
      </c>
      <c r="T36" s="347">
        <f t="shared" si="30"/>
        <v>57.528997132841639</v>
      </c>
      <c r="U36" s="347">
        <f t="shared" si="30"/>
        <v>93.796317527143856</v>
      </c>
      <c r="V36" s="347">
        <f t="shared" si="30"/>
        <v>152.92721271218568</v>
      </c>
    </row>
    <row r="37" spans="1:27" ht="16" x14ac:dyDescent="0.2">
      <c r="A37" s="95" t="s">
        <v>279</v>
      </c>
      <c r="B37" s="346"/>
      <c r="C37" s="346"/>
      <c r="D37" s="346"/>
      <c r="E37" s="346"/>
      <c r="F37" s="346"/>
      <c r="G37" s="338">
        <f>G13*$W$13/1000</f>
        <v>1.6750000000000001E-2</v>
      </c>
      <c r="H37" s="339">
        <f>H13*$W$13/1000*AD4</f>
        <v>2.8404256052060005E-2</v>
      </c>
      <c r="I37" s="339">
        <f t="shared" ref="I37:U37" si="31">I13*$W$13/1000*AE4</f>
        <v>4.8167269365432079E-2</v>
      </c>
      <c r="J37" s="339">
        <f t="shared" si="31"/>
        <v>8.1680922530404682E-2</v>
      </c>
      <c r="K37" s="339">
        <f t="shared" si="31"/>
        <v>0.13851258735057259</v>
      </c>
      <c r="L37" s="339">
        <f t="shared" si="31"/>
        <v>0.23488638791277561</v>
      </c>
      <c r="M37" s="339">
        <f t="shared" si="31"/>
        <v>0.39831481226375931</v>
      </c>
      <c r="N37" s="339">
        <f t="shared" si="31"/>
        <v>0.67545289055928526</v>
      </c>
      <c r="O37" s="339">
        <f t="shared" si="31"/>
        <v>1.1454171256447758</v>
      </c>
      <c r="P37" s="339">
        <f t="shared" si="31"/>
        <v>1.9423714222823161</v>
      </c>
      <c r="Q37" s="340">
        <f>Q13*$W$13/1000*AM4</f>
        <v>3.293827774729007</v>
      </c>
      <c r="R37" s="347">
        <f t="shared" si="31"/>
        <v>5.5855956719277442</v>
      </c>
      <c r="S37" s="347">
        <f t="shared" si="31"/>
        <v>9.4719217712664925</v>
      </c>
      <c r="T37" s="347">
        <f t="shared" si="31"/>
        <v>16.062262166933444</v>
      </c>
      <c r="U37" s="347">
        <f t="shared" si="31"/>
        <v>27.238006409844395</v>
      </c>
      <c r="V37" s="347">
        <f>V13*$W$13/1000*AR4</f>
        <v>46.189570651514728</v>
      </c>
    </row>
    <row r="38" spans="1:27" ht="16" x14ac:dyDescent="0.2">
      <c r="A38" t="s">
        <v>23</v>
      </c>
      <c r="B38" s="346">
        <f>B16*$W$16/1000</f>
        <v>62.5</v>
      </c>
      <c r="C38" s="346">
        <f>C16*$W$16/1000*AD3</f>
        <v>60.265624999999993</v>
      </c>
      <c r="D38" s="346">
        <f t="shared" ref="D38:V38" si="32">D16*$W$16/1000*AE3</f>
        <v>58.111128906249981</v>
      </c>
      <c r="E38" s="346">
        <f t="shared" si="32"/>
        <v>56.03365604785153</v>
      </c>
      <c r="F38" s="346">
        <f t="shared" si="32"/>
        <v>54.030452844140818</v>
      </c>
      <c r="G38" s="335">
        <f t="shared" si="32"/>
        <v>52.09886415496279</v>
      </c>
      <c r="H38" s="336">
        <f t="shared" si="32"/>
        <v>50.236329761422859</v>
      </c>
      <c r="I38" s="336">
        <f t="shared" si="32"/>
        <v>48.440380972451983</v>
      </c>
      <c r="J38" s="336">
        <f t="shared" si="32"/>
        <v>46.708637352686814</v>
      </c>
      <c r="K38" s="336">
        <f t="shared" si="32"/>
        <v>45.038803567328259</v>
      </c>
      <c r="L38" s="336">
        <f t="shared" si="32"/>
        <v>43.428666339796258</v>
      </c>
      <c r="M38" s="336">
        <f t="shared" si="32"/>
        <v>41.876091518148542</v>
      </c>
      <c r="N38" s="336">
        <f t="shared" si="32"/>
        <v>40.37902124637472</v>
      </c>
      <c r="O38" s="336">
        <f t="shared" si="32"/>
        <v>38.935471236816824</v>
      </c>
      <c r="P38" s="336">
        <f t="shared" si="32"/>
        <v>37.543528140100619</v>
      </c>
      <c r="Q38" s="337">
        <f>Q16*$W$16/1000*AR3</f>
        <v>36.201347009092011</v>
      </c>
      <c r="R38" s="346">
        <f t="shared" si="32"/>
        <v>34.907148853516965</v>
      </c>
      <c r="S38" s="346">
        <f t="shared" si="32"/>
        <v>33.659218282003728</v>
      </c>
      <c r="T38" s="346">
        <f t="shared" si="32"/>
        <v>32.455901228422093</v>
      </c>
      <c r="U38" s="346">
        <f t="shared" si="32"/>
        <v>31.295602759506</v>
      </c>
      <c r="V38" s="346">
        <f t="shared" si="32"/>
        <v>30.176784960853656</v>
      </c>
      <c r="AA38">
        <f>840*0.1/0.9*0.95^15</f>
        <v>43.240514814910306</v>
      </c>
    </row>
    <row r="39" spans="1:27" ht="16" x14ac:dyDescent="0.2">
      <c r="A39" t="s">
        <v>24</v>
      </c>
      <c r="B39" s="346">
        <f>B17*$W$17/1000</f>
        <v>3.895</v>
      </c>
      <c r="C39" s="346">
        <f>C17*$W$17/1000*AD3</f>
        <v>3.7557537499999998</v>
      </c>
      <c r="D39" s="346">
        <f t="shared" ref="D39:V39" si="33">D17*$W$17/1000*AE3</f>
        <v>3.6214855534374988</v>
      </c>
      <c r="E39" s="346">
        <f t="shared" si="33"/>
        <v>3.4920174449021073</v>
      </c>
      <c r="F39" s="346">
        <f t="shared" si="33"/>
        <v>3.3671778212468562</v>
      </c>
      <c r="G39" s="335">
        <f t="shared" si="33"/>
        <v>3.2468012141372804</v>
      </c>
      <c r="H39" s="336">
        <f t="shared" si="33"/>
        <v>3.1307280707318728</v>
      </c>
      <c r="I39" s="336">
        <f t="shared" si="33"/>
        <v>3.018804542203207</v>
      </c>
      <c r="J39" s="336">
        <f t="shared" si="33"/>
        <v>2.9108822798194423</v>
      </c>
      <c r="K39" s="336">
        <f t="shared" si="33"/>
        <v>2.8068182383158971</v>
      </c>
      <c r="L39" s="336">
        <f t="shared" si="33"/>
        <v>2.7064744862961025</v>
      </c>
      <c r="M39" s="336">
        <f t="shared" si="33"/>
        <v>2.6097180234110176</v>
      </c>
      <c r="N39" s="336">
        <f t="shared" si="33"/>
        <v>2.5164206040740726</v>
      </c>
      <c r="O39" s="336">
        <f t="shared" si="33"/>
        <v>2.4264585674784245</v>
      </c>
      <c r="P39" s="336">
        <f t="shared" si="33"/>
        <v>2.3397126736910705</v>
      </c>
      <c r="Q39" s="337">
        <f t="shared" si="33"/>
        <v>2.2560679456066142</v>
      </c>
      <c r="R39" s="346">
        <f t="shared" si="33"/>
        <v>2.1754135165511772</v>
      </c>
      <c r="S39" s="346">
        <f t="shared" si="33"/>
        <v>2.0976424833344725</v>
      </c>
      <c r="T39" s="346">
        <f t="shared" si="33"/>
        <v>2.0226517645552651</v>
      </c>
      <c r="U39" s="346">
        <f t="shared" si="33"/>
        <v>1.950341963972414</v>
      </c>
      <c r="V39" s="346">
        <f t="shared" si="33"/>
        <v>1.8806172387603999</v>
      </c>
    </row>
    <row r="40" spans="1:27" ht="16" x14ac:dyDescent="0.2">
      <c r="A40" t="s">
        <v>25</v>
      </c>
      <c r="B40" s="346">
        <f>B18*$W$18/1000</f>
        <v>7.5</v>
      </c>
      <c r="C40" s="346">
        <f>C18*$W$18/1000*AD3</f>
        <v>7.2318749999999996</v>
      </c>
      <c r="D40" s="346">
        <f t="shared" ref="D40:V40" si="34">D18*$W$18/1000*AE3</f>
        <v>6.9733354687499975</v>
      </c>
      <c r="E40" s="346">
        <f t="shared" si="34"/>
        <v>6.724038725742183</v>
      </c>
      <c r="F40" s="346">
        <f t="shared" si="34"/>
        <v>6.4836543412968997</v>
      </c>
      <c r="G40" s="335">
        <f t="shared" si="34"/>
        <v>6.2518636985955345</v>
      </c>
      <c r="H40" s="336">
        <f t="shared" si="34"/>
        <v>6.0283595713707445</v>
      </c>
      <c r="I40" s="336">
        <f t="shared" si="34"/>
        <v>5.8128457166942376</v>
      </c>
      <c r="J40" s="336">
        <f t="shared" si="34"/>
        <v>5.6050364823224177</v>
      </c>
      <c r="K40" s="336">
        <f t="shared" si="34"/>
        <v>5.4046564280793907</v>
      </c>
      <c r="L40" s="336">
        <f t="shared" si="34"/>
        <v>5.2114399607755511</v>
      </c>
      <c r="M40" s="336">
        <f t="shared" si="34"/>
        <v>5.0251309821778252</v>
      </c>
      <c r="N40" s="336">
        <f t="shared" si="34"/>
        <v>4.8454825495649674</v>
      </c>
      <c r="O40" s="336">
        <f t="shared" si="34"/>
        <v>4.6722565484180185</v>
      </c>
      <c r="P40" s="336">
        <f t="shared" si="34"/>
        <v>4.5052233768120749</v>
      </c>
      <c r="Q40" s="337">
        <f t="shared" si="34"/>
        <v>4.3441616410910413</v>
      </c>
      <c r="R40" s="346">
        <f t="shared" si="34"/>
        <v>4.1888578624220356</v>
      </c>
      <c r="S40" s="346">
        <f t="shared" si="34"/>
        <v>4.039106193840448</v>
      </c>
      <c r="T40" s="346">
        <f t="shared" si="34"/>
        <v>3.8947081474106517</v>
      </c>
      <c r="U40" s="346">
        <f t="shared" si="34"/>
        <v>3.7554723311407203</v>
      </c>
      <c r="V40" s="346">
        <f t="shared" si="34"/>
        <v>3.6212141953024393</v>
      </c>
    </row>
    <row r="41" spans="1:27" ht="16" x14ac:dyDescent="0.2">
      <c r="A41" t="s">
        <v>26</v>
      </c>
      <c r="B41" s="346">
        <f>B19*$W$19/1000</f>
        <v>7.5</v>
      </c>
      <c r="C41" s="346">
        <f>C19*$W$19/1000*AD3</f>
        <v>7.2318749999999978</v>
      </c>
      <c r="D41" s="346">
        <f t="shared" ref="D41:V41" si="35">D19*$W$19/1000*AE3</f>
        <v>6.9733354687499967</v>
      </c>
      <c r="E41" s="346">
        <f t="shared" si="35"/>
        <v>6.724038725742183</v>
      </c>
      <c r="F41" s="346">
        <f t="shared" si="35"/>
        <v>6.4836543412968979</v>
      </c>
      <c r="G41" s="335">
        <f t="shared" si="35"/>
        <v>6.2518636985955345</v>
      </c>
      <c r="H41" s="336">
        <f t="shared" si="35"/>
        <v>6.0283595713707427</v>
      </c>
      <c r="I41" s="336">
        <f t="shared" si="35"/>
        <v>5.8128457166942358</v>
      </c>
      <c r="J41" s="336">
        <f t="shared" si="35"/>
        <v>5.6050364823224177</v>
      </c>
      <c r="K41" s="336">
        <f t="shared" si="35"/>
        <v>5.4046564280793907</v>
      </c>
      <c r="L41" s="336">
        <f t="shared" si="35"/>
        <v>5.2114399607755511</v>
      </c>
      <c r="M41" s="336">
        <f t="shared" si="35"/>
        <v>5.0251309821778243</v>
      </c>
      <c r="N41" s="336">
        <f t="shared" si="35"/>
        <v>4.8454825495649665</v>
      </c>
      <c r="O41" s="336">
        <f t="shared" si="35"/>
        <v>4.6722565484180185</v>
      </c>
      <c r="P41" s="336">
        <f t="shared" si="35"/>
        <v>4.505223376812074</v>
      </c>
      <c r="Q41" s="337">
        <f>Q19*$W$19/1000*AR3</f>
        <v>4.3441616410910413</v>
      </c>
      <c r="R41" s="346">
        <f t="shared" si="35"/>
        <v>4.1888578624220347</v>
      </c>
      <c r="S41" s="346">
        <f t="shared" si="35"/>
        <v>4.039106193840448</v>
      </c>
      <c r="T41" s="346">
        <f t="shared" si="35"/>
        <v>3.8947081474106513</v>
      </c>
      <c r="U41" s="346">
        <f t="shared" si="35"/>
        <v>3.7554723311407203</v>
      </c>
      <c r="V41" s="346">
        <f t="shared" si="35"/>
        <v>3.6212141953024379</v>
      </c>
    </row>
    <row r="42" spans="1:27" ht="16" x14ac:dyDescent="0.2">
      <c r="A42" t="s">
        <v>27</v>
      </c>
      <c r="B42" s="346">
        <f>B20*$W$20/1000</f>
        <v>17.5</v>
      </c>
      <c r="C42" s="346">
        <f>C20*$W$20/1000*AD3</f>
        <v>16.874374999999993</v>
      </c>
      <c r="D42" s="346">
        <f t="shared" ref="D42:U42" si="36">D20*$W$20/1000*AE3</f>
        <v>16.271116093749995</v>
      </c>
      <c r="E42" s="346">
        <f t="shared" si="36"/>
        <v>15.689423693398426</v>
      </c>
      <c r="F42" s="346">
        <f t="shared" si="36"/>
        <v>15.128526796359429</v>
      </c>
      <c r="G42" s="335">
        <f t="shared" si="36"/>
        <v>14.58768196338958</v>
      </c>
      <c r="H42" s="336">
        <f t="shared" si="36"/>
        <v>14.066172333198399</v>
      </c>
      <c r="I42" s="336">
        <f t="shared" si="36"/>
        <v>13.563306672286554</v>
      </c>
      <c r="J42" s="336">
        <f t="shared" si="36"/>
        <v>13.078418458752306</v>
      </c>
      <c r="K42" s="336">
        <f t="shared" si="36"/>
        <v>12.610864998851913</v>
      </c>
      <c r="L42" s="336">
        <f t="shared" si="36"/>
        <v>12.160026575142954</v>
      </c>
      <c r="M42" s="336">
        <f t="shared" si="36"/>
        <v>11.725305625081589</v>
      </c>
      <c r="N42" s="336">
        <f t="shared" si="36"/>
        <v>11.306125948984921</v>
      </c>
      <c r="O42" s="336">
        <f t="shared" si="36"/>
        <v>10.901931946308709</v>
      </c>
      <c r="P42" s="336">
        <f t="shared" si="36"/>
        <v>10.512187879228172</v>
      </c>
      <c r="Q42" s="337">
        <f t="shared" si="36"/>
        <v>10.136377162545763</v>
      </c>
      <c r="R42" s="346">
        <f t="shared" si="36"/>
        <v>9.7740016789847495</v>
      </c>
      <c r="S42" s="346">
        <f t="shared" si="36"/>
        <v>9.4245811189610453</v>
      </c>
      <c r="T42" s="346">
        <f t="shared" si="36"/>
        <v>9.0876523439581849</v>
      </c>
      <c r="U42" s="346">
        <f t="shared" si="36"/>
        <v>8.7627687726616799</v>
      </c>
      <c r="V42" s="346">
        <f>V20*$W$20/1000*AW3</f>
        <v>8.4494997890390238</v>
      </c>
    </row>
    <row r="43" spans="1:27" x14ac:dyDescent="0.15">
      <c r="A43" t="s">
        <v>28</v>
      </c>
      <c r="B43" s="346">
        <f>'WAN FAN Wi-Fi NDBS'!G106*0.1/0.9</f>
        <v>37.643864052287576</v>
      </c>
      <c r="C43" s="346">
        <f>'WAN FAN Wi-Fi NDBS'!H106*0.1/0.9</f>
        <v>38.922475806666661</v>
      </c>
      <c r="D43" s="346">
        <f>'WAN FAN Wi-Fi NDBS'!I106*0.1/0.9</f>
        <v>40.404494901712418</v>
      </c>
      <c r="E43" s="346">
        <f>'WAN FAN Wi-Fi NDBS'!J106*0.1/0.9</f>
        <v>36.798667685317106</v>
      </c>
      <c r="F43" s="346">
        <f>'WAN FAN Wi-Fi NDBS'!K106*0.1/0.9</f>
        <v>33.744091530551437</v>
      </c>
      <c r="G43" s="346">
        <f>('WAN FAN Wi-Fi NDBS'!J236+'WAN FAN Wi-Fi NDBS'!J297+'WAN FAN Wi-Fi NDBS'!J338)*0.1/0.9</f>
        <v>35.207279111856792</v>
      </c>
      <c r="H43" s="346">
        <f>('WAN FAN Wi-Fi NDBS'!K236+'WAN FAN Wi-Fi NDBS'!K297+'WAN FAN Wi-Fi NDBS'!K338)*0.1/0.9</f>
        <v>32.371675869395112</v>
      </c>
      <c r="I43" s="346">
        <f>('WAN FAN Wi-Fi NDBS'!L236+'WAN FAN Wi-Fi NDBS'!L297+'WAN FAN Wi-Fi NDBS'!L338)*0.1/0.9</f>
        <v>29.543927361845491</v>
      </c>
      <c r="J43" s="346">
        <f>('WAN FAN Wi-Fi NDBS'!M236+'WAN FAN Wi-Fi NDBS'!M297+'WAN FAN Wi-Fi NDBS'!M338)*0.1/0.9</f>
        <v>27.623961106269476</v>
      </c>
      <c r="K43" s="346">
        <f>('WAN FAN Wi-Fi NDBS'!N236+'WAN FAN Wi-Fi NDBS'!N297+'WAN FAN Wi-Fi NDBS'!N338)*0.1/0.9</f>
        <v>25.869507266472453</v>
      </c>
      <c r="L43" s="346">
        <f>('WAN FAN Wi-Fi NDBS'!O236+'WAN FAN Wi-Fi NDBS'!O297+'WAN FAN Wi-Fi NDBS'!O338)*0.1/0.9</f>
        <v>24.460932839799121</v>
      </c>
      <c r="M43" s="346">
        <f>('WAN FAN Wi-Fi NDBS'!P236+'WAN FAN Wi-Fi NDBS'!P297+'WAN FAN Wi-Fi NDBS'!P338)*0.1/0.9</f>
        <v>23.555954262339547</v>
      </c>
      <c r="N43" s="346">
        <f>('WAN FAN Wi-Fi NDBS'!Q236+'WAN FAN Wi-Fi NDBS'!Q297+'WAN FAN Wi-Fi NDBS'!Q338)*0.1/0.9</f>
        <v>26.820993828612941</v>
      </c>
      <c r="O43" s="346">
        <f>('WAN FAN Wi-Fi NDBS'!R236+'WAN FAN Wi-Fi NDBS'!R297+'WAN FAN Wi-Fi NDBS'!R338)*0.1/0.9</f>
        <v>31.254030438577249</v>
      </c>
      <c r="P43" s="346">
        <f>('WAN FAN Wi-Fi NDBS'!S236+'WAN FAN Wi-Fi NDBS'!S297+'WAN FAN Wi-Fi NDBS'!S338)*0.1/0.9</f>
        <v>36.391885539513169</v>
      </c>
      <c r="Q43" s="346">
        <f>('WAN FAN Wi-Fi NDBS'!T236+'WAN FAN Wi-Fi NDBS'!T297+'WAN FAN Wi-Fi NDBS'!T338)*0.1/0.9</f>
        <v>42.60739384330936</v>
      </c>
      <c r="R43" s="346">
        <f>'WAN FAN Wi-Fi NDBS'!W106*0.1/0.9</f>
        <v>3.1986931989144818</v>
      </c>
      <c r="S43" s="346">
        <f>'WAN FAN Wi-Fi NDBS'!X106*0.1/0.9</f>
        <v>3.2407383665409197</v>
      </c>
      <c r="T43" s="346">
        <f>'WAN FAN Wi-Fi NDBS'!Y106*0.1/0.9</f>
        <v>3.3382865910003634</v>
      </c>
      <c r="U43" s="346">
        <f>'WAN FAN Wi-Fi NDBS'!Z106*0.1/0.9</f>
        <v>3.5090041234536136</v>
      </c>
      <c r="V43" s="346">
        <f>'WAN FAN Wi-Fi NDBS'!AA106*0.1/0.9</f>
        <v>3.7761930389283962</v>
      </c>
    </row>
    <row r="44" spans="1:27" x14ac:dyDescent="0.15">
      <c r="A44" t="s">
        <v>29</v>
      </c>
      <c r="B44" s="346">
        <f>'NDBS DataCenters '!D18*0.1/0.9</f>
        <v>21.043200000000006</v>
      </c>
      <c r="C44" s="346">
        <f>'NDBS DataCenters '!E18*0.1/0.9</f>
        <v>21.427200000000003</v>
      </c>
      <c r="D44" s="346">
        <f>'NDBS DataCenters '!F18*0.1/0.9</f>
        <v>23.986560000000004</v>
      </c>
      <c r="E44" s="346">
        <f>'NDBS DataCenters '!G18*0.1/0.9</f>
        <v>22.075829226562508</v>
      </c>
      <c r="F44" s="346">
        <f>'NDBS DataCenters '!H18*0.1/0.9</f>
        <v>22.331360074423834</v>
      </c>
      <c r="G44" s="346">
        <f>'NDBS DataCenters '!I18*0.1/0.9</f>
        <v>22.597366948454695</v>
      </c>
      <c r="H44" s="346">
        <f>'NDBS DataCenters '!J18*0.1/0.9</f>
        <v>22.821961699504907</v>
      </c>
      <c r="I44" s="346">
        <f>'NDBS DataCenters '!K18*0.1/0.9</f>
        <v>24.725245314418707</v>
      </c>
      <c r="J44" s="346">
        <f>'NDBS DataCenters '!L18*0.1/0.9</f>
        <v>27.579567217115635</v>
      </c>
      <c r="K44" s="346">
        <f>'NDBS DataCenters '!M18*0.1/0.9</f>
        <v>30.775405396607457</v>
      </c>
      <c r="L44" s="346">
        <f>'NDBS DataCenters '!N18*0.1/0.9</f>
        <v>34.35166890302316</v>
      </c>
      <c r="M44" s="346">
        <f>'NDBS DataCenters '!O18*0.1/0.9</f>
        <v>38.303903008382754</v>
      </c>
      <c r="N44" s="346">
        <f>'NDBS DataCenters '!P18*0.1/0.9</f>
        <v>52.365088525264227</v>
      </c>
      <c r="O44" s="346">
        <f>'NDBS DataCenters '!Q18*0.1/0.9</f>
        <v>71.592235796035311</v>
      </c>
      <c r="P44" s="346">
        <f>'NDBS DataCenters '!R18*0.1/0.9</f>
        <v>97.882903396089205</v>
      </c>
      <c r="Q44" s="346">
        <f>'NDBS DataCenters '!S18*0.1/0.9</f>
        <v>133.83065463406376</v>
      </c>
      <c r="R44" s="346">
        <f>'NDBS DataCenters '!T18*0.1/0.9</f>
        <v>0</v>
      </c>
      <c r="S44" s="346">
        <f>'NDBS DataCenters '!U18*0.1/0.9</f>
        <v>0</v>
      </c>
      <c r="T44" s="346">
        <f>'NDBS DataCenters '!V18*0.1/0.9</f>
        <v>0</v>
      </c>
      <c r="U44" s="346">
        <f>'NDBS DataCenters '!W18*0.1/0.9</f>
        <v>0</v>
      </c>
      <c r="V44" s="346">
        <f>'NDBS DataCenters '!X18*0.1/0.9</f>
        <v>0</v>
      </c>
    </row>
    <row r="45" spans="1:27" x14ac:dyDescent="0.15">
      <c r="B45" s="348"/>
      <c r="C45" s="360"/>
      <c r="D45" s="360"/>
      <c r="E45" s="360"/>
      <c r="F45" s="360"/>
      <c r="G45" s="341"/>
      <c r="H45" s="150"/>
      <c r="I45" s="150"/>
      <c r="J45" s="342"/>
      <c r="K45" s="342"/>
      <c r="L45" s="342"/>
      <c r="M45" s="342"/>
      <c r="N45" s="342"/>
      <c r="O45" s="342"/>
      <c r="P45" s="342"/>
      <c r="Q45" s="343"/>
      <c r="R45" s="348"/>
      <c r="S45" s="348"/>
      <c r="T45" s="348"/>
      <c r="U45" s="348"/>
      <c r="V45" s="348"/>
    </row>
    <row r="46" spans="1:27" x14ac:dyDescent="0.15">
      <c r="B46" s="348"/>
      <c r="C46" s="360"/>
      <c r="D46" s="360"/>
      <c r="E46" s="360"/>
      <c r="F46" s="360"/>
      <c r="G46" s="537">
        <f>G44/G47</f>
        <v>8.6046336219761821E-2</v>
      </c>
      <c r="H46" s="537">
        <f t="shared" ref="H46:V46" si="37">H44/H47</f>
        <v>8.6700476265239329E-2</v>
      </c>
      <c r="I46" s="537">
        <f t="shared" si="37"/>
        <v>9.2655331664349111E-2</v>
      </c>
      <c r="J46" s="537">
        <f t="shared" si="37"/>
        <v>0.1006941576510962</v>
      </c>
      <c r="K46" s="537">
        <f t="shared" si="37"/>
        <v>0.10861842728816479</v>
      </c>
      <c r="L46" s="537">
        <f t="shared" si="37"/>
        <v>0.11782761836180308</v>
      </c>
      <c r="M46" s="537">
        <f t="shared" si="37"/>
        <v>0.13443551278472229</v>
      </c>
      <c r="N46" s="537">
        <f t="shared" si="37"/>
        <v>0.17693012488275567</v>
      </c>
      <c r="O46" s="537">
        <f t="shared" si="37"/>
        <v>0.22583849412949572</v>
      </c>
      <c r="P46" s="537">
        <f t="shared" si="37"/>
        <v>0.27924962966563954</v>
      </c>
      <c r="Q46" s="537">
        <f>Q44/Q47</f>
        <v>0.33347003546905052</v>
      </c>
      <c r="R46" s="537">
        <f t="shared" si="37"/>
        <v>0</v>
      </c>
      <c r="S46" s="537">
        <f t="shared" si="37"/>
        <v>0</v>
      </c>
      <c r="T46" s="537">
        <f t="shared" si="37"/>
        <v>0</v>
      </c>
      <c r="U46" s="537">
        <f t="shared" si="37"/>
        <v>0</v>
      </c>
      <c r="V46" s="537">
        <f t="shared" si="37"/>
        <v>0</v>
      </c>
    </row>
    <row r="47" spans="1:27" s="56" customFormat="1" ht="17" thickBot="1" x14ac:dyDescent="0.25">
      <c r="A47" s="59" t="s">
        <v>30</v>
      </c>
      <c r="B47" s="349">
        <f>SUM(B27:B44)</f>
        <v>239.11106405228759</v>
      </c>
      <c r="C47" s="349">
        <f t="shared" ref="C47:U47" si="38">SUM(C27:C44)</f>
        <v>241.79817955666661</v>
      </c>
      <c r="D47" s="349">
        <f t="shared" si="38"/>
        <v>249.69623689264992</v>
      </c>
      <c r="E47" s="349">
        <f t="shared" si="38"/>
        <v>250.50967420401605</v>
      </c>
      <c r="F47" s="349">
        <f t="shared" si="38"/>
        <v>252.79640289598166</v>
      </c>
      <c r="G47" s="344">
        <f>SUM(G27:G44)</f>
        <v>262.61858367497666</v>
      </c>
      <c r="H47" s="344">
        <f t="shared" ref="H47:P47" si="39">SUM(H27:H44)</f>
        <v>263.22763936943767</v>
      </c>
      <c r="I47" s="344">
        <f t="shared" si="39"/>
        <v>266.85183540206583</v>
      </c>
      <c r="J47" s="344">
        <f t="shared" si="39"/>
        <v>273.89441314637577</v>
      </c>
      <c r="K47" s="344">
        <f t="shared" si="39"/>
        <v>283.33503039001181</v>
      </c>
      <c r="L47" s="344">
        <f t="shared" si="39"/>
        <v>291.54174021868505</v>
      </c>
      <c r="M47" s="344">
        <f t="shared" si="39"/>
        <v>284.92399229153489</v>
      </c>
      <c r="N47" s="344">
        <f t="shared" si="39"/>
        <v>295.96479717608531</v>
      </c>
      <c r="O47" s="344">
        <f t="shared" si="39"/>
        <v>317.00634593757229</v>
      </c>
      <c r="P47" s="344">
        <f t="shared" si="39"/>
        <v>350.52115740776316</v>
      </c>
      <c r="Q47" s="344">
        <f>SUM(Q27:Q44)</f>
        <v>401.32737697352911</v>
      </c>
      <c r="R47" s="349">
        <f t="shared" si="38"/>
        <v>237.09273266473858</v>
      </c>
      <c r="S47" s="349">
        <f t="shared" si="38"/>
        <v>263.9815901146618</v>
      </c>
      <c r="T47" s="349">
        <f t="shared" si="38"/>
        <v>310.26117004615469</v>
      </c>
      <c r="U47" s="349">
        <f t="shared" si="38"/>
        <v>387.5902340178244</v>
      </c>
      <c r="V47" s="349">
        <f>SUM(V27:V44)</f>
        <v>515.22945799022216</v>
      </c>
    </row>
    <row r="50" spans="1:22" ht="16" thickBot="1" x14ac:dyDescent="0.25">
      <c r="A50" s="24" t="s">
        <v>31</v>
      </c>
      <c r="B50" s="24"/>
      <c r="C50" s="24"/>
    </row>
    <row r="51" spans="1:22" x14ac:dyDescent="0.15">
      <c r="A51" s="350"/>
      <c r="B51" s="351">
        <v>2010</v>
      </c>
      <c r="C51" s="352">
        <v>2011</v>
      </c>
      <c r="D51" s="351">
        <v>2012</v>
      </c>
      <c r="E51" s="352">
        <v>2013</v>
      </c>
      <c r="F51" s="351">
        <v>2014</v>
      </c>
      <c r="G51" s="605">
        <v>2015</v>
      </c>
      <c r="H51" s="606">
        <v>2016</v>
      </c>
      <c r="I51" s="607">
        <v>2017</v>
      </c>
      <c r="J51" s="607">
        <v>2018</v>
      </c>
      <c r="K51" s="607">
        <v>2019</v>
      </c>
      <c r="L51" s="607">
        <v>2020</v>
      </c>
      <c r="M51" s="365">
        <v>2021</v>
      </c>
      <c r="N51" s="365">
        <v>2022</v>
      </c>
      <c r="O51" s="365">
        <v>2023</v>
      </c>
      <c r="P51" s="365">
        <v>2024</v>
      </c>
      <c r="Q51" s="608">
        <v>2025</v>
      </c>
      <c r="R51" s="345">
        <v>2026</v>
      </c>
      <c r="S51" s="345">
        <v>2027</v>
      </c>
      <c r="T51" s="345">
        <v>2028</v>
      </c>
      <c r="U51" s="345">
        <v>2029</v>
      </c>
      <c r="V51" s="345">
        <v>2030</v>
      </c>
    </row>
    <row r="52" spans="1:22" ht="14" x14ac:dyDescent="0.2">
      <c r="A52" s="541" t="s">
        <v>18</v>
      </c>
      <c r="B52" s="354">
        <f>B3*$X$3/1000</f>
        <v>31.39</v>
      </c>
      <c r="C52" s="354">
        <f t="shared" ref="C52:V52" si="40">C3*$X$3/1000*AD4</f>
        <v>30.865400000000001</v>
      </c>
      <c r="D52" s="354">
        <f t="shared" si="40"/>
        <v>30.546318500000002</v>
      </c>
      <c r="E52" s="354">
        <f t="shared" si="40"/>
        <v>29.037330366099994</v>
      </c>
      <c r="F52" s="354">
        <f t="shared" si="40"/>
        <v>27.602886246014656</v>
      </c>
      <c r="G52" s="609">
        <f t="shared" si="40"/>
        <v>26.239303665461531</v>
      </c>
      <c r="H52" s="610">
        <f t="shared" si="40"/>
        <v>23.924997082167824</v>
      </c>
      <c r="I52" s="610">
        <f t="shared" si="40"/>
        <v>21.814812339520621</v>
      </c>
      <c r="J52" s="610">
        <f t="shared" si="40"/>
        <v>19.890745891174902</v>
      </c>
      <c r="K52" s="610">
        <f t="shared" si="40"/>
        <v>18.136382103573272</v>
      </c>
      <c r="L52" s="610">
        <f t="shared" si="40"/>
        <v>16.536753202038106</v>
      </c>
      <c r="M52" s="610">
        <f t="shared" si="40"/>
        <v>15.078211569618345</v>
      </c>
      <c r="N52" s="610">
        <f t="shared" si="40"/>
        <v>13.748313309178009</v>
      </c>
      <c r="O52" s="610">
        <f t="shared" si="40"/>
        <v>12.535712075308508</v>
      </c>
      <c r="P52" s="610">
        <f t="shared" si="40"/>
        <v>11.430062270266301</v>
      </c>
      <c r="Q52" s="611">
        <f>Q3*$X$3/1000*AR4</f>
        <v>10.421930778028813</v>
      </c>
      <c r="R52" s="354">
        <f t="shared" si="40"/>
        <v>9.5027164834066706</v>
      </c>
      <c r="S52" s="354">
        <f t="shared" si="40"/>
        <v>8.6645768895702009</v>
      </c>
      <c r="T52" s="354">
        <f t="shared" si="40"/>
        <v>7.9003612079101089</v>
      </c>
      <c r="U52" s="354">
        <f t="shared" si="40"/>
        <v>7.2035493493724365</v>
      </c>
      <c r="V52" s="354">
        <f t="shared" si="40"/>
        <v>6.5681962967577876</v>
      </c>
    </row>
    <row r="53" spans="1:22" ht="14" x14ac:dyDescent="0.2">
      <c r="A53" s="541" t="s">
        <v>19</v>
      </c>
      <c r="B53" s="354">
        <f>B4*$X$4/1000</f>
        <v>43.415999999999997</v>
      </c>
      <c r="C53" s="354">
        <f t="shared" ref="C53:V53" si="41">C4*$X$4/1000*AD4</f>
        <v>42.8934</v>
      </c>
      <c r="D53" s="354">
        <f t="shared" si="41"/>
        <v>42.615242799999997</v>
      </c>
      <c r="E53" s="354">
        <f t="shared" si="41"/>
        <v>40.510049805680005</v>
      </c>
      <c r="F53" s="354">
        <f t="shared" si="41"/>
        <v>38.508853345279405</v>
      </c>
      <c r="G53" s="609">
        <f t="shared" si="41"/>
        <v>36.606515990022601</v>
      </c>
      <c r="H53" s="610">
        <f t="shared" si="41"/>
        <v>33.377821279702616</v>
      </c>
      <c r="I53" s="610">
        <f t="shared" si="41"/>
        <v>30.433897442832841</v>
      </c>
      <c r="J53" s="610">
        <f t="shared" si="41"/>
        <v>27.749627688374982</v>
      </c>
      <c r="K53" s="610">
        <f t="shared" si="41"/>
        <v>25.302110526260307</v>
      </c>
      <c r="L53" s="610">
        <f t="shared" si="41"/>
        <v>23.070464377844146</v>
      </c>
      <c r="M53" s="610">
        <f t="shared" si="41"/>
        <v>21.03564941971829</v>
      </c>
      <c r="N53" s="610">
        <f t="shared" si="41"/>
        <v>19.180305140899137</v>
      </c>
      <c r="O53" s="610">
        <f t="shared" si="41"/>
        <v>17.48860222747183</v>
      </c>
      <c r="P53" s="610">
        <f t="shared" si="41"/>
        <v>15.946107511008815</v>
      </c>
      <c r="Q53" s="611">
        <f t="shared" si="41"/>
        <v>14.539660828537839</v>
      </c>
      <c r="R53" s="354">
        <f t="shared" si="41"/>
        <v>13.257262743460801</v>
      </c>
      <c r="S53" s="354">
        <f t="shared" si="41"/>
        <v>12.087972169487561</v>
      </c>
      <c r="T53" s="354">
        <f t="shared" si="41"/>
        <v>11.021813024138758</v>
      </c>
      <c r="U53" s="354">
        <f t="shared" si="41"/>
        <v>10.049689115409722</v>
      </c>
      <c r="V53" s="354">
        <f t="shared" si="41"/>
        <v>9.1633065354305838</v>
      </c>
    </row>
    <row r="54" spans="1:22" ht="14" x14ac:dyDescent="0.2">
      <c r="A54" s="541" t="s">
        <v>20</v>
      </c>
      <c r="B54" s="354">
        <f>B5*$X$5/1000</f>
        <v>33.567</v>
      </c>
      <c r="C54" s="354">
        <f t="shared" ref="C54:V54" si="42">C5*$X$5/1000*AD4</f>
        <v>34.827849999999998</v>
      </c>
      <c r="D54" s="354">
        <f t="shared" si="42"/>
        <v>38.6540538</v>
      </c>
      <c r="E54" s="354">
        <f t="shared" si="42"/>
        <v>43.286255043999994</v>
      </c>
      <c r="F54" s="354">
        <f t="shared" si="42"/>
        <v>49.084174557639997</v>
      </c>
      <c r="G54" s="609">
        <f t="shared" si="42"/>
        <v>55.068895600089597</v>
      </c>
      <c r="H54" s="610">
        <f t="shared" si="42"/>
        <v>61.624101896652341</v>
      </c>
      <c r="I54" s="610">
        <f t="shared" si="42"/>
        <v>68.959616734402289</v>
      </c>
      <c r="J54" s="610">
        <f t="shared" si="42"/>
        <v>77.16832527848959</v>
      </c>
      <c r="K54" s="610">
        <f t="shared" si="42"/>
        <v>86.354169415155624</v>
      </c>
      <c r="L54" s="610">
        <f t="shared" si="42"/>
        <v>96.633463904652373</v>
      </c>
      <c r="M54" s="610">
        <f t="shared" si="42"/>
        <v>78.736946389510749</v>
      </c>
      <c r="N54" s="610">
        <f t="shared" si="42"/>
        <v>64.154863918173348</v>
      </c>
      <c r="O54" s="610">
        <f t="shared" si="42"/>
        <v>52.273383120527626</v>
      </c>
      <c r="P54" s="610">
        <f t="shared" si="42"/>
        <v>42.592352566605904</v>
      </c>
      <c r="Q54" s="611">
        <f t="shared" si="42"/>
        <v>34.70424887127048</v>
      </c>
      <c r="R54" s="354">
        <f t="shared" si="42"/>
        <v>28.277021980311179</v>
      </c>
      <c r="S54" s="354">
        <f t="shared" si="42"/>
        <v>23.040117509557543</v>
      </c>
      <c r="T54" s="354">
        <f t="shared" si="42"/>
        <v>18.773087746787485</v>
      </c>
      <c r="U54" s="354">
        <f t="shared" si="42"/>
        <v>15.29631189608244</v>
      </c>
      <c r="V54" s="354">
        <f t="shared" si="42"/>
        <v>12.463434932927971</v>
      </c>
    </row>
    <row r="55" spans="1:22" ht="14" x14ac:dyDescent="0.2">
      <c r="A55" s="541" t="s">
        <v>21</v>
      </c>
      <c r="B55" s="354">
        <f>B6*$X$6/1000</f>
        <v>14</v>
      </c>
      <c r="C55" s="354">
        <f t="shared" ref="C55:V55" si="43">C6*$X$6/1000*AD4</f>
        <v>17.847999999999999</v>
      </c>
      <c r="D55" s="354">
        <f t="shared" si="43"/>
        <v>26.345199999999998</v>
      </c>
      <c r="E55" s="354">
        <f t="shared" si="43"/>
        <v>32.856228000000002</v>
      </c>
      <c r="F55" s="354">
        <f t="shared" si="43"/>
        <v>41.608762069999997</v>
      </c>
      <c r="G55" s="609">
        <f t="shared" si="43"/>
        <v>47.745611828919998</v>
      </c>
      <c r="H55" s="610">
        <f t="shared" si="43"/>
        <v>51.870832690938691</v>
      </c>
      <c r="I55" s="610">
        <f t="shared" si="43"/>
        <v>56.352472635435802</v>
      </c>
      <c r="J55" s="610">
        <f t="shared" si="43"/>
        <v>61.221326271137457</v>
      </c>
      <c r="K55" s="610">
        <f t="shared" si="43"/>
        <v>66.510848860963733</v>
      </c>
      <c r="L55" s="610">
        <f t="shared" si="43"/>
        <v>72.25738620255099</v>
      </c>
      <c r="M55" s="610">
        <f t="shared" si="43"/>
        <v>78.500424370451398</v>
      </c>
      <c r="N55" s="610">
        <f t="shared" si="43"/>
        <v>85.282861036058407</v>
      </c>
      <c r="O55" s="610">
        <f t="shared" si="43"/>
        <v>92.651300229573877</v>
      </c>
      <c r="P55" s="610">
        <f t="shared" si="43"/>
        <v>100.65637256940906</v>
      </c>
      <c r="Q55" s="611">
        <f t="shared" si="43"/>
        <v>109.35308315940603</v>
      </c>
      <c r="R55" s="354">
        <f t="shared" si="43"/>
        <v>118.8011895443787</v>
      </c>
      <c r="S55" s="354">
        <f t="shared" si="43"/>
        <v>129.06561232101305</v>
      </c>
      <c r="T55" s="354">
        <f t="shared" si="43"/>
        <v>140.21688122554858</v>
      </c>
      <c r="U55" s="354">
        <f t="shared" si="43"/>
        <v>152.33161976343598</v>
      </c>
      <c r="V55" s="354">
        <f t="shared" si="43"/>
        <v>165.49307171099687</v>
      </c>
    </row>
    <row r="56" spans="1:22" ht="14" x14ac:dyDescent="0.2">
      <c r="A56" s="541" t="s">
        <v>22</v>
      </c>
      <c r="B56" s="354">
        <f>B7*$X$7/1000</f>
        <v>3.75</v>
      </c>
      <c r="C56" s="354">
        <f t="shared" ref="C56:V56" si="44">C7*$X$7/1000*AD4</f>
        <v>7.2749999999999995</v>
      </c>
      <c r="D56" s="354">
        <f t="shared" si="44"/>
        <v>10.585125</v>
      </c>
      <c r="E56" s="354">
        <f t="shared" si="44"/>
        <v>14.169248325</v>
      </c>
      <c r="F56" s="354">
        <f t="shared" si="44"/>
        <v>16.997621951999999</v>
      </c>
      <c r="G56" s="609">
        <f t="shared" si="44"/>
        <v>20.674021668727498</v>
      </c>
      <c r="H56" s="610">
        <f t="shared" si="44"/>
        <v>23.061871171465526</v>
      </c>
      <c r="I56" s="610">
        <f t="shared" si="44"/>
        <v>25.725517291769787</v>
      </c>
      <c r="J56" s="610">
        <f t="shared" si="44"/>
        <v>28.696814538969193</v>
      </c>
      <c r="K56" s="610">
        <f t="shared" si="44"/>
        <v>32.011296618220129</v>
      </c>
      <c r="L56" s="610">
        <f t="shared" si="44"/>
        <v>31.027120139104102</v>
      </c>
      <c r="M56" s="610">
        <f t="shared" si="44"/>
        <v>30.096306534930978</v>
      </c>
      <c r="N56" s="610">
        <f t="shared" si="44"/>
        <v>29.193417338883048</v>
      </c>
      <c r="O56" s="610">
        <f t="shared" si="44"/>
        <v>28.317614818716557</v>
      </c>
      <c r="P56" s="610">
        <f t="shared" si="44"/>
        <v>27.46808637415506</v>
      </c>
      <c r="Q56" s="611">
        <f t="shared" si="44"/>
        <v>26.64404378293041</v>
      </c>
      <c r="R56" s="354">
        <f t="shared" si="44"/>
        <v>25.844722469442498</v>
      </c>
      <c r="S56" s="354">
        <f t="shared" si="44"/>
        <v>25.069380795359223</v>
      </c>
      <c r="T56" s="354">
        <f t="shared" si="44"/>
        <v>24.317299371498446</v>
      </c>
      <c r="U56" s="354">
        <f t="shared" si="44"/>
        <v>23.58778039035349</v>
      </c>
      <c r="V56" s="354">
        <f t="shared" si="44"/>
        <v>22.880146978642887</v>
      </c>
    </row>
    <row r="57" spans="1:22" ht="14" x14ac:dyDescent="0.2">
      <c r="A57" s="541" t="s">
        <v>38</v>
      </c>
      <c r="B57" s="354">
        <f>B8*$X$8/1000</f>
        <v>15</v>
      </c>
      <c r="C57" s="354">
        <f t="shared" ref="C57:V57" si="45">C8*$X$8/1000*AD4</f>
        <v>14.666399999999999</v>
      </c>
      <c r="D57" s="354">
        <f t="shared" si="45"/>
        <v>11.85534</v>
      </c>
      <c r="E57" s="354">
        <f t="shared" si="45"/>
        <v>9.9225808559999997</v>
      </c>
      <c r="F57" s="354">
        <f t="shared" si="45"/>
        <v>6.2997436359599996</v>
      </c>
      <c r="G57" s="609">
        <f t="shared" si="45"/>
        <v>7.8728735476175986</v>
      </c>
      <c r="H57" s="610">
        <f t="shared" si="45"/>
        <v>7.2548529741296166</v>
      </c>
      <c r="I57" s="610">
        <f t="shared" si="45"/>
        <v>6.6853470156604411</v>
      </c>
      <c r="J57" s="610">
        <f t="shared" si="45"/>
        <v>6.1605472749310968</v>
      </c>
      <c r="K57" s="610">
        <f t="shared" si="45"/>
        <v>5.6769443138490043</v>
      </c>
      <c r="L57" s="610">
        <f t="shared" si="45"/>
        <v>5.2313041852118563</v>
      </c>
      <c r="M57" s="610">
        <f t="shared" si="45"/>
        <v>4.8206468066727259</v>
      </c>
      <c r="N57" s="610">
        <f t="shared" si="45"/>
        <v>4.4422260323489171</v>
      </c>
      <c r="O57" s="610">
        <f t="shared" si="45"/>
        <v>4.0935112888095269</v>
      </c>
      <c r="P57" s="610">
        <f t="shared" si="45"/>
        <v>3.7721706526379779</v>
      </c>
      <c r="Q57" s="611">
        <f t="shared" si="45"/>
        <v>3.4760552564058975</v>
      </c>
      <c r="R57" s="354">
        <f t="shared" si="45"/>
        <v>3.2031849187780344</v>
      </c>
      <c r="S57" s="354">
        <f t="shared" si="45"/>
        <v>2.9517349026539583</v>
      </c>
      <c r="T57" s="354">
        <f t="shared" si="45"/>
        <v>2.7200237127956224</v>
      </c>
      <c r="U57" s="354">
        <f t="shared" si="45"/>
        <v>2.5065018513411661</v>
      </c>
      <c r="V57" s="354">
        <f t="shared" si="45"/>
        <v>2.3097414560108835</v>
      </c>
    </row>
    <row r="58" spans="1:22" ht="14" x14ac:dyDescent="0.2">
      <c r="A58" s="541" t="s">
        <v>60</v>
      </c>
      <c r="B58" s="354">
        <f>B9*$X$9/1000</f>
        <v>0</v>
      </c>
      <c r="C58" s="354">
        <f t="shared" ref="C58:V58" si="46">C9*$X$9/1000*AD4</f>
        <v>0</v>
      </c>
      <c r="D58" s="354">
        <f t="shared" si="46"/>
        <v>0.56453999999999993</v>
      </c>
      <c r="E58" s="354">
        <f t="shared" si="46"/>
        <v>2.738019</v>
      </c>
      <c r="F58" s="354">
        <f t="shared" si="46"/>
        <v>5.3117568599999991</v>
      </c>
      <c r="G58" s="609">
        <f t="shared" si="46"/>
        <v>7.3851126210199824</v>
      </c>
      <c r="H58" s="610">
        <f t="shared" si="46"/>
        <v>9.4125836556976825</v>
      </c>
      <c r="I58" s="610">
        <f t="shared" si="46"/>
        <v>11.311759826935804</v>
      </c>
      <c r="J58" s="610">
        <f t="shared" si="46"/>
        <v>13.088514102609507</v>
      </c>
      <c r="K58" s="610">
        <f t="shared" si="46"/>
        <v>14.748482537898544</v>
      </c>
      <c r="L58" s="610">
        <f t="shared" si="46"/>
        <v>16.297073204377895</v>
      </c>
      <c r="M58" s="610">
        <f t="shared" si="46"/>
        <v>18.337466769566003</v>
      </c>
      <c r="N58" s="610">
        <f t="shared" si="46"/>
        <v>20.633317609115668</v>
      </c>
      <c r="O58" s="610">
        <f t="shared" si="46"/>
        <v>23.216608973776953</v>
      </c>
      <c r="P58" s="610">
        <f t="shared" si="46"/>
        <v>26.123328417293823</v>
      </c>
      <c r="Q58" s="611">
        <f>Q9*$X$9/1000*AR4</f>
        <v>29.393969135139006</v>
      </c>
      <c r="R58" s="354">
        <f t="shared" si="46"/>
        <v>33.074094070858408</v>
      </c>
      <c r="S58" s="354">
        <f t="shared" si="46"/>
        <v>37.214970648529871</v>
      </c>
      <c r="T58" s="354">
        <f t="shared" si="46"/>
        <v>41.874284973725814</v>
      </c>
      <c r="U58" s="354">
        <f t="shared" si="46"/>
        <v>47.116945452436276</v>
      </c>
      <c r="V58" s="354">
        <f t="shared" si="46"/>
        <v>53.015987023081294</v>
      </c>
    </row>
    <row r="59" spans="1:22" ht="14" x14ac:dyDescent="0.2">
      <c r="A59" s="541" t="s">
        <v>23</v>
      </c>
      <c r="B59" s="354">
        <f>B16*$X$16/1000</f>
        <v>125</v>
      </c>
      <c r="C59" s="354">
        <f>C16*$X$16/1000*AD4</f>
        <v>123.06874999999998</v>
      </c>
      <c r="D59" s="354">
        <f t="shared" ref="D59:V59" si="47">D16*$X$16/1000*AE4</f>
        <v>121.16733781249995</v>
      </c>
      <c r="E59" s="354">
        <f t="shared" si="47"/>
        <v>119.29530244329682</v>
      </c>
      <c r="F59" s="354">
        <f t="shared" si="47"/>
        <v>117.45219002054783</v>
      </c>
      <c r="G59" s="609">
        <f t="shared" si="47"/>
        <v>115.63755368473038</v>
      </c>
      <c r="H59" s="610">
        <f t="shared" si="47"/>
        <v>113.85095348030129</v>
      </c>
      <c r="I59" s="610">
        <f t="shared" si="47"/>
        <v>112.09195624903062</v>
      </c>
      <c r="J59" s="610">
        <f t="shared" si="47"/>
        <v>110.36013552498308</v>
      </c>
      <c r="K59" s="610">
        <f t="shared" si="47"/>
        <v>108.65507143112208</v>
      </c>
      <c r="L59" s="610">
        <f t="shared" si="47"/>
        <v>106.97635057751123</v>
      </c>
      <c r="M59" s="610">
        <f t="shared" si="47"/>
        <v>105.32356596108866</v>
      </c>
      <c r="N59" s="610">
        <f t="shared" si="47"/>
        <v>103.69631686698983</v>
      </c>
      <c r="O59" s="610">
        <f t="shared" si="47"/>
        <v>102.09420877139485</v>
      </c>
      <c r="P59" s="610">
        <f t="shared" si="47"/>
        <v>100.51685324587679</v>
      </c>
      <c r="Q59" s="611">
        <f>Q16*$X$16/1000*AR4</f>
        <v>98.963867863227975</v>
      </c>
      <c r="R59" s="354">
        <f t="shared" si="47"/>
        <v>97.434876104741093</v>
      </c>
      <c r="S59" s="354">
        <f t="shared" si="47"/>
        <v>95.929507268922848</v>
      </c>
      <c r="T59" s="354">
        <f t="shared" si="47"/>
        <v>94.447396381617978</v>
      </c>
      <c r="U59" s="354">
        <f t="shared" si="47"/>
        <v>92.988184107521974</v>
      </c>
      <c r="V59" s="354">
        <f t="shared" si="47"/>
        <v>91.551516663060752</v>
      </c>
    </row>
    <row r="60" spans="1:22" ht="14" x14ac:dyDescent="0.2">
      <c r="A60" s="541" t="s">
        <v>24</v>
      </c>
      <c r="B60" s="354">
        <f>B17*$X$17/1000</f>
        <v>4.2750000000000004</v>
      </c>
      <c r="C60" s="354">
        <f>C17*$X$17/1000*AD4</f>
        <v>4.2089512500000001</v>
      </c>
      <c r="D60" s="354">
        <f t="shared" ref="D60:V60" si="48">D17*$X$17/1000*AE4</f>
        <v>4.1439229531874986</v>
      </c>
      <c r="E60" s="354">
        <f t="shared" si="48"/>
        <v>4.0798993435607507</v>
      </c>
      <c r="F60" s="354">
        <f t="shared" si="48"/>
        <v>4.0168648987027362</v>
      </c>
      <c r="G60" s="609">
        <f t="shared" si="48"/>
        <v>3.9548043360177783</v>
      </c>
      <c r="H60" s="610">
        <f t="shared" si="48"/>
        <v>3.8937026090263043</v>
      </c>
      <c r="I60" s="610">
        <f t="shared" si="48"/>
        <v>3.8335449037168474</v>
      </c>
      <c r="J60" s="610">
        <f t="shared" si="48"/>
        <v>3.7743166349544217</v>
      </c>
      <c r="K60" s="610">
        <f t="shared" si="48"/>
        <v>3.7160034429443751</v>
      </c>
      <c r="L60" s="610">
        <f t="shared" si="48"/>
        <v>3.6585911897508838</v>
      </c>
      <c r="M60" s="610">
        <f t="shared" si="48"/>
        <v>3.6020659558692327</v>
      </c>
      <c r="N60" s="610">
        <f t="shared" si="48"/>
        <v>3.5464140368510524</v>
      </c>
      <c r="O60" s="610">
        <f t="shared" si="48"/>
        <v>3.4916219399817039</v>
      </c>
      <c r="P60" s="610">
        <f t="shared" si="48"/>
        <v>3.4376763810089863</v>
      </c>
      <c r="Q60" s="611">
        <f t="shared" si="48"/>
        <v>3.3845642809223966</v>
      </c>
      <c r="R60" s="354">
        <f t="shared" si="48"/>
        <v>3.3322727627821451</v>
      </c>
      <c r="S60" s="354">
        <f t="shared" si="48"/>
        <v>3.2807891485971612</v>
      </c>
      <c r="T60" s="354">
        <f t="shared" si="48"/>
        <v>3.2301009562513352</v>
      </c>
      <c r="U60" s="354">
        <f t="shared" si="48"/>
        <v>3.1801958964772514</v>
      </c>
      <c r="V60" s="354">
        <f t="shared" si="48"/>
        <v>3.1310618698766777</v>
      </c>
    </row>
    <row r="61" spans="1:22" ht="14" x14ac:dyDescent="0.2">
      <c r="A61" s="541" t="s">
        <v>25</v>
      </c>
      <c r="B61" s="354">
        <f>B18*$X$17/1000</f>
        <v>2.25</v>
      </c>
      <c r="C61" s="354">
        <f>C18*$X$17/1000*AD4</f>
        <v>2.2152374999999997</v>
      </c>
      <c r="D61" s="354">
        <f t="shared" ref="D61:V61" si="49">D18*$X$17/1000*AE4</f>
        <v>2.1810120806249995</v>
      </c>
      <c r="E61" s="354">
        <f t="shared" si="49"/>
        <v>2.1473154439793425</v>
      </c>
      <c r="F61" s="354">
        <f t="shared" si="49"/>
        <v>2.1141394203698618</v>
      </c>
      <c r="G61" s="609">
        <f t="shared" si="49"/>
        <v>2.0814759663251468</v>
      </c>
      <c r="H61" s="610">
        <f t="shared" si="49"/>
        <v>2.0493171626454236</v>
      </c>
      <c r="I61" s="610">
        <f t="shared" si="49"/>
        <v>2.0176552124825511</v>
      </c>
      <c r="J61" s="610">
        <f t="shared" si="49"/>
        <v>1.9864824394496954</v>
      </c>
      <c r="K61" s="610">
        <f t="shared" si="49"/>
        <v>1.9557912857601971</v>
      </c>
      <c r="L61" s="610">
        <f t="shared" si="49"/>
        <v>1.9255743103952023</v>
      </c>
      <c r="M61" s="610">
        <f t="shared" si="49"/>
        <v>1.895824187299596</v>
      </c>
      <c r="N61" s="610">
        <f t="shared" si="49"/>
        <v>1.8665337036058169</v>
      </c>
      <c r="O61" s="610">
        <f t="shared" si="49"/>
        <v>1.8376957578851074</v>
      </c>
      <c r="P61" s="610">
        <f t="shared" si="49"/>
        <v>1.8093033584257825</v>
      </c>
      <c r="Q61" s="611">
        <f t="shared" si="49"/>
        <v>1.7813496215381037</v>
      </c>
      <c r="R61" s="354">
        <f t="shared" si="49"/>
        <v>1.7538277698853397</v>
      </c>
      <c r="S61" s="354">
        <f t="shared" si="49"/>
        <v>1.7267311308406113</v>
      </c>
      <c r="T61" s="354">
        <f t="shared" si="49"/>
        <v>1.7000531348691239</v>
      </c>
      <c r="U61" s="354">
        <f t="shared" si="49"/>
        <v>1.6737873139353956</v>
      </c>
      <c r="V61" s="354">
        <f t="shared" si="49"/>
        <v>1.6479272999350938</v>
      </c>
    </row>
    <row r="62" spans="1:22" ht="14" x14ac:dyDescent="0.2">
      <c r="A62" s="541" t="s">
        <v>26</v>
      </c>
      <c r="B62" s="354">
        <f>B19*$X$17/1000</f>
        <v>3.375</v>
      </c>
      <c r="C62" s="354">
        <f>C19*$X$17/1000*AD4</f>
        <v>3.3228562499999996</v>
      </c>
      <c r="D62" s="354">
        <f t="shared" ref="D62:V62" si="50">D19*$X$17/1000*AE4</f>
        <v>3.2715181209374986</v>
      </c>
      <c r="E62" s="354">
        <f t="shared" si="50"/>
        <v>3.2209731659690135</v>
      </c>
      <c r="F62" s="354">
        <f t="shared" si="50"/>
        <v>3.1712091305547916</v>
      </c>
      <c r="G62" s="609">
        <f t="shared" si="50"/>
        <v>3.1222139494877204</v>
      </c>
      <c r="H62" s="610">
        <f t="shared" si="50"/>
        <v>3.0739757439681346</v>
      </c>
      <c r="I62" s="610">
        <f t="shared" si="50"/>
        <v>3.0264828187238266</v>
      </c>
      <c r="J62" s="610">
        <f t="shared" si="50"/>
        <v>2.9797236591745428</v>
      </c>
      <c r="K62" s="610">
        <f t="shared" si="50"/>
        <v>2.933686928640296</v>
      </c>
      <c r="L62" s="610">
        <f t="shared" si="50"/>
        <v>2.8883614655928027</v>
      </c>
      <c r="M62" s="610">
        <f t="shared" si="50"/>
        <v>2.8437362809493938</v>
      </c>
      <c r="N62" s="610">
        <f t="shared" si="50"/>
        <v>2.7998005554087255</v>
      </c>
      <c r="O62" s="610">
        <f t="shared" si="50"/>
        <v>2.7565436368276606</v>
      </c>
      <c r="P62" s="610">
        <f t="shared" si="50"/>
        <v>2.713955037638673</v>
      </c>
      <c r="Q62" s="611">
        <f t="shared" si="50"/>
        <v>2.6720244323071558</v>
      </c>
      <c r="R62" s="354">
        <f t="shared" si="50"/>
        <v>2.6307416548280091</v>
      </c>
      <c r="S62" s="354">
        <f t="shared" si="50"/>
        <v>2.5900966962609164</v>
      </c>
      <c r="T62" s="354">
        <f t="shared" si="50"/>
        <v>2.5500797023036852</v>
      </c>
      <c r="U62" s="354">
        <f t="shared" si="50"/>
        <v>2.5106809709030928</v>
      </c>
      <c r="V62" s="354">
        <f t="shared" si="50"/>
        <v>2.4718909499026398</v>
      </c>
    </row>
    <row r="63" spans="1:22" ht="14" x14ac:dyDescent="0.2">
      <c r="A63" s="541" t="s">
        <v>27</v>
      </c>
      <c r="B63" s="354">
        <f>B20*$X$17/1000</f>
        <v>3.9375</v>
      </c>
      <c r="C63" s="354">
        <f>C20*$X$17/1000*AD4</f>
        <v>3.8766656249999993</v>
      </c>
      <c r="D63" s="354">
        <f t="shared" ref="D63:V63" si="51">D20*$X$17/1000*AE4</f>
        <v>3.8167711410937488</v>
      </c>
      <c r="E63" s="354">
        <f t="shared" si="51"/>
        <v>3.7578020269638492</v>
      </c>
      <c r="F63" s="354">
        <f t="shared" si="51"/>
        <v>3.6997439856472569</v>
      </c>
      <c r="G63" s="609">
        <f t="shared" si="51"/>
        <v>3.6425829410690072</v>
      </c>
      <c r="H63" s="610">
        <f t="shared" si="51"/>
        <v>3.5863050346294898</v>
      </c>
      <c r="I63" s="610">
        <f t="shared" si="51"/>
        <v>3.5308966218444642</v>
      </c>
      <c r="J63" s="610">
        <f t="shared" si="51"/>
        <v>3.476344269036967</v>
      </c>
      <c r="K63" s="610">
        <f t="shared" si="51"/>
        <v>3.4226347500803453</v>
      </c>
      <c r="L63" s="610">
        <f t="shared" si="51"/>
        <v>3.3697550431916037</v>
      </c>
      <c r="M63" s="610">
        <f t="shared" si="51"/>
        <v>3.3176923277742927</v>
      </c>
      <c r="N63" s="610">
        <f t="shared" si="51"/>
        <v>3.2664339813101795</v>
      </c>
      <c r="O63" s="610">
        <f t="shared" si="51"/>
        <v>3.2159675762989379</v>
      </c>
      <c r="P63" s="610">
        <f t="shared" si="51"/>
        <v>3.1662808772451188</v>
      </c>
      <c r="Q63" s="611">
        <f t="shared" si="51"/>
        <v>3.1173618376916816</v>
      </c>
      <c r="R63" s="354">
        <f t="shared" si="51"/>
        <v>3.0691985972993443</v>
      </c>
      <c r="S63" s="354">
        <f t="shared" si="51"/>
        <v>3.0217794789710695</v>
      </c>
      <c r="T63" s="354">
        <f t="shared" si="51"/>
        <v>2.9750929860209663</v>
      </c>
      <c r="U63" s="354">
        <f t="shared" si="51"/>
        <v>2.9291277993869418</v>
      </c>
      <c r="V63" s="354">
        <f t="shared" si="51"/>
        <v>2.8838727748864135</v>
      </c>
    </row>
    <row r="64" spans="1:22" ht="14" x14ac:dyDescent="0.2">
      <c r="A64" s="541" t="s">
        <v>28</v>
      </c>
      <c r="B64" s="354">
        <f>'WAN FAN Wi-Fi NDBS'!G130*0.15/0.85</f>
        <v>71.956300069204147</v>
      </c>
      <c r="C64" s="354">
        <f>'WAN FAN Wi-Fi NDBS'!H130*0.15/0.85</f>
        <v>74.939268392321097</v>
      </c>
      <c r="D64" s="354">
        <f>'WAN FAN Wi-Fi NDBS'!I130*0.15/0.85</f>
        <v>78.399241805499244</v>
      </c>
      <c r="E64" s="354">
        <f>'WAN FAN Wi-Fi NDBS'!J130*0.15/0.85</f>
        <v>77.18139010777702</v>
      </c>
      <c r="F64" s="354">
        <f>'WAN FAN Wi-Fi NDBS'!K130*0.15/0.85</f>
        <v>85.831821606956296</v>
      </c>
      <c r="G64" s="609">
        <f>('WAN FAN Wi-Fi NDBS'!J236+'WAN FAN Wi-Fi NDBS'!J298+'WAN FAN Wi-Fi NDBS'!J339)*0.15/0.85</f>
        <v>55.917443295301965</v>
      </c>
      <c r="H64" s="610">
        <f>('WAN FAN Wi-Fi NDBS'!K236+'WAN FAN Wi-Fi NDBS'!K298+'WAN FAN Wi-Fi NDBS'!K339)*0.15/0.85</f>
        <v>56.338673878408429</v>
      </c>
      <c r="I64" s="610">
        <f>('WAN FAN Wi-Fi NDBS'!L236+'WAN FAN Wi-Fi NDBS'!L298+'WAN FAN Wi-Fi NDBS'!L339)*0.15/0.85</f>
        <v>56.216298751487798</v>
      </c>
      <c r="J64" s="610">
        <f>('WAN FAN Wi-Fi NDBS'!M236+'WAN FAN Wi-Fi NDBS'!M298+'WAN FAN Wi-Fi NDBS'!M339)*0.15/0.85</f>
        <v>57.62414709749337</v>
      </c>
      <c r="K64" s="610">
        <f>('WAN FAN Wi-Fi NDBS'!N236+'WAN FAN Wi-Fi NDBS'!N298+'WAN FAN Wi-Fi NDBS'!N339)*0.15/0.85</f>
        <v>59.435189230337684</v>
      </c>
      <c r="L64" s="610">
        <f>('WAN FAN Wi-Fi NDBS'!O236+'WAN FAN Wi-Fi NDBS'!O298+'WAN FAN Wi-Fi NDBS'!O339)*0.15/0.85</f>
        <v>61.988023532517154</v>
      </c>
      <c r="M64" s="610">
        <f>('WAN FAN Wi-Fi NDBS'!P236+'WAN FAN Wi-Fi NDBS'!P298+'WAN FAN Wi-Fi NDBS'!P339)*0.15/0.85</f>
        <v>65.586205858282128</v>
      </c>
      <c r="N64" s="610">
        <f>('WAN FAN Wi-Fi NDBS'!Q236+'WAN FAN Wi-Fi NDBS'!Q298+'WAN FAN Wi-Fi NDBS'!Q339)*0.15/0.85</f>
        <v>77.604380900176722</v>
      </c>
      <c r="O64" s="610">
        <f>('WAN FAN Wi-Fi NDBS'!R236+'WAN FAN Wi-Fi NDBS'!R298+'WAN FAN Wi-Fi NDBS'!R339)*0.15/0.85</f>
        <v>93.180376139481282</v>
      </c>
      <c r="P64" s="610">
        <f>('WAN FAN Wi-Fi NDBS'!S236+'WAN FAN Wi-Fi NDBS'!S298+'WAN FAN Wi-Fi NDBS'!S339)*0.15/0.85</f>
        <v>112.00273683678944</v>
      </c>
      <c r="Q64" s="611">
        <f>('WAN FAN Wi-Fi NDBS'!T236+'WAN FAN Wi-Fi NDBS'!T298+'WAN FAN Wi-Fi NDBS'!T339)*0.15/0.85</f>
        <v>135.19254334882436</v>
      </c>
      <c r="R64" s="354">
        <f>'WAN FAN Wi-Fi NDBS'!W130*0.15/0.85</f>
        <v>24.498903948210824</v>
      </c>
      <c r="S64" s="354">
        <f>'WAN FAN Wi-Fi NDBS'!X130*0.15/0.85</f>
        <v>25.694691746860361</v>
      </c>
      <c r="T64" s="354">
        <f>'WAN FAN Wi-Fi NDBS'!Y130*0.15/0.85</f>
        <v>28.043477386603517</v>
      </c>
      <c r="U64" s="354">
        <f>'WAN FAN Wi-Fi NDBS'!Z130*0.15/0.85</f>
        <v>32.095217378129703</v>
      </c>
      <c r="V64" s="354">
        <f>'WAN FAN Wi-Fi NDBS'!AA130*0.15/0.85</f>
        <v>38.67678121436861</v>
      </c>
    </row>
    <row r="65" spans="1:22" ht="14" x14ac:dyDescent="0.2">
      <c r="A65" s="541" t="s">
        <v>29</v>
      </c>
      <c r="B65" s="354">
        <f>'NDBS DataCenters '!D20*0.15/0.85</f>
        <v>35.154522352941179</v>
      </c>
      <c r="C65" s="354">
        <f>'NDBS DataCenters '!E20*0.15/0.85</f>
        <v>43.879002352941171</v>
      </c>
      <c r="D65" s="354">
        <f>'NDBS DataCenters '!F20*0.15/0.85</f>
        <v>60.211742117647049</v>
      </c>
      <c r="E65" s="354">
        <f>'NDBS DataCenters '!G20*0.15/0.85</f>
        <v>68.474234201470566</v>
      </c>
      <c r="F65" s="354">
        <f>'NDBS DataCenters '!H20*0.15/0.85</f>
        <v>85.543692443993351</v>
      </c>
      <c r="G65" s="609">
        <f>'NDBS DataCenters '!I19*0.15/0.85</f>
        <v>35.889935741663336</v>
      </c>
      <c r="H65" s="610">
        <f>'NDBS DataCenters '!J19*0.15/0.85</f>
        <v>42.314234239421083</v>
      </c>
      <c r="I65" s="610">
        <f>'NDBS DataCenters '!K19*0.15/0.85</f>
        <v>53.315935141670558</v>
      </c>
      <c r="J65" s="610">
        <f>'NDBS DataCenters '!L19*0.15/0.85</f>
        <v>69.097451943605037</v>
      </c>
      <c r="K65" s="610">
        <f>'NDBS DataCenters '!M19*0.15/0.85</f>
        <v>89.550297718912148</v>
      </c>
      <c r="L65" s="610">
        <f>'NDBS DataCenters '!N19*0.15/0.85</f>
        <v>116.05718584371012</v>
      </c>
      <c r="M65" s="610">
        <f>'NDBS DataCenters '!O19*0.15/0.85</f>
        <v>150.41011285344831</v>
      </c>
      <c r="N65" s="610">
        <f>'NDBS DataCenters '!P19*0.15/0.85</f>
        <v>205.76103438351726</v>
      </c>
      <c r="O65" s="610">
        <f>'NDBS DataCenters '!Q19*0.15/0.85</f>
        <v>281.48109503665154</v>
      </c>
      <c r="P65" s="610">
        <f>'NDBS DataCenters '!R19*0.15/0.85</f>
        <v>385.06613801013924</v>
      </c>
      <c r="Q65" s="611">
        <f>'NDBS DataCenters '!S19*0.15/0.85</f>
        <v>526.77047679787029</v>
      </c>
      <c r="R65" s="354">
        <f>'NDBS DataCenters '!T20*0.15/0.85</f>
        <v>0</v>
      </c>
      <c r="S65" s="354">
        <f>'NDBS DataCenters '!U20*0.15/0.85</f>
        <v>0</v>
      </c>
      <c r="T65" s="354">
        <f>'NDBS DataCenters '!V20*0.15/0.85</f>
        <v>0</v>
      </c>
      <c r="U65" s="354">
        <f>'NDBS DataCenters '!W20*0.15/0.85</f>
        <v>0</v>
      </c>
      <c r="V65" s="354">
        <f>'NDBS DataCenters '!X20*0.15/0.85</f>
        <v>0</v>
      </c>
    </row>
    <row r="66" spans="1:22" s="56" customFormat="1" ht="17" thickBot="1" x14ac:dyDescent="0.25">
      <c r="A66" s="356" t="s">
        <v>30</v>
      </c>
      <c r="B66" s="357">
        <f>SUM(B52:B65)</f>
        <v>387.07132242214527</v>
      </c>
      <c r="C66" s="357">
        <f t="shared" ref="C66:U66" si="52">SUM(C52:C65)</f>
        <v>403.88678137026216</v>
      </c>
      <c r="D66" s="357">
        <f t="shared" si="52"/>
        <v>434.35736613149004</v>
      </c>
      <c r="E66" s="357">
        <f t="shared" si="52"/>
        <v>450.67662812979739</v>
      </c>
      <c r="F66" s="357">
        <f t="shared" si="52"/>
        <v>487.24346017366616</v>
      </c>
      <c r="G66" s="612">
        <f>SUM(G52:G65)</f>
        <v>421.83834483645416</v>
      </c>
      <c r="H66" s="613">
        <f>SUM(H52:H65)</f>
        <v>435.63422289915451</v>
      </c>
      <c r="I66" s="613">
        <f t="shared" si="52"/>
        <v>455.31619298551425</v>
      </c>
      <c r="J66" s="613">
        <f t="shared" si="52"/>
        <v>483.27450261438389</v>
      </c>
      <c r="K66" s="613">
        <f t="shared" si="52"/>
        <v>518.40890916371768</v>
      </c>
      <c r="L66" s="613">
        <f t="shared" si="52"/>
        <v>557.91740717844846</v>
      </c>
      <c r="M66" s="613">
        <f t="shared" si="52"/>
        <v>579.58485528518008</v>
      </c>
      <c r="N66" s="613">
        <f t="shared" si="52"/>
        <v>635.17621881251603</v>
      </c>
      <c r="O66" s="613">
        <f t="shared" si="52"/>
        <v>718.63424159270596</v>
      </c>
      <c r="P66" s="613">
        <f t="shared" si="52"/>
        <v>836.70142410850099</v>
      </c>
      <c r="Q66" s="614">
        <f>SUM(Q52:Q65)</f>
        <v>1000.4151799941005</v>
      </c>
      <c r="R66" s="357">
        <f t="shared" si="52"/>
        <v>364.6800130483831</v>
      </c>
      <c r="S66" s="357">
        <f t="shared" si="52"/>
        <v>370.33796070662436</v>
      </c>
      <c r="T66" s="357">
        <f t="shared" si="52"/>
        <v>379.7699518100714</v>
      </c>
      <c r="U66" s="357">
        <f t="shared" si="52"/>
        <v>393.46959128478585</v>
      </c>
      <c r="V66" s="357">
        <f>SUM(V52:V65)</f>
        <v>412.25693570587845</v>
      </c>
    </row>
    <row r="67" spans="1:22" x14ac:dyDescent="0.15">
      <c r="A67" s="23"/>
      <c r="B67" s="538">
        <f>B65/B66</f>
        <v>9.0821820983682119E-2</v>
      </c>
      <c r="C67" s="538">
        <f t="shared" ref="C67:Q67" si="53">C65/C66</f>
        <v>0.10864183820048126</v>
      </c>
      <c r="D67" s="538">
        <f t="shared" si="53"/>
        <v>0.13862258778735562</v>
      </c>
      <c r="E67" s="538">
        <f t="shared" si="53"/>
        <v>0.15193651041018619</v>
      </c>
      <c r="F67" s="538">
        <f t="shared" si="53"/>
        <v>0.17556663031147379</v>
      </c>
      <c r="G67" s="538">
        <f>G65/G66</f>
        <v>8.5079832549546416E-2</v>
      </c>
      <c r="H67" s="538">
        <f>H65/H66</f>
        <v>9.7132484123536034E-2</v>
      </c>
      <c r="I67" s="538">
        <f t="shared" si="53"/>
        <v>0.11709650559993764</v>
      </c>
      <c r="J67" s="538">
        <f t="shared" si="53"/>
        <v>0.142977648458188</v>
      </c>
      <c r="K67" s="538">
        <f t="shared" si="53"/>
        <v>0.17274066115756403</v>
      </c>
      <c r="L67" s="538">
        <f t="shared" si="53"/>
        <v>0.20801857828857725</v>
      </c>
      <c r="M67" s="538">
        <f t="shared" si="53"/>
        <v>0.2595135319390639</v>
      </c>
      <c r="N67" s="538">
        <f t="shared" si="53"/>
        <v>0.32394322754745863</v>
      </c>
      <c r="O67" s="538">
        <f t="shared" si="53"/>
        <v>0.39168895488865962</v>
      </c>
      <c r="P67" s="538">
        <f t="shared" si="53"/>
        <v>0.46021929318505017</v>
      </c>
      <c r="Q67" s="538">
        <f t="shared" si="53"/>
        <v>0.52655186299849699</v>
      </c>
    </row>
    <row r="68" spans="1:22" ht="15" x14ac:dyDescent="0.2">
      <c r="A68" s="24" t="s">
        <v>32</v>
      </c>
      <c r="B68" s="24"/>
      <c r="C68" s="24"/>
    </row>
    <row r="69" spans="1:22" x14ac:dyDescent="0.15">
      <c r="B69" s="352">
        <v>2010</v>
      </c>
      <c r="C69" s="352">
        <v>2011</v>
      </c>
      <c r="D69" s="352">
        <v>2012</v>
      </c>
      <c r="E69" s="352">
        <v>2013</v>
      </c>
      <c r="F69" s="352">
        <v>2014</v>
      </c>
      <c r="G69" s="352">
        <v>2015</v>
      </c>
      <c r="H69" s="352">
        <v>2016</v>
      </c>
      <c r="I69" s="352">
        <v>2017</v>
      </c>
      <c r="J69" s="352">
        <v>2018</v>
      </c>
      <c r="K69" s="352">
        <v>2019</v>
      </c>
      <c r="L69" s="352">
        <v>2020</v>
      </c>
      <c r="M69" s="345">
        <v>2021</v>
      </c>
      <c r="N69" s="345">
        <v>2022</v>
      </c>
      <c r="O69" s="345">
        <v>2023</v>
      </c>
      <c r="P69" s="345">
        <v>2024</v>
      </c>
      <c r="Q69" s="345">
        <v>2025</v>
      </c>
      <c r="R69" s="345">
        <v>2026</v>
      </c>
      <c r="S69" s="345">
        <v>2027</v>
      </c>
      <c r="T69" s="345">
        <v>2028</v>
      </c>
      <c r="U69" s="345">
        <v>2029</v>
      </c>
      <c r="V69" s="345">
        <v>2030</v>
      </c>
    </row>
    <row r="70" spans="1:22" x14ac:dyDescent="0.15">
      <c r="A70" s="655" t="s">
        <v>18</v>
      </c>
      <c r="B70" s="358">
        <f>B3*$Y$3/1000</f>
        <v>31.39</v>
      </c>
      <c r="C70" s="358">
        <f t="shared" ref="C70:V70" si="54">C3*$Y$3/1000*AD5</f>
        <v>31.501799999999999</v>
      </c>
      <c r="D70" s="358">
        <f t="shared" si="54"/>
        <v>31.818946500000003</v>
      </c>
      <c r="E70" s="358">
        <f t="shared" si="54"/>
        <v>30.870741894299993</v>
      </c>
      <c r="F70" s="358">
        <f t="shared" si="54"/>
        <v>29.950793785849857</v>
      </c>
      <c r="G70" s="358">
        <f t="shared" si="54"/>
        <v>29.058260131031528</v>
      </c>
      <c r="H70" s="358">
        <f t="shared" si="54"/>
        <v>27.04161687793794</v>
      </c>
      <c r="I70" s="358">
        <f t="shared" si="54"/>
        <v>25.164928666609047</v>
      </c>
      <c r="J70" s="358">
        <f t="shared" si="54"/>
        <v>23.418482617146374</v>
      </c>
      <c r="K70" s="358">
        <f t="shared" si="54"/>
        <v>21.793239923516417</v>
      </c>
      <c r="L70" s="358">
        <f t="shared" si="54"/>
        <v>20.280789072824373</v>
      </c>
      <c r="M70" s="358">
        <f t="shared" si="54"/>
        <v>18.873302311170363</v>
      </c>
      <c r="N70" s="358">
        <f t="shared" si="54"/>
        <v>17.563495130775141</v>
      </c>
      <c r="O70" s="358">
        <f t="shared" si="54"/>
        <v>16.344588568699347</v>
      </c>
      <c r="P70" s="358">
        <f t="shared" si="54"/>
        <v>15.210274122031615</v>
      </c>
      <c r="Q70" s="358">
        <f t="shared" si="54"/>
        <v>14.154681097962619</v>
      </c>
      <c r="R70" s="358">
        <f t="shared" si="54"/>
        <v>13.172346229764011</v>
      </c>
      <c r="S70" s="358">
        <f t="shared" si="54"/>
        <v>12.258185401418388</v>
      </c>
      <c r="T70" s="358">
        <f t="shared" si="54"/>
        <v>11.407467334559952</v>
      </c>
      <c r="U70" s="358">
        <f t="shared" si="54"/>
        <v>10.615789101541489</v>
      </c>
      <c r="V70" s="358">
        <f t="shared" si="54"/>
        <v>9.8790533378945113</v>
      </c>
    </row>
    <row r="71" spans="1:22" x14ac:dyDescent="0.15">
      <c r="A71" s="655" t="s">
        <v>19</v>
      </c>
      <c r="B71" s="358">
        <f>B4*$Y$4/1000</f>
        <v>54.107999999999997</v>
      </c>
      <c r="C71" s="358">
        <f t="shared" ref="C71:V71" si="55">C4*$Y$4/1000*AD5</f>
        <v>54.558900000000001</v>
      </c>
      <c r="D71" s="358">
        <f t="shared" si="55"/>
        <v>55.322724599999994</v>
      </c>
      <c r="E71" s="358">
        <f t="shared" si="55"/>
        <v>53.674107406920001</v>
      </c>
      <c r="F71" s="358">
        <f t="shared" si="55"/>
        <v>52.074619006193785</v>
      </c>
      <c r="G71" s="358">
        <f t="shared" si="55"/>
        <v>50.522795359809209</v>
      </c>
      <c r="H71" s="358">
        <f t="shared" si="55"/>
        <v>47.016513361838449</v>
      </c>
      <c r="I71" s="358">
        <f t="shared" si="55"/>
        <v>43.753567334526863</v>
      </c>
      <c r="J71" s="358">
        <f t="shared" si="55"/>
        <v>40.717069761510686</v>
      </c>
      <c r="K71" s="358">
        <f t="shared" si="55"/>
        <v>37.891305120061851</v>
      </c>
      <c r="L71" s="358">
        <f t="shared" si="55"/>
        <v>35.261648544729553</v>
      </c>
      <c r="M71" s="358">
        <f t="shared" si="55"/>
        <v>32.814490135725322</v>
      </c>
      <c r="N71" s="358">
        <f t="shared" si="55"/>
        <v>30.537164520305986</v>
      </c>
      <c r="O71" s="358">
        <f t="shared" si="55"/>
        <v>28.417885302596751</v>
      </c>
      <c r="P71" s="358">
        <f t="shared" si="55"/>
        <v>26.445684062596527</v>
      </c>
      <c r="Q71" s="358">
        <f t="shared" si="55"/>
        <v>24.61035358865233</v>
      </c>
      <c r="R71" s="358">
        <f t="shared" si="55"/>
        <v>22.90239504959986</v>
      </c>
      <c r="S71" s="358">
        <f t="shared" si="55"/>
        <v>21.31296883315763</v>
      </c>
      <c r="T71" s="358">
        <f t="shared" si="55"/>
        <v>19.833848796136493</v>
      </c>
      <c r="U71" s="358">
        <f t="shared" si="55"/>
        <v>18.457379689684622</v>
      </c>
      <c r="V71" s="358">
        <f t="shared" si="55"/>
        <v>17.176437539220515</v>
      </c>
    </row>
    <row r="72" spans="1:22" x14ac:dyDescent="0.15">
      <c r="A72" s="655" t="s">
        <v>20</v>
      </c>
      <c r="B72" s="358">
        <f>B5*$Y$5/1000</f>
        <v>33.567</v>
      </c>
      <c r="C72" s="358">
        <f t="shared" ref="C72:V72" si="56">C5*$Y$5/1000*AD5</f>
        <v>35.545949999999998</v>
      </c>
      <c r="D72" s="358">
        <f t="shared" si="56"/>
        <v>40.264468199999996</v>
      </c>
      <c r="E72" s="358">
        <f t="shared" si="56"/>
        <v>46.019340971999995</v>
      </c>
      <c r="F72" s="358">
        <f t="shared" si="56"/>
        <v>53.259285178440003</v>
      </c>
      <c r="G72" s="358">
        <f t="shared" si="56"/>
        <v>60.985089919987196</v>
      </c>
      <c r="H72" s="358">
        <f t="shared" si="56"/>
        <v>69.651642932835372</v>
      </c>
      <c r="I72" s="358">
        <f t="shared" si="56"/>
        <v>79.54979437774378</v>
      </c>
      <c r="J72" s="358">
        <f t="shared" si="56"/>
        <v>90.854565938143452</v>
      </c>
      <c r="K72" s="358">
        <f t="shared" si="56"/>
        <v>103.7658515195093</v>
      </c>
      <c r="L72" s="358">
        <f t="shared" si="56"/>
        <v>118.51195182528953</v>
      </c>
      <c r="M72" s="358">
        <f t="shared" si="56"/>
        <v>98.554539137910766</v>
      </c>
      <c r="N72" s="358">
        <f t="shared" si="56"/>
        <v>81.957954747086575</v>
      </c>
      <c r="O72" s="358">
        <f t="shared" si="56"/>
        <v>68.156235167677167</v>
      </c>
      <c r="P72" s="358">
        <f t="shared" si="56"/>
        <v>56.678725165440333</v>
      </c>
      <c r="Q72" s="358">
        <f t="shared" si="56"/>
        <v>47.134027847580164</v>
      </c>
      <c r="R72" s="358">
        <f t="shared" si="56"/>
        <v>39.196657558047654</v>
      </c>
      <c r="S72" s="358">
        <f t="shared" si="56"/>
        <v>32.595940425272417</v>
      </c>
      <c r="T72" s="358">
        <f t="shared" si="56"/>
        <v>27.106784057656544</v>
      </c>
      <c r="U72" s="358">
        <f t="shared" si="56"/>
        <v>22.542001622347176</v>
      </c>
      <c r="V72" s="358">
        <f t="shared" si="56"/>
        <v>18.745928549143908</v>
      </c>
    </row>
    <row r="73" spans="1:22" x14ac:dyDescent="0.15">
      <c r="A73" s="655" t="s">
        <v>21</v>
      </c>
      <c r="B73" s="358">
        <f>B6*$Y$6/1000</f>
        <v>21</v>
      </c>
      <c r="C73" s="358">
        <f t="shared" ref="C73:V73" si="57">C6*$Y$6/1000*AD5</f>
        <v>27.324000000000002</v>
      </c>
      <c r="D73" s="358">
        <f t="shared" si="57"/>
        <v>41.164200000000001</v>
      </c>
      <c r="E73" s="358">
        <f t="shared" si="57"/>
        <v>52.396145999999995</v>
      </c>
      <c r="F73" s="358">
        <f t="shared" si="57"/>
        <v>67.722018704999996</v>
      </c>
      <c r="G73" s="358">
        <f t="shared" si="57"/>
        <v>79.312570161659991</v>
      </c>
      <c r="H73" s="358">
        <f t="shared" si="57"/>
        <v>87.941777795248612</v>
      </c>
      <c r="I73" s="358">
        <f t="shared" si="57"/>
        <v>97.50984321937166</v>
      </c>
      <c r="J73" s="358">
        <f t="shared" si="57"/>
        <v>108.11891416163931</v>
      </c>
      <c r="K73" s="358">
        <f t="shared" si="57"/>
        <v>119.88225202242567</v>
      </c>
      <c r="L73" s="358">
        <f t="shared" si="57"/>
        <v>132.92544104246556</v>
      </c>
      <c r="M73" s="358">
        <f t="shared" si="57"/>
        <v>147.38772902788585</v>
      </c>
      <c r="N73" s="358">
        <f t="shared" si="57"/>
        <v>163.42351394611984</v>
      </c>
      <c r="O73" s="358">
        <f t="shared" si="57"/>
        <v>181.20399226345771</v>
      </c>
      <c r="P73" s="358">
        <f t="shared" si="57"/>
        <v>200.91898662172193</v>
      </c>
      <c r="Q73" s="358">
        <f t="shared" si="57"/>
        <v>222.77897236616528</v>
      </c>
      <c r="R73" s="358">
        <f t="shared" si="57"/>
        <v>247.01732455960405</v>
      </c>
      <c r="S73" s="358">
        <f t="shared" si="57"/>
        <v>273.89280947168902</v>
      </c>
      <c r="T73" s="358">
        <f t="shared" si="57"/>
        <v>303.6923471422088</v>
      </c>
      <c r="U73" s="358">
        <f t="shared" si="57"/>
        <v>336.73407451128116</v>
      </c>
      <c r="V73" s="358">
        <f t="shared" si="57"/>
        <v>373.37074181810857</v>
      </c>
    </row>
    <row r="74" spans="1:22" x14ac:dyDescent="0.15">
      <c r="A74" s="655" t="s">
        <v>22</v>
      </c>
      <c r="B74" s="358">
        <f>B7*$Y$7/1000</f>
        <v>14.35</v>
      </c>
      <c r="C74" s="358">
        <f t="shared" ref="C74:V74" si="58">C7*$Y$7/1000*AD5</f>
        <v>28.413</v>
      </c>
      <c r="D74" s="358">
        <f t="shared" si="58"/>
        <v>42.193304999999995</v>
      </c>
      <c r="E74" s="358">
        <f t="shared" si="58"/>
        <v>57.644493290999996</v>
      </c>
      <c r="F74" s="358">
        <f t="shared" si="58"/>
        <v>70.576910046719988</v>
      </c>
      <c r="G74" s="358">
        <f t="shared" si="58"/>
        <v>87.611860327137293</v>
      </c>
      <c r="H74" s="358">
        <f t="shared" si="58"/>
        <v>99.746102982445791</v>
      </c>
      <c r="I74" s="358">
        <f t="shared" si="58"/>
        <v>113.56093824551452</v>
      </c>
      <c r="J74" s="358">
        <f t="shared" si="58"/>
        <v>129.28912819251826</v>
      </c>
      <c r="K74" s="358">
        <f t="shared" si="58"/>
        <v>147.19567244718203</v>
      </c>
      <c r="L74" s="358">
        <f t="shared" si="58"/>
        <v>145.61184475094257</v>
      </c>
      <c r="M74" s="358">
        <f t="shared" si="58"/>
        <v>144.15572630343314</v>
      </c>
      <c r="N74" s="358">
        <f t="shared" si="58"/>
        <v>142.71416904039882</v>
      </c>
      <c r="O74" s="358">
        <f t="shared" si="58"/>
        <v>141.28702734999482</v>
      </c>
      <c r="P74" s="358">
        <f t="shared" si="58"/>
        <v>139.87415707649487</v>
      </c>
      <c r="Q74" s="358">
        <f t="shared" si="58"/>
        <v>138.47541550572993</v>
      </c>
      <c r="R74" s="358">
        <f t="shared" si="58"/>
        <v>137.0906613506726</v>
      </c>
      <c r="S74" s="358">
        <f t="shared" si="58"/>
        <v>135.71975473716589</v>
      </c>
      <c r="T74" s="358">
        <f t="shared" si="58"/>
        <v>134.36255718979422</v>
      </c>
      <c r="U74" s="358">
        <f t="shared" si="58"/>
        <v>133.01893161789627</v>
      </c>
      <c r="V74" s="358">
        <f t="shared" si="58"/>
        <v>131.68874230171733</v>
      </c>
    </row>
    <row r="75" spans="1:22" x14ac:dyDescent="0.15">
      <c r="A75" s="656" t="s">
        <v>37</v>
      </c>
      <c r="B75" s="358">
        <f>B8*$Y$8/1000</f>
        <v>18.75</v>
      </c>
      <c r="C75" s="358">
        <f t="shared" ref="C75:V75" si="59">C8*$Y$8/1000*AD5</f>
        <v>18.710999999999999</v>
      </c>
      <c r="D75" s="358">
        <f t="shared" si="59"/>
        <v>15.436574999999999</v>
      </c>
      <c r="E75" s="358">
        <f t="shared" si="59"/>
        <v>13.186363409999998</v>
      </c>
      <c r="F75" s="358">
        <f t="shared" si="59"/>
        <v>8.5445015089499989</v>
      </c>
      <c r="G75" s="358">
        <f t="shared" si="59"/>
        <v>10.898345971853999</v>
      </c>
      <c r="H75" s="358">
        <f t="shared" si="59"/>
        <v>10.249894386528686</v>
      </c>
      <c r="I75" s="358">
        <f t="shared" si="59"/>
        <v>9.6400256705302265</v>
      </c>
      <c r="J75" s="358">
        <f t="shared" si="59"/>
        <v>9.066444143133678</v>
      </c>
      <c r="K75" s="358">
        <f t="shared" si="59"/>
        <v>8.5269907166172239</v>
      </c>
      <c r="L75" s="358">
        <f t="shared" si="59"/>
        <v>8.0196347689784968</v>
      </c>
      <c r="M75" s="358">
        <f t="shared" si="59"/>
        <v>7.5424665002242763</v>
      </c>
      <c r="N75" s="358">
        <f t="shared" si="59"/>
        <v>7.0936897434609323</v>
      </c>
      <c r="O75" s="358">
        <f t="shared" si="59"/>
        <v>6.6716152037250067</v>
      </c>
      <c r="P75" s="358">
        <f t="shared" si="59"/>
        <v>6.2746540991033681</v>
      </c>
      <c r="Q75" s="358">
        <f t="shared" si="59"/>
        <v>5.9013121802067179</v>
      </c>
      <c r="R75" s="358">
        <f t="shared" si="59"/>
        <v>5.5501841054844183</v>
      </c>
      <c r="S75" s="358">
        <f t="shared" si="59"/>
        <v>5.2199481512080936</v>
      </c>
      <c r="T75" s="358">
        <f t="shared" si="59"/>
        <v>4.909361236211212</v>
      </c>
      <c r="U75" s="358">
        <f t="shared" si="59"/>
        <v>4.617254242656645</v>
      </c>
      <c r="V75" s="358">
        <f t="shared" si="59"/>
        <v>4.3425276152185743</v>
      </c>
    </row>
    <row r="76" spans="1:22" x14ac:dyDescent="0.15">
      <c r="A76" s="656" t="s">
        <v>60</v>
      </c>
      <c r="B76" s="358">
        <f>B9*$Y$9/1000</f>
        <v>0</v>
      </c>
      <c r="C76" s="358">
        <f t="shared" ref="C76:V76" si="60">C9*$Y$9/1000*AD5</f>
        <v>0</v>
      </c>
      <c r="D76" s="358">
        <f t="shared" si="60"/>
        <v>1.9601999999999999</v>
      </c>
      <c r="E76" s="358">
        <f t="shared" si="60"/>
        <v>9.7029899999999998</v>
      </c>
      <c r="F76" s="358">
        <f t="shared" si="60"/>
        <v>19.211920199999998</v>
      </c>
      <c r="G76" s="358">
        <f t="shared" si="60"/>
        <v>27.261714763799933</v>
      </c>
      <c r="H76" s="358">
        <f t="shared" si="60"/>
        <v>35.462418960770933</v>
      </c>
      <c r="I76" s="358">
        <f t="shared" si="60"/>
        <v>43.496382902326133</v>
      </c>
      <c r="J76" s="358">
        <f t="shared" si="60"/>
        <v>51.36612132315414</v>
      </c>
      <c r="K76" s="358">
        <f t="shared" si="60"/>
        <v>59.074115337275359</v>
      </c>
      <c r="L76" s="358">
        <f t="shared" si="60"/>
        <v>66.62281285898186</v>
      </c>
      <c r="M76" s="358">
        <f t="shared" si="60"/>
        <v>76.509638287254759</v>
      </c>
      <c r="N76" s="358">
        <f t="shared" si="60"/>
        <v>87.863668609083348</v>
      </c>
      <c r="O76" s="358">
        <f t="shared" si="60"/>
        <v>100.9026370306713</v>
      </c>
      <c r="P76" s="358">
        <f t="shared" si="60"/>
        <v>115.87658836602292</v>
      </c>
      <c r="Q76" s="358">
        <f t="shared" si="60"/>
        <v>133.07267407954072</v>
      </c>
      <c r="R76" s="358">
        <f t="shared" si="60"/>
        <v>152.82065891294457</v>
      </c>
      <c r="S76" s="358">
        <f t="shared" si="60"/>
        <v>175.49924469562549</v>
      </c>
      <c r="T76" s="358">
        <f t="shared" si="60"/>
        <v>201.54333260845627</v>
      </c>
      <c r="U76" s="358">
        <f t="shared" si="60"/>
        <v>231.4523631675512</v>
      </c>
      <c r="V76" s="358">
        <f t="shared" si="60"/>
        <v>265.79989386161577</v>
      </c>
    </row>
    <row r="77" spans="1:22" x14ac:dyDescent="0.15">
      <c r="A77" s="655" t="s">
        <v>23</v>
      </c>
      <c r="B77" s="358">
        <f>B16*$Y$16/1000</f>
        <v>425</v>
      </c>
      <c r="C77" s="358">
        <f>C16*$Y$16/1000*AD5</f>
        <v>427.06124999999992</v>
      </c>
      <c r="D77" s="358">
        <f t="shared" ref="D77:V77" si="61">D16*$Y$16/1000*AE5</f>
        <v>429.13249706249985</v>
      </c>
      <c r="E77" s="358">
        <f t="shared" si="61"/>
        <v>431.21378967325285</v>
      </c>
      <c r="F77" s="358">
        <f t="shared" si="61"/>
        <v>433.30517655316811</v>
      </c>
      <c r="G77" s="358">
        <f t="shared" si="61"/>
        <v>435.40670665945089</v>
      </c>
      <c r="H77" s="358">
        <f t="shared" si="61"/>
        <v>437.51842918674919</v>
      </c>
      <c r="I77" s="358">
        <f t="shared" si="61"/>
        <v>439.64039356830494</v>
      </c>
      <c r="J77" s="358">
        <f t="shared" si="61"/>
        <v>441.77264947711103</v>
      </c>
      <c r="K77" s="358">
        <f t="shared" si="61"/>
        <v>443.91524682707501</v>
      </c>
      <c r="L77" s="358">
        <f t="shared" si="61"/>
        <v>446.06823577418635</v>
      </c>
      <c r="M77" s="358">
        <f t="shared" si="61"/>
        <v>448.2316667176911</v>
      </c>
      <c r="N77" s="358">
        <f t="shared" si="61"/>
        <v>450.4055903012719</v>
      </c>
      <c r="O77" s="358">
        <f t="shared" si="61"/>
        <v>452.59005741423306</v>
      </c>
      <c r="P77" s="358">
        <f t="shared" si="61"/>
        <v>454.78511919269204</v>
      </c>
      <c r="Q77" s="358">
        <f t="shared" si="61"/>
        <v>456.99082702077646</v>
      </c>
      <c r="R77" s="358">
        <f t="shared" si="61"/>
        <v>459.20723253182717</v>
      </c>
      <c r="S77" s="358">
        <f t="shared" si="61"/>
        <v>461.43438760960652</v>
      </c>
      <c r="T77" s="358">
        <f t="shared" si="61"/>
        <v>463.672344389513</v>
      </c>
      <c r="U77" s="358">
        <f t="shared" si="61"/>
        <v>465.92115525980222</v>
      </c>
      <c r="V77" s="358">
        <f t="shared" si="61"/>
        <v>468.18087286281218</v>
      </c>
    </row>
    <row r="78" spans="1:22" x14ac:dyDescent="0.15">
      <c r="A78" s="655" t="s">
        <v>24</v>
      </c>
      <c r="B78" s="358">
        <f>B17*$Y$17/1000</f>
        <v>4.75</v>
      </c>
      <c r="C78" s="358">
        <f>C17*$Y$17/1000*AD5</f>
        <v>4.7730375</v>
      </c>
      <c r="D78" s="358">
        <f t="shared" ref="D78:V78" si="62">D17*$Y$17/1000*AE5</f>
        <v>4.7961867318749984</v>
      </c>
      <c r="E78" s="358">
        <f t="shared" si="62"/>
        <v>4.8194482375245906</v>
      </c>
      <c r="F78" s="358">
        <f t="shared" si="62"/>
        <v>4.8428225614765843</v>
      </c>
      <c r="G78" s="358">
        <f t="shared" si="62"/>
        <v>4.8663102508997458</v>
      </c>
      <c r="H78" s="358">
        <f t="shared" si="62"/>
        <v>4.8899118556166092</v>
      </c>
      <c r="I78" s="358">
        <f t="shared" si="62"/>
        <v>4.9136279281163482</v>
      </c>
      <c r="J78" s="358">
        <f t="shared" si="62"/>
        <v>4.9374590235677118</v>
      </c>
      <c r="K78" s="358">
        <f t="shared" si="62"/>
        <v>4.9614056998320146</v>
      </c>
      <c r="L78" s="358">
        <f t="shared" si="62"/>
        <v>4.9854685174762006</v>
      </c>
      <c r="M78" s="358">
        <f t="shared" si="62"/>
        <v>5.0096480397859597</v>
      </c>
      <c r="N78" s="358">
        <f t="shared" si="62"/>
        <v>5.0339448327789214</v>
      </c>
      <c r="O78" s="358">
        <f t="shared" si="62"/>
        <v>5.0583594652178991</v>
      </c>
      <c r="P78" s="358">
        <f t="shared" si="62"/>
        <v>5.0828925086242043</v>
      </c>
      <c r="Q78" s="358">
        <f t="shared" si="62"/>
        <v>5.1075445372910311</v>
      </c>
      <c r="R78" s="358">
        <f t="shared" si="62"/>
        <v>5.1323161282968925</v>
      </c>
      <c r="S78" s="358">
        <f t="shared" si="62"/>
        <v>5.1572078615191321</v>
      </c>
      <c r="T78" s="358">
        <f t="shared" si="62"/>
        <v>5.1822203196474996</v>
      </c>
      <c r="U78" s="358">
        <f t="shared" si="62"/>
        <v>5.20735408819779</v>
      </c>
      <c r="V78" s="358">
        <f t="shared" si="62"/>
        <v>5.232609755525548</v>
      </c>
    </row>
    <row r="79" spans="1:22" x14ac:dyDescent="0.15">
      <c r="A79" s="655" t="s">
        <v>25</v>
      </c>
      <c r="B79" s="358">
        <f>B18*$Y17/1000</f>
        <v>2.5</v>
      </c>
      <c r="C79" s="358">
        <f>C18*$Y$17/1000*AD5</f>
        <v>2.5121250000000002</v>
      </c>
      <c r="D79" s="358">
        <f t="shared" ref="D79:V79" si="63">D18*$Y$17/1000*AE5</f>
        <v>2.5243088062499996</v>
      </c>
      <c r="E79" s="358">
        <f t="shared" si="63"/>
        <v>2.5365517039603107</v>
      </c>
      <c r="F79" s="358">
        <f t="shared" si="63"/>
        <v>2.5488539797245187</v>
      </c>
      <c r="G79" s="358">
        <f t="shared" si="63"/>
        <v>2.5612159215261818</v>
      </c>
      <c r="H79" s="358">
        <f t="shared" si="63"/>
        <v>2.5736378187455839</v>
      </c>
      <c r="I79" s="358">
        <f t="shared" si="63"/>
        <v>2.5861199621664994</v>
      </c>
      <c r="J79" s="358">
        <f t="shared" si="63"/>
        <v>2.5986626439830061</v>
      </c>
      <c r="K79" s="358">
        <f t="shared" si="63"/>
        <v>2.6112661578063237</v>
      </c>
      <c r="L79" s="358">
        <f t="shared" si="63"/>
        <v>2.623930798671684</v>
      </c>
      <c r="M79" s="358">
        <f t="shared" si="63"/>
        <v>2.6366568630452418</v>
      </c>
      <c r="N79" s="358">
        <f t="shared" si="63"/>
        <v>2.6494446488310111</v>
      </c>
      <c r="O79" s="358">
        <f t="shared" si="63"/>
        <v>2.6622944553778409</v>
      </c>
      <c r="P79" s="358">
        <f t="shared" si="63"/>
        <v>2.6752065834864238</v>
      </c>
      <c r="Q79" s="358">
        <f t="shared" si="63"/>
        <v>2.6881813354163322</v>
      </c>
      <c r="R79" s="358">
        <f t="shared" si="63"/>
        <v>2.701219014893101</v>
      </c>
      <c r="S79" s="358">
        <f t="shared" si="63"/>
        <v>2.7143199271153327</v>
      </c>
      <c r="T79" s="358">
        <f t="shared" si="63"/>
        <v>2.7274843787618419</v>
      </c>
      <c r="U79" s="358">
        <f t="shared" si="63"/>
        <v>2.7407126779988369</v>
      </c>
      <c r="V79" s="358">
        <f t="shared" si="63"/>
        <v>2.754005134487131</v>
      </c>
    </row>
    <row r="80" spans="1:22" x14ac:dyDescent="0.15">
      <c r="A80" s="655" t="s">
        <v>26</v>
      </c>
      <c r="B80" s="358">
        <f>B19*$Y$17/1000</f>
        <v>3.75</v>
      </c>
      <c r="C80" s="358">
        <f>C19*$Y$17/1000*AD5</f>
        <v>3.7681874999999989</v>
      </c>
      <c r="D80" s="358">
        <f t="shared" ref="D80:V80" si="64">D19*$Y$17/1000*AE5</f>
        <v>3.7864632093749986</v>
      </c>
      <c r="E80" s="358">
        <f t="shared" si="64"/>
        <v>3.8048275559404661</v>
      </c>
      <c r="F80" s="358">
        <f t="shared" si="64"/>
        <v>3.8232809695867767</v>
      </c>
      <c r="G80" s="358">
        <f t="shared" si="64"/>
        <v>3.8418238822892725</v>
      </c>
      <c r="H80" s="358">
        <f t="shared" si="64"/>
        <v>3.8604567281183755</v>
      </c>
      <c r="I80" s="358">
        <f t="shared" si="64"/>
        <v>3.8791799432497482</v>
      </c>
      <c r="J80" s="358">
        <f t="shared" si="64"/>
        <v>3.8979939659745098</v>
      </c>
      <c r="K80" s="358">
        <f t="shared" si="64"/>
        <v>3.9168992367094857</v>
      </c>
      <c r="L80" s="358">
        <f t="shared" si="64"/>
        <v>3.935896198007526</v>
      </c>
      <c r="M80" s="358">
        <f t="shared" si="64"/>
        <v>3.9549852945678627</v>
      </c>
      <c r="N80" s="358">
        <f t="shared" si="64"/>
        <v>3.9741669732465161</v>
      </c>
      <c r="O80" s="358">
        <f t="shared" si="64"/>
        <v>3.9934416830667621</v>
      </c>
      <c r="P80" s="358">
        <f t="shared" si="64"/>
        <v>4.0128098752296353</v>
      </c>
      <c r="Q80" s="358">
        <f t="shared" si="64"/>
        <v>4.0322720031244987</v>
      </c>
      <c r="R80" s="358">
        <f t="shared" si="64"/>
        <v>4.0518285223396511</v>
      </c>
      <c r="S80" s="358">
        <f t="shared" si="64"/>
        <v>4.0714798906729985</v>
      </c>
      <c r="T80" s="358">
        <f t="shared" si="64"/>
        <v>4.0912265681427629</v>
      </c>
      <c r="U80" s="358">
        <f t="shared" si="64"/>
        <v>4.1110690169982549</v>
      </c>
      <c r="V80" s="358">
        <f t="shared" si="64"/>
        <v>4.1310077017306952</v>
      </c>
    </row>
    <row r="81" spans="1:24" x14ac:dyDescent="0.15">
      <c r="A81" s="655" t="s">
        <v>27</v>
      </c>
      <c r="B81" s="358">
        <f>B20*$Y$17/1000</f>
        <v>4.375</v>
      </c>
      <c r="C81" s="358">
        <f>C20*$Y$17/1000*AD5</f>
        <v>4.3962187499999992</v>
      </c>
      <c r="D81" s="358">
        <f t="shared" ref="D81:V81" si="65">D20*$Y$17/1000*AE5</f>
        <v>4.4175404109374981</v>
      </c>
      <c r="E81" s="358">
        <f t="shared" si="65"/>
        <v>4.438965481930544</v>
      </c>
      <c r="F81" s="358">
        <f t="shared" si="65"/>
        <v>4.4604944645179065</v>
      </c>
      <c r="G81" s="358">
        <f t="shared" si="65"/>
        <v>4.4821278626708176</v>
      </c>
      <c r="H81" s="358">
        <f t="shared" si="65"/>
        <v>4.5038661828047708</v>
      </c>
      <c r="I81" s="358">
        <f t="shared" si="65"/>
        <v>4.525709933791374</v>
      </c>
      <c r="J81" s="358">
        <f t="shared" si="65"/>
        <v>4.5476596269702609</v>
      </c>
      <c r="K81" s="358">
        <f t="shared" si="65"/>
        <v>4.5697157761610674</v>
      </c>
      <c r="L81" s="358">
        <f t="shared" si="65"/>
        <v>4.5918788976754472</v>
      </c>
      <c r="M81" s="358">
        <f t="shared" si="65"/>
        <v>4.614149510329173</v>
      </c>
      <c r="N81" s="358">
        <f t="shared" si="65"/>
        <v>4.6365281354542693</v>
      </c>
      <c r="O81" s="358">
        <f t="shared" si="65"/>
        <v>4.659015296911222</v>
      </c>
      <c r="P81" s="358">
        <f t="shared" si="65"/>
        <v>4.6816115211012406</v>
      </c>
      <c r="Q81" s="358">
        <f t="shared" si="65"/>
        <v>4.7043173369785816</v>
      </c>
      <c r="R81" s="358">
        <f t="shared" si="65"/>
        <v>4.7271332760629265</v>
      </c>
      <c r="S81" s="358">
        <f t="shared" si="65"/>
        <v>4.7500598724518319</v>
      </c>
      <c r="T81" s="358">
        <f t="shared" si="65"/>
        <v>4.7730976628332229</v>
      </c>
      <c r="U81" s="358">
        <f t="shared" si="65"/>
        <v>4.7962471864979639</v>
      </c>
      <c r="V81" s="358">
        <f t="shared" si="65"/>
        <v>4.8195089853524786</v>
      </c>
    </row>
    <row r="82" spans="1:24" x14ac:dyDescent="0.15">
      <c r="A82" s="657" t="s">
        <v>28</v>
      </c>
      <c r="B82" s="358">
        <f>'WANFANWIFI old'!G153*0.2/0.8</f>
        <v>136.41127952941176</v>
      </c>
      <c r="C82" s="358">
        <f>'WANFANWIFI old'!H153*0.2/0.8*AD5</f>
        <v>141.48770183424472</v>
      </c>
      <c r="D82" s="358">
        <f>'WANFANWIFI old'!I153*0.2/0.8</f>
        <v>151.12119163914059</v>
      </c>
      <c r="E82" s="358">
        <f>'WANFANWIFI old'!J153*0.2/0.8</f>
        <v>165.0488853827114</v>
      </c>
      <c r="F82" s="358">
        <f>'WANFANWIFI old'!K153*0.2/0.8</f>
        <v>183.06755846287365</v>
      </c>
      <c r="G82" s="358">
        <f>'WANFANWIFI old'!L153*0.2/0.8</f>
        <v>205.30861403983749</v>
      </c>
      <c r="H82" s="358">
        <f>'WANFANWIFI old'!M153*0.2/0.8</f>
        <v>231.95619723517427</v>
      </c>
      <c r="I82" s="358">
        <f>'WANFANWIFI old'!N153*0.2/0.8</f>
        <v>263.68872692521268</v>
      </c>
      <c r="J82" s="358">
        <f>'WANFANWIFI old'!O153*0.2/0.8</f>
        <v>309.93761352170202</v>
      </c>
      <c r="K82" s="358">
        <f>'WANFANWIFI old'!P153*0.2/0.8</f>
        <v>369.1075370681807</v>
      </c>
      <c r="L82" s="358">
        <f>'WANFANWIFI old'!Q153*0.2/0.8</f>
        <v>446.49995907939694</v>
      </c>
      <c r="M82" s="358">
        <f>'WANFANWIFI old'!R153*0.2/0.8</f>
        <v>548.35836433907855</v>
      </c>
      <c r="N82" s="358">
        <f>'WANFANWIFI old'!S153*0.2/0.8</f>
        <v>675.35536764435301</v>
      </c>
      <c r="O82" s="358">
        <f>'WANFANWIFI old'!T153*0.2/0.8</f>
        <v>847.49584081071544</v>
      </c>
      <c r="P82" s="358">
        <f>'WANFANWIFI old'!U153*0.2/0.8</f>
        <v>1059.9620204472103</v>
      </c>
      <c r="Q82" s="358">
        <f>'WANFANWIFI old'!V153*0.2/0.8</f>
        <v>1330.4867724315257</v>
      </c>
      <c r="R82" s="358">
        <f>'WANFANWIFI old'!W153*0.2/0.8</f>
        <v>396.07184290988982</v>
      </c>
      <c r="S82" s="358" t="e">
        <f>'WANFANWIFI old'!X153*0.2/0.8</f>
        <v>#DIV/0!</v>
      </c>
      <c r="T82" s="358" t="e">
        <f>'WANFANWIFI old'!Y153*0.2/0.8</f>
        <v>#DIV/0!</v>
      </c>
      <c r="U82" s="358" t="e">
        <f>'WANFANWIFI old'!Z153*0.2/0.8</f>
        <v>#DIV/0!</v>
      </c>
      <c r="V82" s="358" t="e">
        <f>'WANFANWIFI old'!AA153*0.2/0.8</f>
        <v>#DIV/0!</v>
      </c>
    </row>
    <row r="83" spans="1:24" x14ac:dyDescent="0.15">
      <c r="A83" s="657" t="s">
        <v>29</v>
      </c>
      <c r="B83" s="358">
        <f>'DC old'!F9*0.2/0.8</f>
        <v>49.802239999999998</v>
      </c>
      <c r="C83" s="358">
        <f>'DC old'!G9*0.2/0.8*AD5</f>
        <v>61.540300799999997</v>
      </c>
      <c r="D83" s="358">
        <f>'DC old'!H9*0.2/0.8*AE5</f>
        <v>83.602498636799965</v>
      </c>
      <c r="E83" s="358">
        <f>'DC old'!I9*0.2/0.8*AF5</f>
        <v>94.124014709557969</v>
      </c>
      <c r="F83" s="358">
        <f>'DC old'!J9*0.2/0.8*AG5</f>
        <v>116.4116503266868</v>
      </c>
      <c r="G83" s="358">
        <f>'DC old'!K9*0.2/0.8*AH5</f>
        <v>143.96054461920932</v>
      </c>
      <c r="H83" s="358">
        <f>'DC old'!L9*0.2/0.8*AI5</f>
        <v>177.62816175818372</v>
      </c>
      <c r="I83" s="358">
        <f>'DC old'!M9*0.2/0.8*AJ5</f>
        <v>234.49087174128152</v>
      </c>
      <c r="J83" s="358">
        <f>'DC old'!N9*0.2/0.8*AK5</f>
        <v>318.11689280060534</v>
      </c>
      <c r="K83" s="358">
        <f>'DC old'!O9*0.2/0.8*AL5</f>
        <v>431.38190470125124</v>
      </c>
      <c r="L83" s="358">
        <f>'DC old'!P9*0.2/0.8*AM5</f>
        <v>584.76968925031758</v>
      </c>
      <c r="M83" s="358">
        <f>'DC old'!Q9*0.2/0.8*AN5</f>
        <v>793.19467698004576</v>
      </c>
      <c r="N83" s="358">
        <f>'DC old'!R9*0.2/0.8*AO5</f>
        <v>1076.195236666</v>
      </c>
      <c r="O83" s="358">
        <f>'DC old'!S9*0.2/0.8*AP5</f>
        <v>1460.1842698587782</v>
      </c>
      <c r="P83" s="358">
        <f>'DC old'!T9*0.2/0.8*AQ5</f>
        <v>1981.3066473383562</v>
      </c>
      <c r="Q83" s="358">
        <f>'DC old'!U9*0.2/0.8*AR5</f>
        <v>2688.7210272659145</v>
      </c>
      <c r="R83" s="358">
        <f>'DC old'!V9*0.2/0.8*AS5</f>
        <v>0</v>
      </c>
      <c r="S83" s="358" t="e">
        <f>'DC old'!W9*0.2/0.8*AT5</f>
        <v>#DIV/0!</v>
      </c>
      <c r="T83" s="358" t="e">
        <f>'DC old'!X9*0.2/0.8*AU5</f>
        <v>#DIV/0!</v>
      </c>
      <c r="U83" s="358" t="e">
        <f>'DC old'!Y9*0.2/0.8*AV5</f>
        <v>#DIV/0!</v>
      </c>
      <c r="V83" s="358" t="e">
        <f>'DC old'!Z9*0.2/0.8*AW5</f>
        <v>#DIV/0!</v>
      </c>
    </row>
    <row r="84" spans="1:24" s="58" customFormat="1" ht="16" x14ac:dyDescent="0.2">
      <c r="A84" s="57" t="s">
        <v>30</v>
      </c>
      <c r="B84" s="359">
        <f>SUM(B70:B83)</f>
        <v>799.75351952941173</v>
      </c>
      <c r="C84" s="359">
        <f t="shared" ref="C84:V84" si="66">SUM(C70:C83)</f>
        <v>841.59347138424459</v>
      </c>
      <c r="D84" s="359">
        <f t="shared" si="66"/>
        <v>907.5411057968779</v>
      </c>
      <c r="E84" s="359">
        <f t="shared" si="66"/>
        <v>969.48066571909817</v>
      </c>
      <c r="F84" s="359">
        <f t="shared" si="66"/>
        <v>1049.799885749188</v>
      </c>
      <c r="G84" s="359">
        <f t="shared" si="66"/>
        <v>1146.0779798711631</v>
      </c>
      <c r="H84" s="359">
        <f t="shared" si="66"/>
        <v>1240.0406280629984</v>
      </c>
      <c r="I84" s="359">
        <f t="shared" si="66"/>
        <v>1366.4001104187455</v>
      </c>
      <c r="J84" s="359">
        <f t="shared" si="66"/>
        <v>1538.63965719716</v>
      </c>
      <c r="K84" s="359">
        <f t="shared" si="66"/>
        <v>1758.5934025536035</v>
      </c>
      <c r="L84" s="359">
        <f t="shared" si="66"/>
        <v>2020.7091813799439</v>
      </c>
      <c r="M84" s="359">
        <f t="shared" si="66"/>
        <v>2331.8380394481483</v>
      </c>
      <c r="N84" s="359">
        <f t="shared" si="66"/>
        <v>2749.403934939166</v>
      </c>
      <c r="O84" s="359">
        <f t="shared" si="66"/>
        <v>3319.6272598711225</v>
      </c>
      <c r="P84" s="359">
        <f t="shared" si="66"/>
        <v>4073.7853769801113</v>
      </c>
      <c r="Q84" s="359">
        <f t="shared" si="66"/>
        <v>5078.8583785968649</v>
      </c>
      <c r="R84" s="359">
        <f t="shared" si="66"/>
        <v>1489.6418001494267</v>
      </c>
      <c r="S84" s="359" t="e">
        <f t="shared" si="66"/>
        <v>#DIV/0!</v>
      </c>
      <c r="T84" s="359" t="e">
        <f t="shared" si="66"/>
        <v>#DIV/0!</v>
      </c>
      <c r="U84" s="359" t="e">
        <f t="shared" si="66"/>
        <v>#DIV/0!</v>
      </c>
      <c r="V84" s="359" t="e">
        <f t="shared" si="66"/>
        <v>#DIV/0!</v>
      </c>
    </row>
    <row r="87" spans="1:24" ht="14" thickBot="1" x14ac:dyDescent="0.2"/>
    <row r="88" spans="1:24" x14ac:dyDescent="0.15">
      <c r="D88">
        <v>2010</v>
      </c>
      <c r="E88" s="129">
        <v>2011</v>
      </c>
      <c r="F88">
        <v>2012</v>
      </c>
      <c r="G88" s="129">
        <v>2013</v>
      </c>
      <c r="H88">
        <v>2014</v>
      </c>
      <c r="I88" s="364">
        <v>2015</v>
      </c>
      <c r="J88" s="365">
        <v>2016</v>
      </c>
      <c r="K88" s="366">
        <v>2017</v>
      </c>
      <c r="L88" s="366">
        <v>2018</v>
      </c>
      <c r="M88" s="366">
        <v>2019</v>
      </c>
      <c r="N88" s="366">
        <v>2020</v>
      </c>
      <c r="O88" s="333">
        <v>2021</v>
      </c>
      <c r="P88" s="333">
        <v>2022</v>
      </c>
      <c r="Q88" s="333">
        <v>2023</v>
      </c>
      <c r="R88" s="333">
        <v>2024</v>
      </c>
      <c r="S88" s="334">
        <v>2025</v>
      </c>
      <c r="T88" s="7">
        <v>2026</v>
      </c>
      <c r="U88" s="7">
        <v>2027</v>
      </c>
      <c r="V88" s="7">
        <v>2028</v>
      </c>
      <c r="W88" s="7">
        <v>2029</v>
      </c>
      <c r="X88" s="7">
        <v>2030</v>
      </c>
    </row>
    <row r="89" spans="1:24" ht="14" thickBot="1" x14ac:dyDescent="0.2">
      <c r="C89" s="28" t="s">
        <v>153</v>
      </c>
      <c r="D89" s="17">
        <f>B47</f>
        <v>239.11106405228759</v>
      </c>
      <c r="E89" s="17">
        <f t="shared" ref="E89:V89" si="67">C47</f>
        <v>241.79817955666661</v>
      </c>
      <c r="F89" s="17">
        <f t="shared" si="67"/>
        <v>249.69623689264992</v>
      </c>
      <c r="G89" s="17">
        <f t="shared" si="67"/>
        <v>250.50967420401605</v>
      </c>
      <c r="H89" s="17">
        <f t="shared" si="67"/>
        <v>252.79640289598166</v>
      </c>
      <c r="I89" s="361">
        <f>G47</f>
        <v>262.61858367497666</v>
      </c>
      <c r="J89" s="361">
        <f t="shared" ref="J89:S89" si="68">H47</f>
        <v>263.22763936943767</v>
      </c>
      <c r="K89" s="361">
        <f t="shared" si="68"/>
        <v>266.85183540206583</v>
      </c>
      <c r="L89" s="361">
        <f t="shared" si="68"/>
        <v>273.89441314637577</v>
      </c>
      <c r="M89" s="361">
        <f t="shared" si="68"/>
        <v>283.33503039001181</v>
      </c>
      <c r="N89" s="361">
        <f t="shared" si="68"/>
        <v>291.54174021868505</v>
      </c>
      <c r="O89" s="361">
        <f t="shared" si="68"/>
        <v>284.92399229153489</v>
      </c>
      <c r="P89" s="361">
        <f t="shared" si="68"/>
        <v>295.96479717608531</v>
      </c>
      <c r="Q89" s="361">
        <f t="shared" si="68"/>
        <v>317.00634593757229</v>
      </c>
      <c r="R89" s="361">
        <f t="shared" si="68"/>
        <v>350.52115740776316</v>
      </c>
      <c r="S89" s="361">
        <f t="shared" si="68"/>
        <v>401.32737697352911</v>
      </c>
      <c r="T89" s="17">
        <f t="shared" si="67"/>
        <v>237.09273266473858</v>
      </c>
      <c r="U89" s="17">
        <f t="shared" si="67"/>
        <v>263.9815901146618</v>
      </c>
      <c r="V89" s="17">
        <f t="shared" si="67"/>
        <v>310.26117004615469</v>
      </c>
      <c r="W89" s="17">
        <f>U47</f>
        <v>387.5902340178244</v>
      </c>
      <c r="X89" s="17">
        <f>V47</f>
        <v>515.22945799022216</v>
      </c>
    </row>
    <row r="90" spans="1:24" ht="14" thickBot="1" x14ac:dyDescent="0.2">
      <c r="C90" s="543" t="s">
        <v>154</v>
      </c>
      <c r="D90" s="253">
        <f>B66</f>
        <v>387.07132242214527</v>
      </c>
      <c r="E90" s="253">
        <f t="shared" ref="E90:V90" si="69">C66</f>
        <v>403.88678137026216</v>
      </c>
      <c r="F90" s="253">
        <f t="shared" si="69"/>
        <v>434.35736613149004</v>
      </c>
      <c r="G90" s="253">
        <f t="shared" si="69"/>
        <v>450.67662812979739</v>
      </c>
      <c r="H90" s="253">
        <f t="shared" si="69"/>
        <v>487.24346017366616</v>
      </c>
      <c r="I90" s="361">
        <f>G47</f>
        <v>262.61858367497666</v>
      </c>
      <c r="J90" s="361">
        <f>H66-(H66-H47)/2</f>
        <v>349.43093113429609</v>
      </c>
      <c r="K90" s="361">
        <f t="shared" ref="K90:S90" si="70">I66-(I66-I47)/2</f>
        <v>361.08401419379004</v>
      </c>
      <c r="L90" s="361">
        <f t="shared" si="70"/>
        <v>378.58445788037983</v>
      </c>
      <c r="M90" s="361">
        <f t="shared" si="70"/>
        <v>400.87196977686472</v>
      </c>
      <c r="N90" s="361">
        <f t="shared" si="70"/>
        <v>424.72957369856675</v>
      </c>
      <c r="O90" s="361">
        <f t="shared" si="70"/>
        <v>432.25442378835749</v>
      </c>
      <c r="P90" s="361">
        <f t="shared" si="70"/>
        <v>465.57050799430067</v>
      </c>
      <c r="Q90" s="361">
        <f t="shared" si="70"/>
        <v>517.82029376513913</v>
      </c>
      <c r="R90" s="361">
        <f t="shared" si="70"/>
        <v>593.6112907581321</v>
      </c>
      <c r="S90" s="361">
        <f t="shared" si="70"/>
        <v>700.87127848381488</v>
      </c>
      <c r="T90" s="253">
        <f t="shared" si="69"/>
        <v>364.6800130483831</v>
      </c>
      <c r="U90" s="253">
        <f t="shared" si="69"/>
        <v>370.33796070662436</v>
      </c>
      <c r="V90" s="253">
        <f t="shared" si="69"/>
        <v>379.7699518100714</v>
      </c>
      <c r="W90" s="253">
        <f>U66</f>
        <v>393.46959128478585</v>
      </c>
      <c r="X90" s="253">
        <f>V66</f>
        <v>412.25693570587845</v>
      </c>
    </row>
    <row r="91" spans="1:24" ht="14" x14ac:dyDescent="0.2">
      <c r="C91" s="543" t="s">
        <v>322</v>
      </c>
      <c r="D91" s="253">
        <f>B84</f>
        <v>799.75351952941173</v>
      </c>
      <c r="E91" s="253">
        <f>C84</f>
        <v>841.59347138424459</v>
      </c>
      <c r="F91" s="253">
        <f t="shared" ref="F91:V91" si="71">D84</f>
        <v>907.5411057968779</v>
      </c>
      <c r="G91" s="253">
        <f t="shared" si="71"/>
        <v>969.48066571909817</v>
      </c>
      <c r="H91" s="253">
        <f t="shared" si="71"/>
        <v>1049.799885749188</v>
      </c>
      <c r="I91" s="17">
        <v>41.666681071522056</v>
      </c>
      <c r="J91" s="17">
        <v>45.664576141277557</v>
      </c>
      <c r="K91" s="17">
        <v>50.114081154719941</v>
      </c>
      <c r="L91" s="17">
        <v>55.792472140003312</v>
      </c>
      <c r="M91" s="17">
        <v>64.004299154491676</v>
      </c>
      <c r="N91" s="17">
        <v>73.885006986704227</v>
      </c>
      <c r="O91" s="17">
        <v>86.019660095451613</v>
      </c>
      <c r="P91" s="17">
        <v>106.40750913108774</v>
      </c>
      <c r="Q91" s="17">
        <v>138.8390751491925</v>
      </c>
      <c r="R91" s="17">
        <v>191.96301019906835</v>
      </c>
      <c r="S91" s="17">
        <v>280.30259251446626</v>
      </c>
      <c r="T91" s="253">
        <f t="shared" si="71"/>
        <v>1489.6418001494267</v>
      </c>
      <c r="U91" s="253" t="e">
        <f t="shared" si="71"/>
        <v>#DIV/0!</v>
      </c>
      <c r="V91" s="253" t="e">
        <f t="shared" si="71"/>
        <v>#DIV/0!</v>
      </c>
      <c r="W91" s="253" t="e">
        <f>U84</f>
        <v>#DIV/0!</v>
      </c>
      <c r="X91" s="253" t="e">
        <f>V84</f>
        <v>#DIV/0!</v>
      </c>
    </row>
    <row r="92" spans="1:24" ht="14" x14ac:dyDescent="0.2">
      <c r="C92" s="28" t="s">
        <v>322</v>
      </c>
      <c r="I92" s="17">
        <f>G22*0.01</f>
        <v>41.666681071522056</v>
      </c>
      <c r="J92" s="17">
        <f t="shared" ref="J92:S92" si="72">H22*0.01</f>
        <v>45.664576141277557</v>
      </c>
      <c r="K92" s="17">
        <f t="shared" si="72"/>
        <v>50.114081154719941</v>
      </c>
      <c r="L92" s="17">
        <f t="shared" si="72"/>
        <v>55.792472140003312</v>
      </c>
      <c r="M92" s="17">
        <f t="shared" si="72"/>
        <v>64.004299154491676</v>
      </c>
      <c r="N92" s="17">
        <f t="shared" si="72"/>
        <v>73.885006986704227</v>
      </c>
      <c r="O92" s="17">
        <f t="shared" si="72"/>
        <v>86.019660095451613</v>
      </c>
      <c r="P92" s="17">
        <f t="shared" si="72"/>
        <v>106.40750913108774</v>
      </c>
      <c r="Q92" s="17">
        <f t="shared" si="72"/>
        <v>138.8390751491925</v>
      </c>
      <c r="R92" s="17">
        <f t="shared" si="72"/>
        <v>191.96301019906835</v>
      </c>
      <c r="S92" s="17">
        <f t="shared" si="72"/>
        <v>280.30259251446626</v>
      </c>
    </row>
    <row r="107" spans="4:4" x14ac:dyDescent="0.15">
      <c r="D107" t="s">
        <v>235</v>
      </c>
    </row>
  </sheetData>
  <pageMargins left="0.75" right="0.75" top="1" bottom="1" header="0.5" footer="0.5"/>
  <pageSetup orientation="portrait" horizontalDpi="200" verticalDpi="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Prod old</vt:lpstr>
      <vt:lpstr>WANFANWIFI old</vt:lpstr>
      <vt:lpstr>DC old</vt:lpstr>
      <vt:lpstr>Traffic</vt:lpstr>
      <vt:lpstr>WAN FAN Wi-Fi NDBS</vt:lpstr>
      <vt:lpstr>NDBS DataCenters </vt:lpstr>
      <vt:lpstr>Cons Dev Best </vt:lpstr>
      <vt:lpstr>Cons Dev Expe</vt:lpstr>
      <vt:lpstr>Prod NDBS</vt:lpstr>
      <vt:lpstr>NDBS Future 2025 </vt:lpstr>
      <vt:lpstr>Word population</vt:lpstr>
    </vt:vector>
  </TitlesOfParts>
  <Company>NuiGalway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pcor</dc:creator>
  <cp:lastModifiedBy>Jeff Thompson</cp:lastModifiedBy>
  <cp:lastPrinted>2015-02-20T13:27:50Z</cp:lastPrinted>
  <dcterms:created xsi:type="dcterms:W3CDTF">2013-04-13T10:59:56Z</dcterms:created>
  <dcterms:modified xsi:type="dcterms:W3CDTF">2018-01-18T15:47:18Z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(1)rTaXa3TThARRFUGUvNHFkCsUu+bk+roGVb46jNjr7CNGnz9xtjmEYXjhhnU3AOA7itiBn+hW_x000d_ xdUAb/WelEkpXX4I+e+yRwzHsNLmIuAsH+A0jCGYMB7VKlrklQO5iQPXC1Q8tfnjTkS7mJcl_x000d_ 41pqjfQbkk38Cv/3u8hKMZqjm48=</vt:lpwstr>
  </property>
  <property fmtid="{D5CDD505-2E9C-101B-9397-08002B2CF9AE}" pid="3" name="_new_ms_pID_72543">
    <vt:lpwstr>(3)FVXTQQbcyTmPq/N/eaGU90Xf5HQk2Hlm2oNVWxJme35IURZbuH8jH758z3HQgz04m0cgKyMZ
GI5myeC4Cl388kYngJBPvuNl4xQQ4ygNEXti+B1vTbHXCb4Otc1painO91+ob3q+bC75p751
0IaqqKKlWojXJkaufliyuR8tq82BNmiOv4kkcZbedNBRBYlIaLIoDCEeYWEqK3dLLe8eBbgT
/X2z6/p6zKA8Ohez/J</vt:lpwstr>
  </property>
  <property fmtid="{D5CDD505-2E9C-101B-9397-08002B2CF9AE}" pid="4" name="_new_ms_pID_725431">
    <vt:lpwstr>Rvp/PLVhweKFaoxisp9QUXamE7sBPCp4poBSroBstSmADWJ8PcrovZ
bgoRESCwEnUQC4ZeWYpkCk3ZLi1bxqqmzFjT3zILE08Oktg7tpp9g0frTx4nF1umh7Oj49nB
HHSm/JZiueeLxxYmzj8S2W6sMSwE/eOjlCL0ZZVzrKVg0AgCQQwSx4W46hTn8fj6b8UnkrtV
yKaH4Iay2l8y807AEXIqW/Etvq2x7sQIp2MM</vt:lpwstr>
  </property>
  <property fmtid="{D5CDD505-2E9C-101B-9397-08002B2CF9AE}" pid="5" name="_new_ms_pID_725432">
    <vt:lpwstr>UQtemVb3drL12ZQfNiFuOOOKTa8Pdppoq8Sz
MDR4A2sxAs+1NcFA6cgpeETuGsJHEQ==</vt:lpwstr>
  </property>
  <property fmtid="{D5CDD505-2E9C-101B-9397-08002B2CF9AE}" pid="6" name="_readonly">
    <vt:lpwstr/>
  </property>
  <property fmtid="{D5CDD505-2E9C-101B-9397-08002B2CF9AE}" pid="7" name="_change">
    <vt:lpwstr/>
  </property>
  <property fmtid="{D5CDD505-2E9C-101B-9397-08002B2CF9AE}" pid="8" name="_full-control">
    <vt:lpwstr/>
  </property>
  <property fmtid="{D5CDD505-2E9C-101B-9397-08002B2CF9AE}" pid="9" name="sflag">
    <vt:lpwstr>1516092110</vt:lpwstr>
  </property>
</Properties>
</file>