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sharepoint.ger.ith.intel.com/sites/3D_project/Shared Documents/Algo/IVCAM2.0/A.0 ASIC Algo AD/"/>
    </mc:Choice>
  </mc:AlternateContent>
  <bookViews>
    <workbookView xWindow="996" yWindow="0" windowWidth="22044" windowHeight="9684"/>
  </bookViews>
  <sheets>
    <sheet name="Performance tables" sheetId="4" r:id="rId1"/>
    <sheet name="Sheet1" sheetId="5" r:id="rId2"/>
    <sheet name="CONSTAN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N14" i="4"/>
  <c r="AI31" i="4" l="1"/>
  <c r="AH31" i="4"/>
  <c r="AG31" i="4"/>
  <c r="AF31" i="4"/>
  <c r="AE31" i="4"/>
  <c r="AD31" i="4"/>
  <c r="AD30" i="4" s="1"/>
  <c r="AC31" i="4"/>
  <c r="AC30" i="4" s="1"/>
  <c r="AB31" i="4"/>
  <c r="AA31" i="4"/>
  <c r="Z31" i="4"/>
  <c r="Y31" i="4"/>
  <c r="X31" i="4"/>
  <c r="W31" i="4"/>
  <c r="V31" i="4"/>
  <c r="V30" i="4" s="1"/>
  <c r="U31" i="4"/>
  <c r="T31" i="4"/>
  <c r="T30" i="4" s="1"/>
  <c r="S31" i="4"/>
  <c r="R31" i="4"/>
  <c r="Q31" i="4"/>
  <c r="O31" i="4"/>
  <c r="O30" i="4" s="1"/>
  <c r="N31" i="4"/>
  <c r="N30" i="4" s="1"/>
  <c r="S30" i="4"/>
  <c r="AH30" i="4"/>
  <c r="Q30" i="4"/>
  <c r="AA30" i="4"/>
  <c r="G31" i="4"/>
  <c r="H31" i="4"/>
  <c r="I31" i="4"/>
  <c r="J31" i="4"/>
  <c r="K31" i="4"/>
  <c r="K30" i="4" s="1"/>
  <c r="L31" i="4"/>
  <c r="L30" i="4" s="1"/>
  <c r="M31" i="4"/>
  <c r="M30" i="4" s="1"/>
  <c r="AE30" i="4"/>
  <c r="AF30" i="4"/>
  <c r="AI30" i="4"/>
  <c r="G30" i="4"/>
  <c r="H30" i="4"/>
  <c r="I30" i="4"/>
  <c r="J30" i="4"/>
  <c r="R30" i="4"/>
  <c r="W30" i="4"/>
  <c r="Z30" i="4"/>
  <c r="AB30" i="4"/>
  <c r="F17" i="4" l="1"/>
  <c r="F24" i="4"/>
  <c r="F25" i="4"/>
  <c r="F40" i="4"/>
  <c r="F42" i="4" s="1"/>
  <c r="F43" i="4" s="1"/>
  <c r="F44" i="4"/>
  <c r="F37" i="4" l="1"/>
  <c r="F31" i="4"/>
  <c r="F30" i="4" s="1"/>
  <c r="F41" i="4"/>
  <c r="F45" i="4"/>
  <c r="F46" i="4"/>
  <c r="F39" i="4"/>
  <c r="F47" i="4"/>
  <c r="F48" i="4" s="1"/>
  <c r="F50" i="4"/>
  <c r="D2" i="4"/>
  <c r="D3" i="4"/>
  <c r="D4" i="4"/>
  <c r="E2" i="4"/>
  <c r="E3" i="4"/>
  <c r="E4" i="4"/>
  <c r="D5" i="4"/>
  <c r="E5" i="4"/>
  <c r="D6" i="4"/>
  <c r="E6" i="4"/>
  <c r="D8" i="4"/>
  <c r="E8" i="4"/>
  <c r="D9" i="4"/>
  <c r="E9" i="4"/>
  <c r="D10" i="4"/>
  <c r="E10" i="4"/>
  <c r="D11" i="4"/>
  <c r="E11" i="4"/>
  <c r="D12" i="4"/>
  <c r="E12" i="4"/>
  <c r="E7" i="4"/>
  <c r="D7" i="4"/>
  <c r="AI40" i="4" l="1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E40" i="4" l="1"/>
  <c r="D40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E44" i="4" l="1"/>
  <c r="D44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G14" i="4"/>
  <c r="H14" i="4"/>
  <c r="I14" i="4"/>
  <c r="J14" i="4"/>
  <c r="K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F14" i="4"/>
  <c r="F13" i="4"/>
  <c r="D13" i="4" l="1"/>
  <c r="E13" i="4"/>
  <c r="D14" i="4"/>
  <c r="E14" i="4"/>
  <c r="J41" i="4"/>
  <c r="J25" i="4"/>
  <c r="J24" i="4"/>
  <c r="J17" i="4"/>
  <c r="J23" i="4" s="1"/>
  <c r="J46" i="4" s="1"/>
  <c r="J15" i="4"/>
  <c r="J21" i="4" l="1"/>
  <c r="J16" i="4"/>
  <c r="J18" i="4" s="1"/>
  <c r="J42" i="4"/>
  <c r="J43" i="4" s="1"/>
  <c r="J39" i="4"/>
  <c r="J37" i="4"/>
  <c r="J45" i="4"/>
  <c r="J50" i="4"/>
  <c r="J47" i="4"/>
  <c r="G17" i="4"/>
  <c r="G23" i="4" s="1"/>
  <c r="H17" i="4"/>
  <c r="H23" i="4" s="1"/>
  <c r="I17" i="4"/>
  <c r="I23" i="4" s="1"/>
  <c r="K17" i="4"/>
  <c r="K23" i="4" s="1"/>
  <c r="L17" i="4"/>
  <c r="L23" i="4" s="1"/>
  <c r="M17" i="4"/>
  <c r="M23" i="4" s="1"/>
  <c r="N17" i="4"/>
  <c r="N23" i="4" s="1"/>
  <c r="O17" i="4"/>
  <c r="O23" i="4" s="1"/>
  <c r="P17" i="4"/>
  <c r="P23" i="4" s="1"/>
  <c r="P31" i="4" s="1"/>
  <c r="Q17" i="4"/>
  <c r="Q23" i="4" s="1"/>
  <c r="R17" i="4"/>
  <c r="R23" i="4" s="1"/>
  <c r="S17" i="4"/>
  <c r="S23" i="4" s="1"/>
  <c r="T17" i="4"/>
  <c r="T23" i="4" s="1"/>
  <c r="U17" i="4"/>
  <c r="U23" i="4" s="1"/>
  <c r="U30" i="4" s="1"/>
  <c r="V17" i="4"/>
  <c r="V23" i="4" s="1"/>
  <c r="W17" i="4"/>
  <c r="W23" i="4" s="1"/>
  <c r="X17" i="4"/>
  <c r="X23" i="4" s="1"/>
  <c r="X30" i="4" s="1"/>
  <c r="Y17" i="4"/>
  <c r="Y23" i="4" s="1"/>
  <c r="Z17" i="4"/>
  <c r="Z23" i="4" s="1"/>
  <c r="AA17" i="4"/>
  <c r="AA23" i="4" s="1"/>
  <c r="AB17" i="4"/>
  <c r="AB23" i="4" s="1"/>
  <c r="AC17" i="4"/>
  <c r="AC23" i="4" s="1"/>
  <c r="AD17" i="4"/>
  <c r="AD23" i="4" s="1"/>
  <c r="AE17" i="4"/>
  <c r="AE23" i="4" s="1"/>
  <c r="AF17" i="4"/>
  <c r="AF23" i="4" s="1"/>
  <c r="AG17" i="4"/>
  <c r="AG23" i="4" s="1"/>
  <c r="AH17" i="4"/>
  <c r="AH23" i="4" s="1"/>
  <c r="AI17" i="4"/>
  <c r="AI23" i="4" s="1"/>
  <c r="AG30" i="4" l="1"/>
  <c r="Y30" i="4"/>
  <c r="P30" i="4"/>
  <c r="E17" i="4"/>
  <c r="D17" i="4"/>
  <c r="J27" i="4"/>
  <c r="J26" i="4" s="1"/>
  <c r="J20" i="4"/>
  <c r="J19" i="4"/>
  <c r="J51" i="4"/>
  <c r="J48" i="4"/>
  <c r="J49" i="4" s="1"/>
  <c r="J38" i="4"/>
  <c r="D30" i="4" l="1"/>
  <c r="E30" i="4"/>
  <c r="J22" i="4"/>
  <c r="J28" i="4" s="1"/>
  <c r="E23" i="4"/>
  <c r="D23" i="4"/>
  <c r="E31" i="4"/>
  <c r="D31" i="4"/>
  <c r="J32" i="4" l="1"/>
  <c r="J29" i="4"/>
  <c r="J36" i="4"/>
  <c r="AI42" i="4"/>
  <c r="AI43" i="4" s="1"/>
  <c r="AH42" i="4"/>
  <c r="AH43" i="4" s="1"/>
  <c r="AI25" i="4"/>
  <c r="AH25" i="4"/>
  <c r="AI24" i="4"/>
  <c r="AH24" i="4"/>
  <c r="AH37" i="4"/>
  <c r="AI15" i="4"/>
  <c r="AH15" i="4"/>
  <c r="AG42" i="4"/>
  <c r="AG43" i="4" s="1"/>
  <c r="AF42" i="4"/>
  <c r="AF43" i="4" s="1"/>
  <c r="AE42" i="4"/>
  <c r="AE43" i="4" s="1"/>
  <c r="AD42" i="4"/>
  <c r="AD43" i="4" s="1"/>
  <c r="AG25" i="4"/>
  <c r="AF25" i="4"/>
  <c r="AE25" i="4"/>
  <c r="AD25" i="4"/>
  <c r="AG24" i="4"/>
  <c r="AF24" i="4"/>
  <c r="AE24" i="4"/>
  <c r="AD24" i="4"/>
  <c r="AE50" i="4"/>
  <c r="AG15" i="4"/>
  <c r="AF15" i="4"/>
  <c r="AE15" i="4"/>
  <c r="AD15" i="4"/>
  <c r="AC42" i="4"/>
  <c r="AC43" i="4" s="1"/>
  <c r="AB42" i="4"/>
  <c r="AB43" i="4" s="1"/>
  <c r="AA42" i="4"/>
  <c r="AA43" i="4" s="1"/>
  <c r="Z42" i="4"/>
  <c r="Z43" i="4" s="1"/>
  <c r="AC25" i="4"/>
  <c r="AB25" i="4"/>
  <c r="AA25" i="4"/>
  <c r="Z25" i="4"/>
  <c r="AC24" i="4"/>
  <c r="AB24" i="4"/>
  <c r="AA24" i="4"/>
  <c r="Z24" i="4"/>
  <c r="AC50" i="4"/>
  <c r="AB50" i="4"/>
  <c r="Z50" i="4"/>
  <c r="AC15" i="4"/>
  <c r="AB15" i="4"/>
  <c r="AA15" i="4"/>
  <c r="Z15" i="4"/>
  <c r="Y42" i="4"/>
  <c r="Y43" i="4" s="1"/>
  <c r="X42" i="4"/>
  <c r="X43" i="4" s="1"/>
  <c r="Y25" i="4"/>
  <c r="X25" i="4"/>
  <c r="Y24" i="4"/>
  <c r="X24" i="4"/>
  <c r="Y37" i="4"/>
  <c r="X37" i="4"/>
  <c r="Y15" i="4"/>
  <c r="X15" i="4"/>
  <c r="X16" i="4" s="1"/>
  <c r="X18" i="4" s="1"/>
  <c r="W42" i="4"/>
  <c r="W43" i="4" s="1"/>
  <c r="W25" i="4"/>
  <c r="W24" i="4"/>
  <c r="W15" i="4"/>
  <c r="V42" i="4"/>
  <c r="V43" i="4" s="1"/>
  <c r="V25" i="4"/>
  <c r="V24" i="4"/>
  <c r="V15" i="4"/>
  <c r="J33" i="4" l="1"/>
  <c r="AB21" i="4"/>
  <c r="AB16" i="4"/>
  <c r="AB18" i="4" s="1"/>
  <c r="AC21" i="4"/>
  <c r="AC16" i="4"/>
  <c r="AC18" i="4" s="1"/>
  <c r="AD21" i="4"/>
  <c r="AD16" i="4"/>
  <c r="AD18" i="4" s="1"/>
  <c r="AE21" i="4"/>
  <c r="AE16" i="4"/>
  <c r="AE18" i="4" s="1"/>
  <c r="AH21" i="4"/>
  <c r="AH16" i="4"/>
  <c r="AH18" i="4" s="1"/>
  <c r="AF21" i="4"/>
  <c r="AF16" i="4"/>
  <c r="AF18" i="4" s="1"/>
  <c r="AI21" i="4"/>
  <c r="AI16" i="4"/>
  <c r="AI18" i="4" s="1"/>
  <c r="Z21" i="4"/>
  <c r="Z16" i="4"/>
  <c r="Z18" i="4" s="1"/>
  <c r="AA21" i="4"/>
  <c r="AA16" i="4"/>
  <c r="AA18" i="4" s="1"/>
  <c r="AG21" i="4"/>
  <c r="AG16" i="4"/>
  <c r="AG18" i="4" s="1"/>
  <c r="W21" i="4"/>
  <c r="W16" i="4"/>
  <c r="W18" i="4" s="1"/>
  <c r="V21" i="4"/>
  <c r="V16" i="4"/>
  <c r="V18" i="4" s="1"/>
  <c r="Y16" i="4"/>
  <c r="Y18" i="4" s="1"/>
  <c r="X20" i="4"/>
  <c r="X22" i="4" s="1"/>
  <c r="X19" i="4"/>
  <c r="J34" i="4"/>
  <c r="J35" i="4"/>
  <c r="AF50" i="4"/>
  <c r="AG50" i="4"/>
  <c r="AA50" i="4"/>
  <c r="AI50" i="4"/>
  <c r="AH39" i="4"/>
  <c r="AI37" i="4"/>
  <c r="AI39" i="4"/>
  <c r="AI41" i="4"/>
  <c r="AI45" i="4"/>
  <c r="AI46" i="4"/>
  <c r="AI47" i="4"/>
  <c r="AI48" i="4" s="1"/>
  <c r="AI49" i="4" s="1"/>
  <c r="AH41" i="4"/>
  <c r="AH45" i="4"/>
  <c r="AH47" i="4"/>
  <c r="AH48" i="4" s="1"/>
  <c r="AH49" i="4" s="1"/>
  <c r="AH50" i="4"/>
  <c r="AH46" i="4"/>
  <c r="AD50" i="4"/>
  <c r="AD47" i="4"/>
  <c r="AD48" i="4" s="1"/>
  <c r="AD49" i="4" s="1"/>
  <c r="AD45" i="4"/>
  <c r="AD39" i="4"/>
  <c r="AD37" i="4"/>
  <c r="AD41" i="4"/>
  <c r="AD46" i="4"/>
  <c r="AE37" i="4"/>
  <c r="AE39" i="4"/>
  <c r="AE41" i="4"/>
  <c r="AE45" i="4"/>
  <c r="AE46" i="4"/>
  <c r="AE47" i="4"/>
  <c r="AE48" i="4" s="1"/>
  <c r="AE49" i="4" s="1"/>
  <c r="AF37" i="4"/>
  <c r="AF39" i="4"/>
  <c r="AF41" i="4"/>
  <c r="AF45" i="4"/>
  <c r="AF46" i="4"/>
  <c r="AF47" i="4"/>
  <c r="AF48" i="4" s="1"/>
  <c r="AF49" i="4" s="1"/>
  <c r="AG37" i="4"/>
  <c r="AG39" i="4"/>
  <c r="AG41" i="4"/>
  <c r="AG45" i="4"/>
  <c r="AG46" i="4"/>
  <c r="AG47" i="4"/>
  <c r="AG48" i="4" s="1"/>
  <c r="AG49" i="4" s="1"/>
  <c r="X41" i="4"/>
  <c r="AA37" i="4"/>
  <c r="AA39" i="4"/>
  <c r="AA41" i="4"/>
  <c r="AA45" i="4"/>
  <c r="AA46" i="4"/>
  <c r="AA47" i="4"/>
  <c r="AA48" i="4" s="1"/>
  <c r="AA49" i="4" s="1"/>
  <c r="AB37" i="4"/>
  <c r="AB39" i="4"/>
  <c r="AB41" i="4"/>
  <c r="AB45" i="4"/>
  <c r="AB46" i="4"/>
  <c r="AB47" i="4"/>
  <c r="AB48" i="4" s="1"/>
  <c r="AB49" i="4" s="1"/>
  <c r="Y21" i="4"/>
  <c r="Z37" i="4"/>
  <c r="Z39" i="4"/>
  <c r="Z41" i="4"/>
  <c r="Z45" i="4"/>
  <c r="Z46" i="4"/>
  <c r="Z47" i="4"/>
  <c r="Z48" i="4" s="1"/>
  <c r="Z49" i="4" s="1"/>
  <c r="X21" i="4"/>
  <c r="AC37" i="4"/>
  <c r="AC39" i="4"/>
  <c r="AC41" i="4"/>
  <c r="AC45" i="4"/>
  <c r="AC46" i="4"/>
  <c r="AC47" i="4"/>
  <c r="AC48" i="4" s="1"/>
  <c r="AC49" i="4" s="1"/>
  <c r="X27" i="4"/>
  <c r="X26" i="4" s="1"/>
  <c r="Y41" i="4"/>
  <c r="X38" i="4"/>
  <c r="X39" i="4"/>
  <c r="X45" i="4"/>
  <c r="X51" i="4" s="1"/>
  <c r="X47" i="4"/>
  <c r="X48" i="4" s="1"/>
  <c r="X49" i="4" s="1"/>
  <c r="X50" i="4"/>
  <c r="Y39" i="4"/>
  <c r="Y45" i="4"/>
  <c r="Y47" i="4"/>
  <c r="Y48" i="4" s="1"/>
  <c r="Y49" i="4" s="1"/>
  <c r="Y50" i="4"/>
  <c r="X46" i="4"/>
  <c r="Y46" i="4"/>
  <c r="W41" i="4"/>
  <c r="W45" i="4"/>
  <c r="W50" i="4"/>
  <c r="W39" i="4"/>
  <c r="W47" i="4"/>
  <c r="W48" i="4" s="1"/>
  <c r="W49" i="4" s="1"/>
  <c r="W37" i="4"/>
  <c r="W46" i="4"/>
  <c r="V37" i="4"/>
  <c r="V39" i="4"/>
  <c r="V47" i="4"/>
  <c r="V48" i="4" s="1"/>
  <c r="V49" i="4" s="1"/>
  <c r="V41" i="4"/>
  <c r="V45" i="4"/>
  <c r="V50" i="4"/>
  <c r="V46" i="4"/>
  <c r="X28" i="4" l="1"/>
  <c r="X29" i="4" s="1"/>
  <c r="Y38" i="4"/>
  <c r="Y20" i="4"/>
  <c r="Y22" i="4" s="1"/>
  <c r="Y27" i="4"/>
  <c r="Y26" i="4" s="1"/>
  <c r="Y19" i="4"/>
  <c r="Y51" i="4"/>
  <c r="Y28" i="4"/>
  <c r="Y36" i="4" s="1"/>
  <c r="Z51" i="4"/>
  <c r="W27" i="4"/>
  <c r="W26" i="4" s="1"/>
  <c r="W19" i="4"/>
  <c r="W20" i="4"/>
  <c r="AC27" i="4"/>
  <c r="AC26" i="4" s="1"/>
  <c r="AC19" i="4"/>
  <c r="AC20" i="4"/>
  <c r="AC22" i="4" s="1"/>
  <c r="AD27" i="4"/>
  <c r="AD26" i="4" s="1"/>
  <c r="AD19" i="4"/>
  <c r="AD20" i="4"/>
  <c r="AI27" i="4"/>
  <c r="AI26" i="4" s="1"/>
  <c r="AI19" i="4"/>
  <c r="AI20" i="4"/>
  <c r="Z27" i="4"/>
  <c r="Z26" i="4" s="1"/>
  <c r="Z19" i="4"/>
  <c r="Z20" i="4"/>
  <c r="AA27" i="4"/>
  <c r="AA26" i="4" s="1"/>
  <c r="AA19" i="4"/>
  <c r="AA20" i="4"/>
  <c r="AA22" i="4" s="1"/>
  <c r="AF27" i="4"/>
  <c r="AF26" i="4" s="1"/>
  <c r="AF20" i="4"/>
  <c r="AF19" i="4"/>
  <c r="AB27" i="4"/>
  <c r="AB26" i="4" s="1"/>
  <c r="AB19" i="4"/>
  <c r="AB20" i="4"/>
  <c r="AE27" i="4"/>
  <c r="AE26" i="4" s="1"/>
  <c r="AE19" i="4"/>
  <c r="AE20" i="4"/>
  <c r="AH27" i="4"/>
  <c r="AH26" i="4" s="1"/>
  <c r="AH20" i="4"/>
  <c r="AH19" i="4"/>
  <c r="V27" i="4"/>
  <c r="V26" i="4" s="1"/>
  <c r="V19" i="4"/>
  <c r="V20" i="4"/>
  <c r="AG27" i="4"/>
  <c r="AG26" i="4" s="1"/>
  <c r="AG20" i="4"/>
  <c r="AG19" i="4"/>
  <c r="AD51" i="4"/>
  <c r="AH51" i="4"/>
  <c r="AD38" i="4"/>
  <c r="AI51" i="4"/>
  <c r="AB38" i="4"/>
  <c r="AF38" i="4"/>
  <c r="AB51" i="4"/>
  <c r="AF51" i="4"/>
  <c r="AE38" i="4"/>
  <c r="AE51" i="4"/>
  <c r="AG51" i="4"/>
  <c r="AI38" i="4"/>
  <c r="AH38" i="4"/>
  <c r="AC38" i="4"/>
  <c r="AG38" i="4"/>
  <c r="AC51" i="4"/>
  <c r="AA38" i="4"/>
  <c r="X32" i="4"/>
  <c r="X33" i="4" s="1"/>
  <c r="X34" i="4" s="1"/>
  <c r="Z38" i="4"/>
  <c r="AA51" i="4"/>
  <c r="X36" i="4"/>
  <c r="W38" i="4"/>
  <c r="W51" i="4"/>
  <c r="V51" i="4"/>
  <c r="V38" i="4"/>
  <c r="Y29" i="4" l="1"/>
  <c r="Y32" i="4"/>
  <c r="Z22" i="4"/>
  <c r="Z28" i="4" s="1"/>
  <c r="AF22" i="4"/>
  <c r="AF28" i="4" s="1"/>
  <c r="AI22" i="4"/>
  <c r="AI28" i="4" s="1"/>
  <c r="AH22" i="4"/>
  <c r="AH28" i="4" s="1"/>
  <c r="AH29" i="4" s="1"/>
  <c r="AG22" i="4"/>
  <c r="AG28" i="4" s="1"/>
  <c r="AE22" i="4"/>
  <c r="AE28" i="4" s="1"/>
  <c r="W22" i="4"/>
  <c r="W28" i="4" s="1"/>
  <c r="V22" i="4"/>
  <c r="V28" i="4" s="1"/>
  <c r="AD22" i="4"/>
  <c r="AD28" i="4" s="1"/>
  <c r="AB22" i="4"/>
  <c r="AB28" i="4" s="1"/>
  <c r="AC28" i="4"/>
  <c r="AA28" i="4"/>
  <c r="Y33" i="4"/>
  <c r="Y34" i="4" s="1"/>
  <c r="X35" i="4"/>
  <c r="V36" i="4" l="1"/>
  <c r="V32" i="4"/>
  <c r="AE29" i="4"/>
  <c r="AE36" i="4"/>
  <c r="AE32" i="4"/>
  <c r="AD36" i="4"/>
  <c r="AD29" i="4"/>
  <c r="AD32" i="4"/>
  <c r="AD33" i="4" s="1"/>
  <c r="AG29" i="4"/>
  <c r="AG36" i="4"/>
  <c r="AG32" i="4"/>
  <c r="AF36" i="4"/>
  <c r="AF29" i="4"/>
  <c r="AF32" i="4"/>
  <c r="W29" i="4"/>
  <c r="W32" i="4"/>
  <c r="W36" i="4"/>
  <c r="AB32" i="4"/>
  <c r="AB29" i="4"/>
  <c r="AB36" i="4"/>
  <c r="AI29" i="4"/>
  <c r="AI36" i="4"/>
  <c r="AI32" i="4"/>
  <c r="Z36" i="4"/>
  <c r="Z32" i="4"/>
  <c r="Z29" i="4"/>
  <c r="V29" i="4"/>
  <c r="AH36" i="4"/>
  <c r="AH32" i="4"/>
  <c r="AH33" i="4" s="1"/>
  <c r="AA29" i="4"/>
  <c r="AA36" i="4"/>
  <c r="AA32" i="4"/>
  <c r="AC36" i="4"/>
  <c r="AC29" i="4"/>
  <c r="AC32" i="4"/>
  <c r="Y35" i="4"/>
  <c r="U42" i="4"/>
  <c r="U43" i="4" s="1"/>
  <c r="U25" i="4"/>
  <c r="U24" i="4"/>
  <c r="U37" i="4"/>
  <c r="U15" i="4"/>
  <c r="S42" i="4"/>
  <c r="S43" i="4" s="1"/>
  <c r="S25" i="4"/>
  <c r="S24" i="4"/>
  <c r="S37" i="4"/>
  <c r="S15" i="4"/>
  <c r="O41" i="4"/>
  <c r="O25" i="4"/>
  <c r="O24" i="4"/>
  <c r="O37" i="4"/>
  <c r="O15" i="4"/>
  <c r="N42" i="4"/>
  <c r="N43" i="4" s="1"/>
  <c r="N25" i="4"/>
  <c r="N24" i="4"/>
  <c r="N15" i="4"/>
  <c r="S16" i="4" l="1"/>
  <c r="S18" i="4" s="1"/>
  <c r="O16" i="4"/>
  <c r="O18" i="4" s="1"/>
  <c r="N16" i="4"/>
  <c r="N18" i="4" s="1"/>
  <c r="N27" i="4" s="1"/>
  <c r="N26" i="4" s="1"/>
  <c r="U16" i="4"/>
  <c r="U18" i="4" s="1"/>
  <c r="AE33" i="4"/>
  <c r="AE34" i="4" s="1"/>
  <c r="V33" i="4"/>
  <c r="V35" i="4" s="1"/>
  <c r="AF33" i="4"/>
  <c r="AF35" i="4" s="1"/>
  <c r="AC33" i="4"/>
  <c r="AC34" i="4" s="1"/>
  <c r="AI33" i="4"/>
  <c r="AI34" i="4" s="1"/>
  <c r="Z33" i="4"/>
  <c r="Z34" i="4" s="1"/>
  <c r="AB33" i="4"/>
  <c r="AB34" i="4" s="1"/>
  <c r="W33" i="4"/>
  <c r="W35" i="4" s="1"/>
  <c r="AG33" i="4"/>
  <c r="AG35" i="4" s="1"/>
  <c r="AA33" i="4"/>
  <c r="AD34" i="4"/>
  <c r="AD35" i="4"/>
  <c r="AH34" i="4"/>
  <c r="AH35" i="4"/>
  <c r="S21" i="4"/>
  <c r="N21" i="4"/>
  <c r="U21" i="4"/>
  <c r="O21" i="4"/>
  <c r="N50" i="4"/>
  <c r="U50" i="4"/>
  <c r="U45" i="4"/>
  <c r="U41" i="4"/>
  <c r="U46" i="4"/>
  <c r="U39" i="4"/>
  <c r="U47" i="4"/>
  <c r="U48" i="4" s="1"/>
  <c r="U49" i="4" s="1"/>
  <c r="S50" i="4"/>
  <c r="S45" i="4"/>
  <c r="S41" i="4"/>
  <c r="S46" i="4"/>
  <c r="S39" i="4"/>
  <c r="S47" i="4"/>
  <c r="S48" i="4" s="1"/>
  <c r="S49" i="4" s="1"/>
  <c r="O45" i="4"/>
  <c r="O46" i="4"/>
  <c r="O42" i="4"/>
  <c r="O43" i="4" s="1"/>
  <c r="O50" i="4"/>
  <c r="O39" i="4"/>
  <c r="O47" i="4"/>
  <c r="N45" i="4"/>
  <c r="N47" i="4"/>
  <c r="N48" i="4" s="1"/>
  <c r="N49" i="4" s="1"/>
  <c r="N37" i="4"/>
  <c r="N41" i="4"/>
  <c r="N46" i="4"/>
  <c r="N39" i="4"/>
  <c r="M25" i="4"/>
  <c r="M24" i="4"/>
  <c r="M15" i="4"/>
  <c r="T15" i="4"/>
  <c r="T16" i="4" s="1"/>
  <c r="T18" i="4" s="1"/>
  <c r="T24" i="4"/>
  <c r="T25" i="4"/>
  <c r="T41" i="4"/>
  <c r="K42" i="4"/>
  <c r="K43" i="4" s="1"/>
  <c r="K25" i="4"/>
  <c r="K24" i="4"/>
  <c r="K15" i="4"/>
  <c r="O19" i="4" l="1"/>
  <c r="O38" i="4"/>
  <c r="O27" i="4"/>
  <c r="O26" i="4" s="1"/>
  <c r="AF34" i="4"/>
  <c r="AE35" i="4"/>
  <c r="O20" i="4"/>
  <c r="O22" i="4" s="1"/>
  <c r="O28" i="4" s="1"/>
  <c r="O29" i="4" s="1"/>
  <c r="M16" i="4"/>
  <c r="M18" i="4" s="1"/>
  <c r="K16" i="4"/>
  <c r="K18" i="4" s="1"/>
  <c r="V34" i="4"/>
  <c r="AC35" i="4"/>
  <c r="AB35" i="4"/>
  <c r="Z35" i="4"/>
  <c r="AI35" i="4"/>
  <c r="AG34" i="4"/>
  <c r="W34" i="4"/>
  <c r="AA35" i="4"/>
  <c r="AA34" i="4"/>
  <c r="S27" i="4"/>
  <c r="S26" i="4" s="1"/>
  <c r="S19" i="4"/>
  <c r="S20" i="4"/>
  <c r="T19" i="4"/>
  <c r="T20" i="4"/>
  <c r="T22" i="4" s="1"/>
  <c r="U27" i="4"/>
  <c r="U26" i="4" s="1"/>
  <c r="U20" i="4"/>
  <c r="U19" i="4"/>
  <c r="N19" i="4"/>
  <c r="N20" i="4"/>
  <c r="K21" i="4"/>
  <c r="N38" i="4"/>
  <c r="S38" i="4"/>
  <c r="U38" i="4"/>
  <c r="O51" i="4"/>
  <c r="U51" i="4"/>
  <c r="S51" i="4"/>
  <c r="O48" i="4"/>
  <c r="O49" i="4" s="1"/>
  <c r="N51" i="4"/>
  <c r="M50" i="4"/>
  <c r="M46" i="4"/>
  <c r="M47" i="4"/>
  <c r="M37" i="4"/>
  <c r="M45" i="4"/>
  <c r="T46" i="4"/>
  <c r="M21" i="4"/>
  <c r="M41" i="4"/>
  <c r="M42" i="4"/>
  <c r="M43" i="4" s="1"/>
  <c r="M39" i="4"/>
  <c r="T42" i="4"/>
  <c r="T43" i="4" s="1"/>
  <c r="T37" i="4"/>
  <c r="T38" i="4" s="1"/>
  <c r="T45" i="4"/>
  <c r="T50" i="4"/>
  <c r="T21" i="4"/>
  <c r="T47" i="4"/>
  <c r="T39" i="4"/>
  <c r="T27" i="4"/>
  <c r="T26" i="4" s="1"/>
  <c r="K39" i="4"/>
  <c r="K37" i="4"/>
  <c r="K45" i="4"/>
  <c r="K50" i="4"/>
  <c r="K41" i="4"/>
  <c r="K46" i="4"/>
  <c r="K47" i="4"/>
  <c r="K48" i="4" s="1"/>
  <c r="K49" i="4" s="1"/>
  <c r="G42" i="4"/>
  <c r="G43" i="4" s="1"/>
  <c r="G25" i="4"/>
  <c r="G24" i="4"/>
  <c r="G15" i="4"/>
  <c r="M19" i="4" l="1"/>
  <c r="M20" i="4"/>
  <c r="M22" i="4" s="1"/>
  <c r="M28" i="4" s="1"/>
  <c r="M29" i="4" s="1"/>
  <c r="M27" i="4"/>
  <c r="M26" i="4" s="1"/>
  <c r="M38" i="4"/>
  <c r="G16" i="4"/>
  <c r="G18" i="4" s="1"/>
  <c r="N22" i="4"/>
  <c r="N28" i="4" s="1"/>
  <c r="S22" i="4"/>
  <c r="S28" i="4" s="1"/>
  <c r="U22" i="4"/>
  <c r="U28" i="4" s="1"/>
  <c r="O32" i="4"/>
  <c r="O33" i="4" s="1"/>
  <c r="O35" i="4" s="1"/>
  <c r="O36" i="4"/>
  <c r="T28" i="4"/>
  <c r="T32" i="4" s="1"/>
  <c r="K27" i="4"/>
  <c r="K26" i="4" s="1"/>
  <c r="K19" i="4"/>
  <c r="K20" i="4"/>
  <c r="G21" i="4"/>
  <c r="M48" i="4"/>
  <c r="M49" i="4" s="1"/>
  <c r="M51" i="4"/>
  <c r="T48" i="4"/>
  <c r="T49" i="4" s="1"/>
  <c r="T51" i="4"/>
  <c r="G47" i="4"/>
  <c r="G48" i="4" s="1"/>
  <c r="G49" i="4" s="1"/>
  <c r="K51" i="4"/>
  <c r="K38" i="4"/>
  <c r="G37" i="4"/>
  <c r="G41" i="4"/>
  <c r="G45" i="4"/>
  <c r="G50" i="4"/>
  <c r="G46" i="4"/>
  <c r="G39" i="4"/>
  <c r="Q45" i="4"/>
  <c r="R45" i="4"/>
  <c r="L45" i="4"/>
  <c r="Q47" i="4"/>
  <c r="R46" i="4"/>
  <c r="L47" i="4"/>
  <c r="Q42" i="4"/>
  <c r="Q43" i="4" s="1"/>
  <c r="R42" i="4"/>
  <c r="R43" i="4" s="1"/>
  <c r="I42" i="4"/>
  <c r="I43" i="4" s="1"/>
  <c r="P42" i="4"/>
  <c r="P43" i="4" s="1"/>
  <c r="L42" i="4"/>
  <c r="L43" i="4" s="1"/>
  <c r="H42" i="4"/>
  <c r="H43" i="4" s="1"/>
  <c r="Q37" i="4"/>
  <c r="R37" i="4"/>
  <c r="P37" i="4"/>
  <c r="L37" i="4"/>
  <c r="Q25" i="4"/>
  <c r="R25" i="4"/>
  <c r="I25" i="4"/>
  <c r="P25" i="4"/>
  <c r="L25" i="4"/>
  <c r="H25" i="4"/>
  <c r="Q24" i="4"/>
  <c r="R24" i="4"/>
  <c r="I24" i="4"/>
  <c r="P24" i="4"/>
  <c r="L24" i="4"/>
  <c r="H24" i="4"/>
  <c r="I37" i="4"/>
  <c r="Q15" i="4"/>
  <c r="R15" i="4"/>
  <c r="I15" i="4"/>
  <c r="P15" i="4"/>
  <c r="P16" i="4" s="1"/>
  <c r="P18" i="4" s="1"/>
  <c r="L15" i="4"/>
  <c r="H15" i="4"/>
  <c r="F15" i="4"/>
  <c r="R16" i="4" l="1"/>
  <c r="R18" i="4"/>
  <c r="Q16" i="4"/>
  <c r="Q18" i="4"/>
  <c r="L16" i="4"/>
  <c r="L18" i="4"/>
  <c r="L19" i="4" s="1"/>
  <c r="I16" i="4"/>
  <c r="I18" i="4"/>
  <c r="F16" i="4"/>
  <c r="F21" i="4"/>
  <c r="F49" i="4"/>
  <c r="H16" i="4"/>
  <c r="H18" i="4" s="1"/>
  <c r="O34" i="4"/>
  <c r="M36" i="4"/>
  <c r="U36" i="4"/>
  <c r="U29" i="4"/>
  <c r="U32" i="4"/>
  <c r="S29" i="4"/>
  <c r="S36" i="4"/>
  <c r="S32" i="4"/>
  <c r="N36" i="4"/>
  <c r="N29" i="4"/>
  <c r="N32" i="4"/>
  <c r="K22" i="4"/>
  <c r="K28" i="4" s="1"/>
  <c r="D15" i="4"/>
  <c r="E15" i="4"/>
  <c r="E24" i="4"/>
  <c r="D24" i="4"/>
  <c r="D25" i="4"/>
  <c r="E25" i="4"/>
  <c r="M32" i="4"/>
  <c r="M33" i="4" s="1"/>
  <c r="M34" i="4" s="1"/>
  <c r="P20" i="4"/>
  <c r="P22" i="4" s="1"/>
  <c r="P19" i="4"/>
  <c r="T29" i="4"/>
  <c r="T33" i="4" s="1"/>
  <c r="T35" i="4" s="1"/>
  <c r="T36" i="4"/>
  <c r="G27" i="4"/>
  <c r="G26" i="4" s="1"/>
  <c r="G19" i="4"/>
  <c r="G20" i="4"/>
  <c r="G38" i="4"/>
  <c r="I21" i="4"/>
  <c r="R21" i="4"/>
  <c r="H21" i="4"/>
  <c r="Q21" i="4"/>
  <c r="Q46" i="4"/>
  <c r="R47" i="4"/>
  <c r="R48" i="4" s="1"/>
  <c r="R49" i="4" s="1"/>
  <c r="Q39" i="4"/>
  <c r="H46" i="4"/>
  <c r="G51" i="4"/>
  <c r="Q50" i="4"/>
  <c r="P39" i="4"/>
  <c r="L39" i="4"/>
  <c r="L48" i="4"/>
  <c r="L49" i="4" s="1"/>
  <c r="R50" i="4"/>
  <c r="Q48" i="4"/>
  <c r="Q49" i="4" s="1"/>
  <c r="L50" i="4"/>
  <c r="R39" i="4"/>
  <c r="Q41" i="4"/>
  <c r="P27" i="4"/>
  <c r="P26" i="4" s="1"/>
  <c r="P21" i="4"/>
  <c r="P41" i="4"/>
  <c r="L41" i="4"/>
  <c r="P38" i="4"/>
  <c r="I46" i="4"/>
  <c r="L21" i="4"/>
  <c r="P45" i="4"/>
  <c r="H41" i="4"/>
  <c r="R41" i="4"/>
  <c r="H47" i="4"/>
  <c r="H48" i="4" s="1"/>
  <c r="H49" i="4" s="1"/>
  <c r="I41" i="4"/>
  <c r="I45" i="4"/>
  <c r="I39" i="4"/>
  <c r="I50" i="4"/>
  <c r="H37" i="4"/>
  <c r="P47" i="4"/>
  <c r="P48" i="4" s="1"/>
  <c r="P49" i="4" s="1"/>
  <c r="H45" i="4"/>
  <c r="H39" i="4"/>
  <c r="H50" i="4"/>
  <c r="P46" i="4"/>
  <c r="L46" i="4"/>
  <c r="I47" i="4"/>
  <c r="I48" i="4" s="1"/>
  <c r="I49" i="4" s="1"/>
  <c r="P50" i="4"/>
  <c r="L27" i="4" l="1"/>
  <c r="L26" i="4" s="1"/>
  <c r="L20" i="4"/>
  <c r="L22" i="4" s="1"/>
  <c r="L51" i="4"/>
  <c r="L38" i="4"/>
  <c r="D16" i="4"/>
  <c r="E16" i="4"/>
  <c r="F18" i="4"/>
  <c r="E18" i="4" s="1"/>
  <c r="U33" i="4"/>
  <c r="N33" i="4"/>
  <c r="N34" i="4" s="1"/>
  <c r="K36" i="4"/>
  <c r="K29" i="4"/>
  <c r="K32" i="4"/>
  <c r="S33" i="4"/>
  <c r="G22" i="4"/>
  <c r="G28" i="4" s="1"/>
  <c r="L28" i="4"/>
  <c r="L29" i="4" s="1"/>
  <c r="D21" i="4"/>
  <c r="E21" i="4"/>
  <c r="M35" i="4"/>
  <c r="E41" i="4"/>
  <c r="D41" i="4"/>
  <c r="D50" i="4"/>
  <c r="E50" i="4"/>
  <c r="D46" i="4"/>
  <c r="E46" i="4"/>
  <c r="E45" i="4"/>
  <c r="D45" i="4"/>
  <c r="E39" i="4"/>
  <c r="D39" i="4"/>
  <c r="E37" i="4"/>
  <c r="D37" i="4"/>
  <c r="D42" i="4"/>
  <c r="E42" i="4"/>
  <c r="E47" i="4"/>
  <c r="D47" i="4"/>
  <c r="P28" i="4"/>
  <c r="P29" i="4" s="1"/>
  <c r="T34" i="4"/>
  <c r="Q27" i="4"/>
  <c r="Q26" i="4" s="1"/>
  <c r="Q20" i="4"/>
  <c r="Q19" i="4"/>
  <c r="H27" i="4"/>
  <c r="H26" i="4" s="1"/>
  <c r="H20" i="4"/>
  <c r="H22" i="4" s="1"/>
  <c r="H19" i="4"/>
  <c r="R27" i="4"/>
  <c r="R26" i="4" s="1"/>
  <c r="R20" i="4"/>
  <c r="R19" i="4"/>
  <c r="I27" i="4"/>
  <c r="I26" i="4" s="1"/>
  <c r="I20" i="4"/>
  <c r="I19" i="4"/>
  <c r="H38" i="4"/>
  <c r="R38" i="4"/>
  <c r="P51" i="4"/>
  <c r="Q38" i="4"/>
  <c r="R51" i="4"/>
  <c r="Q51" i="4"/>
  <c r="H51" i="4"/>
  <c r="I38" i="4"/>
  <c r="I51" i="4"/>
  <c r="D18" i="4" l="1"/>
  <c r="F19" i="4"/>
  <c r="F27" i="4"/>
  <c r="F26" i="4" s="1"/>
  <c r="F20" i="4"/>
  <c r="F22" i="4" s="1"/>
  <c r="F28" i="4" s="1"/>
  <c r="F38" i="4"/>
  <c r="E38" i="4" s="1"/>
  <c r="F51" i="4"/>
  <c r="E51" i="4" s="1"/>
  <c r="N35" i="4"/>
  <c r="U34" i="4"/>
  <c r="U35" i="4"/>
  <c r="L36" i="4"/>
  <c r="G32" i="4"/>
  <c r="G29" i="4"/>
  <c r="G36" i="4"/>
  <c r="L32" i="4"/>
  <c r="L33" i="4" s="1"/>
  <c r="L34" i="4" s="1"/>
  <c r="R22" i="4"/>
  <c r="R28" i="4" s="1"/>
  <c r="Q22" i="4"/>
  <c r="Q28" i="4" s="1"/>
  <c r="S35" i="4"/>
  <c r="S34" i="4"/>
  <c r="I22" i="4"/>
  <c r="I28" i="4" s="1"/>
  <c r="K33" i="4"/>
  <c r="P32" i="4"/>
  <c r="P33" i="4" s="1"/>
  <c r="P35" i="4" s="1"/>
  <c r="E27" i="4"/>
  <c r="D27" i="4"/>
  <c r="E43" i="4"/>
  <c r="D43" i="4"/>
  <c r="D19" i="4"/>
  <c r="E19" i="4"/>
  <c r="P36" i="4"/>
  <c r="H28" i="4"/>
  <c r="D38" i="4" l="1"/>
  <c r="E20" i="4"/>
  <c r="D20" i="4"/>
  <c r="F32" i="4"/>
  <c r="F29" i="4"/>
  <c r="F33" i="4" s="1"/>
  <c r="F36" i="4"/>
  <c r="D51" i="4"/>
  <c r="P34" i="4"/>
  <c r="L35" i="4"/>
  <c r="G33" i="4"/>
  <c r="G35" i="4" s="1"/>
  <c r="Q32" i="4"/>
  <c r="Q36" i="4"/>
  <c r="Q29" i="4"/>
  <c r="R29" i="4"/>
  <c r="R36" i="4"/>
  <c r="R32" i="4"/>
  <c r="I29" i="4"/>
  <c r="I36" i="4"/>
  <c r="I32" i="4"/>
  <c r="K35" i="4"/>
  <c r="K34" i="4"/>
  <c r="E22" i="4"/>
  <c r="D22" i="4"/>
  <c r="E26" i="4"/>
  <c r="D26" i="4"/>
  <c r="E48" i="4"/>
  <c r="D48" i="4"/>
  <c r="H32" i="4"/>
  <c r="H29" i="4"/>
  <c r="H36" i="4"/>
  <c r="F34" i="4" l="1"/>
  <c r="F35" i="4"/>
  <c r="Q33" i="4"/>
  <c r="R33" i="4"/>
  <c r="R34" i="4" s="1"/>
  <c r="G34" i="4"/>
  <c r="R35" i="4"/>
  <c r="I33" i="4"/>
  <c r="E32" i="4"/>
  <c r="D32" i="4"/>
  <c r="E28" i="4"/>
  <c r="D28" i="4"/>
  <c r="Q34" i="4"/>
  <c r="Q35" i="4"/>
  <c r="E49" i="4"/>
  <c r="D49" i="4"/>
  <c r="H33" i="4"/>
  <c r="H34" i="4" s="1"/>
  <c r="I34" i="4" l="1"/>
  <c r="I35" i="4"/>
  <c r="E33" i="4"/>
  <c r="D33" i="4"/>
  <c r="D29" i="4"/>
  <c r="E29" i="4"/>
  <c r="E36" i="4"/>
  <c r="D36" i="4"/>
  <c r="H35" i="4"/>
  <c r="D34" i="4" l="1"/>
  <c r="E34" i="4"/>
  <c r="E35" i="4"/>
  <c r="D35" i="4"/>
</calcChain>
</file>

<file path=xl/sharedStrings.xml><?xml version="1.0" encoding="utf-8"?>
<sst xmlns="http://schemas.openxmlformats.org/spreadsheetml/2006/main" count="175" uniqueCount="130">
  <si>
    <t>Name</t>
  </si>
  <si>
    <t>units</t>
  </si>
  <si>
    <t>HD30</t>
  </si>
  <si>
    <t>VGA60</t>
  </si>
  <si>
    <t>QVGA60</t>
  </si>
  <si>
    <t>QVGA120</t>
  </si>
  <si>
    <t>#</t>
  </si>
  <si>
    <t>FPS</t>
  </si>
  <si>
    <t>1/s</t>
  </si>
  <si>
    <t xml:space="preserve">Code length </t>
  </si>
  <si>
    <t>nsec</t>
  </si>
  <si>
    <t>Sampling rate</t>
  </si>
  <si>
    <t>Average pixel time</t>
  </si>
  <si>
    <t>CMA bin size</t>
  </si>
  <si>
    <t>bit</t>
  </si>
  <si>
    <t>Sampled template size</t>
  </si>
  <si>
    <t>Gs/s</t>
  </si>
  <si>
    <t>Fast axis frequency</t>
  </si>
  <si>
    <t>PCQ read data multiplyer</t>
  </si>
  <si>
    <t>GENERAL</t>
  </si>
  <si>
    <t>CMAC output BW</t>
  </si>
  <si>
    <t>CMAC memory  size</t>
  </si>
  <si>
    <t>CMAC input BW</t>
  </si>
  <si>
    <t>CMA denomenator packet size</t>
  </si>
  <si>
    <t>Hz</t>
  </si>
  <si>
    <t>%/100</t>
  </si>
  <si>
    <t>DCOR</t>
  </si>
  <si>
    <t>template bank size</t>
  </si>
  <si>
    <t>GENRAL</t>
  </si>
  <si>
    <t>template dynamic range</t>
  </si>
  <si>
    <t>CMA accumulation extra bits</t>
  </si>
  <si>
    <t>TX bit length</t>
  </si>
  <si>
    <t>Coarse sampling rate</t>
  </si>
  <si>
    <t>Ghz</t>
  </si>
  <si>
    <t>Fine addition operations</t>
  </si>
  <si>
    <t>Coarse input dynamic range</t>
  </si>
  <si>
    <t>fine input dynamic range</t>
  </si>
  <si>
    <t>originally was 8, converted to 12 for smoothing</t>
  </si>
  <si>
    <t>DEST</t>
  </si>
  <si>
    <t>Kbit</t>
  </si>
  <si>
    <t>Normalized CMA output size</t>
  </si>
  <si>
    <t>Normlized CMA # bits</t>
  </si>
  <si>
    <t>msec</t>
  </si>
  <si>
    <t>Frame illumination time</t>
  </si>
  <si>
    <t># spatial window size</t>
  </si>
  <si>
    <t>CMA numerator size</t>
  </si>
  <si>
    <t>CMA denominator size</t>
  </si>
  <si>
    <t>CMA total size</t>
  </si>
  <si>
    <t>Average scan lines per pixel</t>
  </si>
  <si>
    <t>Coarse correlation bin size</t>
  </si>
  <si>
    <t>Coarse correlation size</t>
  </si>
  <si>
    <t>Fine correlation bin size</t>
  </si>
  <si>
    <t>RAST</t>
  </si>
  <si>
    <t>IR adjusted sample rate</t>
  </si>
  <si>
    <t>Ms/s</t>
  </si>
  <si>
    <t>IR sample size</t>
  </si>
  <si>
    <t>IR numertor length</t>
  </si>
  <si>
    <t>IR denominator length</t>
  </si>
  <si>
    <t>Fine correlation segment size</t>
  </si>
  <si>
    <t>Decimation  ratio</t>
  </si>
  <si>
    <t>Coarse add/mul operations per pixel</t>
  </si>
  <si>
    <t>Total template bank size</t>
  </si>
  <si>
    <t>DCOR output bandwidth</t>
  </si>
  <si>
    <t>Gb/s</t>
  </si>
  <si>
    <t>PCQ output bandwidth</t>
  </si>
  <si>
    <t>TX symbol rate</t>
  </si>
  <si>
    <t>Fine MAC Gops</t>
  </si>
  <si>
    <t>Coarse MAC Gops</t>
  </si>
  <si>
    <t>Symbols</t>
  </si>
  <si>
    <t>Gbit/s</t>
  </si>
  <si>
    <t>QVGA30</t>
  </si>
  <si>
    <t>Max allowed codes per pixel</t>
  </si>
  <si>
    <t>HD45</t>
  </si>
  <si>
    <t>HHD45</t>
  </si>
  <si>
    <t>SXVGA30</t>
  </si>
  <si>
    <t>CMA filter FIFO size</t>
  </si>
  <si>
    <t>kbit</t>
  </si>
  <si>
    <t>VGA5</t>
  </si>
  <si>
    <t>Gss</t>
  </si>
  <si>
    <t>VGA30</t>
  </si>
  <si>
    <t>VGA15</t>
  </si>
  <si>
    <t>QVGA15</t>
  </si>
  <si>
    <t>QVGA5</t>
  </si>
  <si>
    <t>HD5</t>
  </si>
  <si>
    <t>MAX</t>
  </si>
  <si>
    <t>Gsps</t>
  </si>
  <si>
    <t>Sampling frequency</t>
  </si>
  <si>
    <t>Ratio</t>
  </si>
  <si>
    <t>Total MAC GOPS</t>
  </si>
  <si>
    <t>Gops</t>
  </si>
  <si>
    <t>SXVGA30F</t>
  </si>
  <si>
    <t>MIN</t>
  </si>
  <si>
    <t>X RAST resolution</t>
  </si>
  <si>
    <t>Y RAST resolution</t>
  </si>
  <si>
    <t>X output resolution</t>
  </si>
  <si>
    <t>Y output resolution</t>
  </si>
  <si>
    <t>upsample X</t>
  </si>
  <si>
    <t>upsample Y</t>
  </si>
  <si>
    <t>range finder</t>
  </si>
  <si>
    <t>CMA denumerator shared bins</t>
  </si>
  <si>
    <t>QVGA30S.5_8</t>
  </si>
  <si>
    <t>QVGA5S.5_8</t>
  </si>
  <si>
    <t>QVGA30S.5_4</t>
  </si>
  <si>
    <t>QVGA5S.5_4</t>
  </si>
  <si>
    <t>QVGA30S.25_4_26</t>
  </si>
  <si>
    <t>QVGA5S.25_4_26</t>
  </si>
  <si>
    <t>QVGA30S.25_4_52</t>
  </si>
  <si>
    <t>QVGA5S.25_4_52</t>
  </si>
  <si>
    <t>QVGA30S.5_8_64</t>
  </si>
  <si>
    <t>QVGA5S.5_4_104</t>
  </si>
  <si>
    <t>QVGA30S.5_4_104</t>
  </si>
  <si>
    <t>QVGA5S.5_4_128</t>
  </si>
  <si>
    <t>QVGA30S.25_4_44</t>
  </si>
  <si>
    <t>QVGA5S.25_4_64</t>
  </si>
  <si>
    <t>IR only</t>
  </si>
  <si>
    <t>Total MAC Instantanous GOPS</t>
  </si>
  <si>
    <t>HVGA100</t>
  </si>
  <si>
    <t>Maximum pixel time(99% percentile)</t>
  </si>
  <si>
    <t>Minimum pixel time(&lt;1% percentile)</t>
  </si>
  <si>
    <t>INPUT</t>
  </si>
  <si>
    <t>wavelength</t>
  </si>
  <si>
    <t>nm</t>
  </si>
  <si>
    <t>CPC muliplayer</t>
  </si>
  <si>
    <t>TIA noise</t>
  </si>
  <si>
    <t>pA/rHz</t>
  </si>
  <si>
    <t>mirror return time</t>
  </si>
  <si>
    <t>scan edge blank time</t>
  </si>
  <si>
    <t>usec</t>
  </si>
  <si>
    <t># scan lines</t>
  </si>
  <si>
    <t>CMA # denumerator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</si>
</sst>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2" borderId="9" applyNumberFormat="0" applyFont="0" applyAlignment="0" applyProtection="0"/>
  </cellStyleXfs>
  <cellXfs count="7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2" fontId="0" fillId="0" borderId="0" xfId="0" applyNumberFormat="1" applyFill="1" applyBorder="1"/>
    <xf numFmtId="2" fontId="0" fillId="0" borderId="6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1" fillId="0" borderId="0" xfId="0" applyFont="1" applyBorder="1" applyAlignment="1">
      <alignment horizontal="center" vertical="center" textRotation="90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/>
    <xf numFmtId="164" fontId="0" fillId="0" borderId="4" xfId="0" applyNumberFormat="1" applyFill="1" applyBorder="1" applyAlignment="1">
      <alignment horizontal="right" vertical="center"/>
    </xf>
    <xf numFmtId="0" fontId="0" fillId="2" borderId="9" xfId="1" applyFont="1" applyAlignment="1">
      <alignment wrapText="1"/>
    </xf>
    <xf numFmtId="0" fontId="0" fillId="2" borderId="9" xfId="1" applyFont="1"/>
    <xf numFmtId="0" fontId="0" fillId="2" borderId="10" xfId="1" applyFont="1" applyBorder="1" applyAlignment="1">
      <alignment wrapText="1"/>
    </xf>
    <xf numFmtId="0" fontId="0" fillId="2" borderId="10" xfId="1" applyFont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7" xfId="0" applyNumberFormat="1" applyFill="1" applyBorder="1" applyAlignment="1">
      <alignment horizontal="right" vertical="center"/>
    </xf>
    <xf numFmtId="164" fontId="0" fillId="0" borderId="8" xfId="0" applyNumberFormat="1" applyFill="1" applyBorder="1" applyAlignment="1">
      <alignment horizontal="right" vertical="center"/>
    </xf>
    <xf numFmtId="164" fontId="0" fillId="0" borderId="5" xfId="0" applyNumberFormat="1" applyFill="1" applyBorder="1" applyAlignment="1">
      <alignment horizontal="right" vertical="center"/>
    </xf>
    <xf numFmtId="1" fontId="0" fillId="0" borderId="6" xfId="0" applyNumberFormat="1" applyFill="1" applyBorder="1" applyAlignment="1">
      <alignment horizontal="right" vertical="center"/>
    </xf>
    <xf numFmtId="1" fontId="0" fillId="0" borderId="7" xfId="0" applyNumberFormat="1" applyFill="1" applyBorder="1" applyAlignment="1">
      <alignment horizontal="right" vertical="center"/>
    </xf>
    <xf numFmtId="1" fontId="0" fillId="0" borderId="8" xfId="0" applyNumberFormat="1" applyFill="1" applyBorder="1" applyAlignment="1">
      <alignment horizontal="right" vertical="center"/>
    </xf>
    <xf numFmtId="1" fontId="0" fillId="0" borderId="4" xfId="0" applyNumberFormat="1" applyFill="1" applyBorder="1" applyAlignment="1">
      <alignment horizontal="right" vertical="center"/>
    </xf>
    <xf numFmtId="1" fontId="0" fillId="0" borderId="5" xfId="0" applyNumberForma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2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right" vertical="center"/>
    </xf>
    <xf numFmtId="0" fontId="0" fillId="4" borderId="10" xfId="1" applyFont="1" applyFill="1" applyBorder="1"/>
    <xf numFmtId="0" fontId="0" fillId="4" borderId="9" xfId="1" applyFont="1" applyFill="1"/>
    <xf numFmtId="0" fontId="0" fillId="5" borderId="0" xfId="0" applyFill="1" applyBorder="1"/>
    <xf numFmtId="0" fontId="0" fillId="5" borderId="2" xfId="0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right" vertical="center"/>
    </xf>
    <xf numFmtId="1" fontId="0" fillId="5" borderId="6" xfId="0" applyNumberFormat="1" applyFill="1" applyBorder="1" applyAlignment="1">
      <alignment horizontal="right" vertical="center"/>
    </xf>
    <xf numFmtId="0" fontId="4" fillId="4" borderId="9" xfId="1" applyFont="1" applyFill="1"/>
    <xf numFmtId="0" fontId="1" fillId="4" borderId="9" xfId="1" applyFont="1" applyFill="1"/>
    <xf numFmtId="0" fontId="0" fillId="4" borderId="6" xfId="0" applyFill="1" applyBorder="1"/>
    <xf numFmtId="0" fontId="0" fillId="0" borderId="10" xfId="1" applyFont="1" applyFill="1" applyBorder="1"/>
    <xf numFmtId="0" fontId="0" fillId="0" borderId="9" xfId="1" applyFont="1" applyFill="1"/>
    <xf numFmtId="0" fontId="0" fillId="6" borderId="7" xfId="0" applyFill="1" applyBorder="1"/>
    <xf numFmtId="0" fontId="0" fillId="6" borderId="3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right" vertical="center"/>
    </xf>
    <xf numFmtId="1" fontId="0" fillId="6" borderId="8" xfId="0" applyNumberFormat="1" applyFill="1" applyBorder="1" applyAlignment="1">
      <alignment horizontal="right" vertical="center"/>
    </xf>
    <xf numFmtId="1" fontId="0" fillId="6" borderId="7" xfId="0" applyNumberFormat="1" applyFill="1" applyBorder="1"/>
    <xf numFmtId="1" fontId="0" fillId="6" borderId="8" xfId="0" applyNumberFormat="1" applyFill="1" applyBorder="1"/>
    <xf numFmtId="0" fontId="0" fillId="6" borderId="0" xfId="0" applyFill="1" applyBorder="1"/>
    <xf numFmtId="1" fontId="0" fillId="5" borderId="0" xfId="0" applyNumberFormat="1" applyFill="1" applyBorder="1"/>
    <xf numFmtId="1" fontId="0" fillId="5" borderId="6" xfId="0" applyNumberFormat="1" applyFill="1" applyBorder="1"/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</cellXfs>
  <cellStyles count="2">
    <cellStyle name="Normal" xfId="0" builtinId="0"/>
    <cellStyle name="Note" xfId="1" builtinId="10"/>
  </cellStyles>
  <dxfs count="2"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</dxfs>
  <tableStyles count="0" defaultTableStyle="TableStyleMedium2" defaultPivotStyle="PivotStyleLight16"/>
  <colors>
    <mruColors>
      <color rgb="FFD2ECB6"/>
      <color rgb="FFED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showGridLines="0" tabSelected="1" zoomScaleNormal="100" workbookViewId="0">
      <pane xSplit="5" ySplit="1" topLeftCell="F16" activePane="bottomRight" state="frozen"/>
      <selection pane="topRight" activeCell="E1" sqref="E1"/>
      <selection pane="bottomLeft" activeCell="A3" sqref="A3"/>
      <selection pane="bottomRight" activeCell="B30" sqref="A30:XFD30"/>
    </sheetView>
  </sheetViews>
  <sheetFormatPr defaultColWidth="9.109375" defaultRowHeight="14.4" x14ac:dyDescent="0.3"/>
  <cols>
    <col min="1" max="1" width="4.109375" style="1" bestFit="1" customWidth="1"/>
    <col min="2" max="2" width="33.6640625" style="1" bestFit="1" customWidth="1"/>
    <col min="3" max="3" width="8.33203125" style="5" bestFit="1" customWidth="1"/>
    <col min="4" max="4" width="5.5546875" style="5" bestFit="1" customWidth="1"/>
    <col min="5" max="5" width="6.5546875" style="25" bestFit="1" customWidth="1"/>
    <col min="6" max="7" width="6" style="1" bestFit="1" customWidth="1"/>
    <col min="8" max="8" width="6.5546875" style="1" bestFit="1" customWidth="1"/>
    <col min="9" max="9" width="6.33203125" style="1" bestFit="1" customWidth="1"/>
    <col min="10" max="10" width="8.44140625" style="1" bestFit="1" customWidth="1"/>
    <col min="11" max="11" width="9.33203125" style="1" bestFit="1" customWidth="1"/>
    <col min="12" max="12" width="6.33203125" style="1" bestFit="1" customWidth="1"/>
    <col min="13" max="13" width="8.33203125" style="1" bestFit="1" customWidth="1"/>
    <col min="14" max="14" width="6.33203125" style="1" bestFit="1" customWidth="1"/>
    <col min="15" max="15" width="7" style="1" bestFit="1" customWidth="1"/>
    <col min="16" max="16" width="6.5546875" style="1" bestFit="1" customWidth="1"/>
    <col min="17" max="17" width="8.44140625" style="1" bestFit="1" customWidth="1"/>
    <col min="18" max="20" width="7.44140625" style="1" bestFit="1" customWidth="1"/>
    <col min="21" max="21" width="7" style="1" bestFit="1" customWidth="1"/>
    <col min="22" max="22" width="8.5546875" style="1" customWidth="1"/>
    <col min="23" max="23" width="7" style="1" customWidth="1"/>
    <col min="24" max="24" width="8.44140625" style="1" customWidth="1"/>
    <col min="25" max="25" width="6.5546875" style="1" customWidth="1"/>
    <col min="26" max="26" width="9.5546875" style="1" customWidth="1"/>
    <col min="27" max="27" width="8" style="1" customWidth="1"/>
    <col min="28" max="28" width="7.109375" style="1" customWidth="1"/>
    <col min="29" max="29" width="8.88671875" style="1" customWidth="1"/>
    <col min="30" max="30" width="9.44140625" style="1" customWidth="1"/>
    <col min="31" max="31" width="8.33203125" style="1" customWidth="1"/>
    <col min="32" max="32" width="7.33203125" style="1" customWidth="1"/>
    <col min="33" max="33" width="7.6640625" style="1" customWidth="1"/>
    <col min="34" max="34" width="8.33203125" style="1" customWidth="1"/>
    <col min="35" max="35" width="7.33203125" style="1" customWidth="1"/>
    <col min="36" max="36" width="5.6640625" style="1" customWidth="1"/>
    <col min="37" max="37" width="6.109375" style="1" bestFit="1" customWidth="1"/>
    <col min="38" max="16384" width="9.109375" style="1"/>
  </cols>
  <sheetData>
    <row r="1" spans="1:37" s="21" customFormat="1" ht="35.1" customHeight="1" x14ac:dyDescent="0.3">
      <c r="A1" s="26"/>
      <c r="B1" s="48" t="s">
        <v>0</v>
      </c>
      <c r="C1" s="48" t="s">
        <v>1</v>
      </c>
      <c r="D1" s="48" t="s">
        <v>91</v>
      </c>
      <c r="E1" s="48" t="s">
        <v>84</v>
      </c>
      <c r="F1" s="48" t="s">
        <v>2</v>
      </c>
      <c r="G1" s="48" t="s">
        <v>72</v>
      </c>
      <c r="H1" s="48" t="s">
        <v>83</v>
      </c>
      <c r="I1" s="48" t="s">
        <v>73</v>
      </c>
      <c r="J1" s="48" t="s">
        <v>74</v>
      </c>
      <c r="K1" s="48" t="s">
        <v>90</v>
      </c>
      <c r="L1" s="48" t="s">
        <v>3</v>
      </c>
      <c r="M1" s="48" t="s">
        <v>116</v>
      </c>
      <c r="N1" s="48" t="s">
        <v>79</v>
      </c>
      <c r="O1" s="48" t="s">
        <v>80</v>
      </c>
      <c r="P1" s="48" t="s">
        <v>77</v>
      </c>
      <c r="Q1" s="48" t="s">
        <v>5</v>
      </c>
      <c r="R1" s="48" t="s">
        <v>4</v>
      </c>
      <c r="S1" s="48" t="s">
        <v>70</v>
      </c>
      <c r="T1" s="48" t="s">
        <v>81</v>
      </c>
      <c r="U1" s="48" t="s">
        <v>82</v>
      </c>
      <c r="V1" s="48" t="s">
        <v>100</v>
      </c>
      <c r="W1" s="48" t="s">
        <v>101</v>
      </c>
      <c r="X1" s="48" t="s">
        <v>102</v>
      </c>
      <c r="Y1" s="48" t="s">
        <v>103</v>
      </c>
      <c r="Z1" s="48" t="s">
        <v>104</v>
      </c>
      <c r="AA1" s="48" t="s">
        <v>105</v>
      </c>
      <c r="AB1" s="48" t="s">
        <v>106</v>
      </c>
      <c r="AC1" s="48" t="s">
        <v>107</v>
      </c>
      <c r="AD1" s="48" t="s">
        <v>108</v>
      </c>
      <c r="AE1" s="48" t="s">
        <v>109</v>
      </c>
      <c r="AF1" s="48" t="s">
        <v>110</v>
      </c>
      <c r="AG1" s="48" t="s">
        <v>111</v>
      </c>
      <c r="AH1" s="48" t="s">
        <v>112</v>
      </c>
      <c r="AI1" s="48" t="s">
        <v>113</v>
      </c>
      <c r="AJ1" s="48" t="s">
        <v>98</v>
      </c>
      <c r="AK1" s="48" t="s">
        <v>114</v>
      </c>
    </row>
    <row r="2" spans="1:37" s="22" customFormat="1" ht="15" customHeight="1" x14ac:dyDescent="0.3">
      <c r="A2" s="77" t="s">
        <v>119</v>
      </c>
      <c r="B2" s="2" t="s">
        <v>120</v>
      </c>
      <c r="C2" s="36" t="s">
        <v>121</v>
      </c>
      <c r="D2" s="23">
        <f t="shared" ref="D2:D4" si="0">MIN(F2:AK2)</f>
        <v>860</v>
      </c>
      <c r="E2" s="43">
        <f t="shared" ref="E2:E4" si="1">MAX(F2:AK2)</f>
        <v>940</v>
      </c>
      <c r="F2" s="33">
        <v>860</v>
      </c>
      <c r="G2" s="31">
        <v>860</v>
      </c>
      <c r="H2" s="31">
        <v>860</v>
      </c>
      <c r="I2" s="31">
        <v>860</v>
      </c>
      <c r="J2" s="31">
        <v>860</v>
      </c>
      <c r="K2" s="31">
        <v>860</v>
      </c>
      <c r="L2" s="31">
        <v>860</v>
      </c>
      <c r="M2" s="31">
        <v>860</v>
      </c>
      <c r="N2" s="31">
        <v>860</v>
      </c>
      <c r="O2" s="31">
        <v>860</v>
      </c>
      <c r="P2" s="31">
        <v>860</v>
      </c>
      <c r="Q2" s="31">
        <v>860</v>
      </c>
      <c r="R2" s="31">
        <v>860</v>
      </c>
      <c r="S2" s="31">
        <v>860</v>
      </c>
      <c r="T2" s="31">
        <v>860</v>
      </c>
      <c r="U2" s="31">
        <v>860</v>
      </c>
      <c r="V2" s="31">
        <v>860</v>
      </c>
      <c r="W2" s="31">
        <v>860</v>
      </c>
      <c r="X2" s="31">
        <v>860</v>
      </c>
      <c r="Y2" s="31">
        <v>860</v>
      </c>
      <c r="Z2" s="31">
        <v>860</v>
      </c>
      <c r="AA2" s="31">
        <v>860</v>
      </c>
      <c r="AB2" s="31">
        <v>860</v>
      </c>
      <c r="AC2" s="31">
        <v>860</v>
      </c>
      <c r="AD2" s="31">
        <v>940</v>
      </c>
      <c r="AE2" s="31">
        <v>940</v>
      </c>
      <c r="AF2" s="31">
        <v>940</v>
      </c>
      <c r="AG2" s="31">
        <v>940</v>
      </c>
      <c r="AH2" s="31">
        <v>940</v>
      </c>
      <c r="AI2" s="31">
        <v>940</v>
      </c>
      <c r="AJ2" s="31">
        <v>860</v>
      </c>
      <c r="AK2" s="31">
        <v>860</v>
      </c>
    </row>
    <row r="3" spans="1:37" s="22" customFormat="1" ht="15" customHeight="1" x14ac:dyDescent="0.3">
      <c r="A3" s="77"/>
      <c r="B3" s="2" t="s">
        <v>122</v>
      </c>
      <c r="C3" s="36" t="s">
        <v>6</v>
      </c>
      <c r="D3" s="23">
        <f t="shared" si="0"/>
        <v>4.5</v>
      </c>
      <c r="E3" s="43">
        <f t="shared" si="1"/>
        <v>16</v>
      </c>
      <c r="F3" s="33">
        <v>4.5</v>
      </c>
      <c r="G3" s="33">
        <v>4.5</v>
      </c>
      <c r="H3" s="33">
        <v>4.5</v>
      </c>
      <c r="I3" s="33">
        <v>4.5</v>
      </c>
      <c r="J3" s="33">
        <v>4.5</v>
      </c>
      <c r="K3" s="33">
        <v>4.5</v>
      </c>
      <c r="L3" s="33">
        <v>4.5</v>
      </c>
      <c r="M3" s="33">
        <v>4.5</v>
      </c>
      <c r="N3" s="33">
        <v>4.5</v>
      </c>
      <c r="O3" s="33">
        <v>4.5</v>
      </c>
      <c r="P3" s="33">
        <v>4.5</v>
      </c>
      <c r="Q3" s="33">
        <v>4.5</v>
      </c>
      <c r="R3" s="33">
        <v>4.5</v>
      </c>
      <c r="S3" s="33">
        <v>4.5</v>
      </c>
      <c r="T3" s="33">
        <v>4.5</v>
      </c>
      <c r="U3" s="33">
        <v>4.5</v>
      </c>
      <c r="V3" s="33">
        <v>4.5</v>
      </c>
      <c r="W3" s="33">
        <v>4.5</v>
      </c>
      <c r="X3" s="33">
        <v>4.5</v>
      </c>
      <c r="Y3" s="33">
        <v>4.5</v>
      </c>
      <c r="Z3" s="33">
        <v>4.5</v>
      </c>
      <c r="AA3" s="33">
        <v>4.5</v>
      </c>
      <c r="AB3" s="33">
        <v>4.5</v>
      </c>
      <c r="AC3" s="33">
        <v>4.5</v>
      </c>
      <c r="AD3" s="33">
        <v>4.5</v>
      </c>
      <c r="AE3" s="33">
        <v>4.5</v>
      </c>
      <c r="AF3" s="33">
        <v>4.5</v>
      </c>
      <c r="AG3" s="33">
        <v>4.5</v>
      </c>
      <c r="AH3" s="33">
        <v>4.5</v>
      </c>
      <c r="AI3" s="33">
        <v>4.5</v>
      </c>
      <c r="AJ3" s="33">
        <v>16</v>
      </c>
      <c r="AK3" s="33">
        <v>4.5</v>
      </c>
    </row>
    <row r="4" spans="1:37" s="22" customFormat="1" ht="15" customHeight="1" x14ac:dyDescent="0.3">
      <c r="A4" s="77"/>
      <c r="B4" s="2" t="s">
        <v>123</v>
      </c>
      <c r="C4" s="36" t="s">
        <v>124</v>
      </c>
      <c r="D4" s="23">
        <f t="shared" si="0"/>
        <v>3</v>
      </c>
      <c r="E4" s="43">
        <f t="shared" si="1"/>
        <v>6.3</v>
      </c>
      <c r="F4" s="33">
        <v>4.3</v>
      </c>
      <c r="G4" s="33">
        <v>4.3</v>
      </c>
      <c r="H4" s="33">
        <v>4.3</v>
      </c>
      <c r="I4" s="33">
        <v>4.3</v>
      </c>
      <c r="J4" s="33">
        <v>4.3</v>
      </c>
      <c r="K4" s="33">
        <v>4.3</v>
      </c>
      <c r="L4" s="33">
        <v>4.3</v>
      </c>
      <c r="M4" s="33">
        <v>4.3</v>
      </c>
      <c r="N4" s="33">
        <v>4.3</v>
      </c>
      <c r="O4" s="33">
        <v>4.3</v>
      </c>
      <c r="P4" s="33">
        <v>4.3</v>
      </c>
      <c r="Q4" s="33">
        <v>4.3</v>
      </c>
      <c r="R4" s="33">
        <v>4.3</v>
      </c>
      <c r="S4" s="33">
        <v>4.3</v>
      </c>
      <c r="T4" s="33">
        <v>4.3</v>
      </c>
      <c r="U4" s="33">
        <v>4.3</v>
      </c>
      <c r="V4" s="33">
        <v>4.3</v>
      </c>
      <c r="W4" s="33">
        <v>4.3</v>
      </c>
      <c r="X4" s="33">
        <v>3</v>
      </c>
      <c r="Y4" s="33">
        <v>4.3</v>
      </c>
      <c r="Z4" s="33">
        <v>4.3</v>
      </c>
      <c r="AA4" s="33">
        <v>4.3</v>
      </c>
      <c r="AB4" s="33">
        <v>3</v>
      </c>
      <c r="AC4" s="33">
        <v>3</v>
      </c>
      <c r="AD4" s="33">
        <v>6.3</v>
      </c>
      <c r="AE4" s="33">
        <v>6.3</v>
      </c>
      <c r="AF4" s="33">
        <v>6.3</v>
      </c>
      <c r="AG4" s="33">
        <v>6.3</v>
      </c>
      <c r="AH4" s="33">
        <v>4.2</v>
      </c>
      <c r="AI4" s="33">
        <v>4.2</v>
      </c>
      <c r="AJ4" s="33">
        <v>3</v>
      </c>
      <c r="AK4" s="33">
        <v>4.3</v>
      </c>
    </row>
    <row r="5" spans="1:37" s="22" customFormat="1" ht="15" customHeight="1" x14ac:dyDescent="0.3">
      <c r="A5" s="77"/>
      <c r="B5" s="2" t="s">
        <v>96</v>
      </c>
      <c r="C5" s="36" t="s">
        <v>6</v>
      </c>
      <c r="D5" s="23">
        <f>MIN(F5:AK5)</f>
        <v>1</v>
      </c>
      <c r="E5" s="43">
        <f>MAX(F5:AK5)</f>
        <v>2</v>
      </c>
      <c r="F5" s="33">
        <v>1</v>
      </c>
      <c r="G5" s="31">
        <v>1</v>
      </c>
      <c r="H5" s="31">
        <v>1</v>
      </c>
      <c r="I5" s="31">
        <v>2</v>
      </c>
      <c r="J5" s="31">
        <v>1</v>
      </c>
      <c r="K5" s="31">
        <v>1</v>
      </c>
      <c r="L5" s="31">
        <v>1</v>
      </c>
      <c r="M5" s="31">
        <v>2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  <c r="AA5" s="31">
        <v>1</v>
      </c>
      <c r="AB5" s="31">
        <v>1</v>
      </c>
      <c r="AC5" s="31">
        <v>1</v>
      </c>
      <c r="AD5" s="31">
        <v>1</v>
      </c>
      <c r="AE5" s="31">
        <v>1</v>
      </c>
      <c r="AF5" s="31">
        <v>1</v>
      </c>
      <c r="AG5" s="31">
        <v>1</v>
      </c>
      <c r="AH5" s="31">
        <v>1</v>
      </c>
      <c r="AI5" s="31">
        <v>1</v>
      </c>
      <c r="AJ5" s="31">
        <v>1</v>
      </c>
      <c r="AK5" s="31">
        <v>1</v>
      </c>
    </row>
    <row r="6" spans="1:37" s="22" customFormat="1" x14ac:dyDescent="0.3">
      <c r="A6" s="77"/>
      <c r="B6" s="2" t="s">
        <v>97</v>
      </c>
      <c r="C6" s="36" t="s">
        <v>6</v>
      </c>
      <c r="D6" s="23">
        <f t="shared" ref="D6" si="2">MIN(F6:AK6)</f>
        <v>1</v>
      </c>
      <c r="E6" s="43">
        <f t="shared" ref="E6" si="3">MAX(F6:AK6)</f>
        <v>1</v>
      </c>
      <c r="F6" s="33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  <c r="AH6" s="31">
        <v>1</v>
      </c>
      <c r="AI6" s="31">
        <v>1</v>
      </c>
      <c r="AJ6" s="31">
        <v>1</v>
      </c>
      <c r="AK6" s="31">
        <v>1</v>
      </c>
    </row>
    <row r="7" spans="1:37" ht="15.75" customHeight="1" x14ac:dyDescent="0.3">
      <c r="A7" s="77"/>
      <c r="B7" s="2" t="s">
        <v>92</v>
      </c>
      <c r="C7" s="36" t="s">
        <v>6</v>
      </c>
      <c r="D7" s="23">
        <f>MIN(F7:AK7)</f>
        <v>1</v>
      </c>
      <c r="E7" s="43">
        <f>MAX(F7:AK7)</f>
        <v>1280</v>
      </c>
      <c r="F7" s="34">
        <v>1280</v>
      </c>
      <c r="G7" s="32">
        <v>1280</v>
      </c>
      <c r="H7" s="32">
        <v>1280</v>
      </c>
      <c r="I7" s="32">
        <v>640</v>
      </c>
      <c r="J7" s="32">
        <v>1280</v>
      </c>
      <c r="K7" s="32">
        <v>1280</v>
      </c>
      <c r="L7" s="32">
        <v>640</v>
      </c>
      <c r="M7" s="32">
        <v>320</v>
      </c>
      <c r="N7" s="32">
        <v>640</v>
      </c>
      <c r="O7" s="32">
        <v>640</v>
      </c>
      <c r="P7" s="32">
        <v>640</v>
      </c>
      <c r="Q7" s="32">
        <v>320</v>
      </c>
      <c r="R7" s="32">
        <v>320</v>
      </c>
      <c r="S7" s="32">
        <v>320</v>
      </c>
      <c r="T7" s="32">
        <v>320</v>
      </c>
      <c r="U7" s="32">
        <v>320</v>
      </c>
      <c r="V7" s="32">
        <v>320</v>
      </c>
      <c r="W7" s="32">
        <v>320</v>
      </c>
      <c r="X7" s="32">
        <v>320</v>
      </c>
      <c r="Y7" s="32">
        <v>320</v>
      </c>
      <c r="Z7" s="32">
        <v>320</v>
      </c>
      <c r="AA7" s="32">
        <v>320</v>
      </c>
      <c r="AB7" s="32">
        <v>320</v>
      </c>
      <c r="AC7" s="32">
        <v>320</v>
      </c>
      <c r="AD7" s="32">
        <v>320</v>
      </c>
      <c r="AE7" s="32">
        <v>320</v>
      </c>
      <c r="AF7" s="32">
        <v>320</v>
      </c>
      <c r="AG7" s="32">
        <v>320</v>
      </c>
      <c r="AH7" s="32">
        <v>320</v>
      </c>
      <c r="AI7" s="32">
        <v>320</v>
      </c>
      <c r="AJ7" s="32">
        <v>1</v>
      </c>
      <c r="AK7" s="32">
        <v>1</v>
      </c>
    </row>
    <row r="8" spans="1:37" s="49" customFormat="1" x14ac:dyDescent="0.3">
      <c r="A8" s="77"/>
      <c r="B8" s="49" t="s">
        <v>93</v>
      </c>
      <c r="C8" s="50" t="s">
        <v>6</v>
      </c>
      <c r="D8" s="51">
        <f t="shared" ref="D8:D12" si="4">MIN(F8:AK8)</f>
        <v>1</v>
      </c>
      <c r="E8" s="52">
        <f t="shared" ref="E8:E12" si="5">MAX(F8:AK8)</f>
        <v>960</v>
      </c>
      <c r="F8" s="53">
        <v>720</v>
      </c>
      <c r="G8" s="54">
        <v>720</v>
      </c>
      <c r="H8" s="54">
        <v>720</v>
      </c>
      <c r="I8" s="54">
        <v>720</v>
      </c>
      <c r="J8" s="54">
        <v>960</v>
      </c>
      <c r="K8" s="54">
        <v>960</v>
      </c>
      <c r="L8" s="54">
        <v>480</v>
      </c>
      <c r="M8" s="54">
        <v>480</v>
      </c>
      <c r="N8" s="54">
        <v>480</v>
      </c>
      <c r="O8" s="54">
        <v>480</v>
      </c>
      <c r="P8" s="54">
        <v>480</v>
      </c>
      <c r="Q8" s="54">
        <v>240</v>
      </c>
      <c r="R8" s="54">
        <v>240</v>
      </c>
      <c r="S8" s="54">
        <v>240</v>
      </c>
      <c r="T8" s="54">
        <v>240</v>
      </c>
      <c r="U8" s="54">
        <v>240</v>
      </c>
      <c r="V8" s="54">
        <v>240</v>
      </c>
      <c r="W8" s="54">
        <v>240</v>
      </c>
      <c r="X8" s="54">
        <v>240</v>
      </c>
      <c r="Y8" s="54">
        <v>240</v>
      </c>
      <c r="Z8" s="54">
        <v>240</v>
      </c>
      <c r="AA8" s="54">
        <v>240</v>
      </c>
      <c r="AB8" s="54">
        <v>240</v>
      </c>
      <c r="AC8" s="54">
        <v>240</v>
      </c>
      <c r="AD8" s="54">
        <v>240</v>
      </c>
      <c r="AE8" s="54">
        <v>240</v>
      </c>
      <c r="AF8" s="54">
        <v>240</v>
      </c>
      <c r="AG8" s="54">
        <v>240</v>
      </c>
      <c r="AH8" s="54">
        <v>240</v>
      </c>
      <c r="AI8" s="54">
        <v>240</v>
      </c>
      <c r="AJ8" s="54">
        <v>1</v>
      </c>
      <c r="AK8" s="54">
        <v>2</v>
      </c>
    </row>
    <row r="9" spans="1:37" x14ac:dyDescent="0.3">
      <c r="A9" s="77"/>
      <c r="B9" s="2" t="s">
        <v>7</v>
      </c>
      <c r="C9" s="36" t="s">
        <v>8</v>
      </c>
      <c r="D9" s="23">
        <f t="shared" si="4"/>
        <v>5</v>
      </c>
      <c r="E9" s="43">
        <f t="shared" si="5"/>
        <v>120</v>
      </c>
      <c r="F9" s="34">
        <v>30</v>
      </c>
      <c r="G9" s="32">
        <v>45</v>
      </c>
      <c r="H9" s="32">
        <v>5</v>
      </c>
      <c r="I9" s="32">
        <v>45</v>
      </c>
      <c r="J9" s="32">
        <v>30</v>
      </c>
      <c r="K9" s="32">
        <v>30</v>
      </c>
      <c r="L9" s="32">
        <v>60</v>
      </c>
      <c r="M9" s="32">
        <v>100</v>
      </c>
      <c r="N9" s="32">
        <v>30</v>
      </c>
      <c r="O9" s="32">
        <v>15</v>
      </c>
      <c r="P9" s="32">
        <v>5</v>
      </c>
      <c r="Q9" s="32">
        <v>120</v>
      </c>
      <c r="R9" s="32">
        <v>60</v>
      </c>
      <c r="S9" s="32">
        <v>30</v>
      </c>
      <c r="T9" s="32">
        <v>15</v>
      </c>
      <c r="U9" s="32">
        <v>5</v>
      </c>
      <c r="V9" s="32">
        <v>30</v>
      </c>
      <c r="W9" s="32">
        <v>5</v>
      </c>
      <c r="X9" s="32">
        <v>30</v>
      </c>
      <c r="Y9" s="32">
        <v>5</v>
      </c>
      <c r="Z9" s="32">
        <v>30</v>
      </c>
      <c r="AA9" s="32">
        <v>5</v>
      </c>
      <c r="AB9" s="32">
        <v>30</v>
      </c>
      <c r="AC9" s="32">
        <v>5</v>
      </c>
      <c r="AD9" s="32">
        <v>30</v>
      </c>
      <c r="AE9" s="32">
        <v>5</v>
      </c>
      <c r="AF9" s="32">
        <v>30</v>
      </c>
      <c r="AG9" s="32">
        <v>5</v>
      </c>
      <c r="AH9" s="32">
        <v>30</v>
      </c>
      <c r="AI9" s="32">
        <v>5</v>
      </c>
      <c r="AJ9" s="32"/>
      <c r="AK9" s="32">
        <v>30</v>
      </c>
    </row>
    <row r="10" spans="1:37" s="49" customFormat="1" x14ac:dyDescent="0.3">
      <c r="A10" s="77"/>
      <c r="B10" s="49" t="s">
        <v>9</v>
      </c>
      <c r="C10" s="50" t="s">
        <v>68</v>
      </c>
      <c r="D10" s="51">
        <f t="shared" si="4"/>
        <v>0</v>
      </c>
      <c r="E10" s="52">
        <f t="shared" si="5"/>
        <v>128</v>
      </c>
      <c r="F10" s="53">
        <v>26</v>
      </c>
      <c r="G10" s="54">
        <v>26</v>
      </c>
      <c r="H10" s="54">
        <v>16</v>
      </c>
      <c r="I10" s="54">
        <v>26</v>
      </c>
      <c r="J10" s="54">
        <v>26</v>
      </c>
      <c r="K10" s="54">
        <v>8</v>
      </c>
      <c r="L10" s="54">
        <v>52</v>
      </c>
      <c r="M10" s="54">
        <v>52</v>
      </c>
      <c r="N10" s="54">
        <v>52</v>
      </c>
      <c r="O10" s="54">
        <v>62</v>
      </c>
      <c r="P10" s="54">
        <v>70</v>
      </c>
      <c r="Q10" s="54">
        <v>64</v>
      </c>
      <c r="R10" s="59">
        <v>64</v>
      </c>
      <c r="S10" s="60">
        <v>90</v>
      </c>
      <c r="T10" s="54">
        <v>104</v>
      </c>
      <c r="U10" s="54">
        <v>106</v>
      </c>
      <c r="V10" s="54">
        <v>52</v>
      </c>
      <c r="W10" s="54">
        <v>52</v>
      </c>
      <c r="X10" s="54">
        <v>106</v>
      </c>
      <c r="Y10" s="54">
        <v>106</v>
      </c>
      <c r="Z10" s="54">
        <v>26</v>
      </c>
      <c r="AA10" s="54">
        <v>26</v>
      </c>
      <c r="AB10" s="54">
        <v>52</v>
      </c>
      <c r="AC10" s="54">
        <v>52</v>
      </c>
      <c r="AD10" s="54">
        <v>64</v>
      </c>
      <c r="AE10" s="54">
        <v>104</v>
      </c>
      <c r="AF10" s="54">
        <v>104</v>
      </c>
      <c r="AG10" s="54">
        <v>128</v>
      </c>
      <c r="AH10" s="54">
        <v>44</v>
      </c>
      <c r="AI10" s="54">
        <v>64</v>
      </c>
      <c r="AJ10" s="54">
        <v>128</v>
      </c>
      <c r="AK10" s="54">
        <v>0</v>
      </c>
    </row>
    <row r="11" spans="1:37" x14ac:dyDescent="0.3">
      <c r="A11" s="77"/>
      <c r="B11" s="1" t="s">
        <v>65</v>
      </c>
      <c r="C11" s="37" t="s">
        <v>85</v>
      </c>
      <c r="D11" s="23">
        <f t="shared" si="4"/>
        <v>0</v>
      </c>
      <c r="E11" s="43">
        <f t="shared" si="5"/>
        <v>1</v>
      </c>
      <c r="F11" s="34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32">
        <v>0.5</v>
      </c>
      <c r="W11" s="32">
        <v>0.5</v>
      </c>
      <c r="X11" s="32">
        <v>0.5</v>
      </c>
      <c r="Y11" s="32">
        <v>0.5</v>
      </c>
      <c r="Z11" s="32">
        <v>0.25</v>
      </c>
      <c r="AA11" s="32">
        <v>0.25</v>
      </c>
      <c r="AB11" s="32">
        <v>0.25</v>
      </c>
      <c r="AC11" s="32">
        <v>0.25</v>
      </c>
      <c r="AD11" s="32">
        <v>0.5</v>
      </c>
      <c r="AE11" s="32">
        <v>0.5</v>
      </c>
      <c r="AF11" s="32">
        <v>0.5</v>
      </c>
      <c r="AG11" s="32">
        <v>0.5</v>
      </c>
      <c r="AH11" s="32">
        <v>0.25</v>
      </c>
      <c r="AI11" s="32">
        <v>0.25</v>
      </c>
      <c r="AJ11" s="32">
        <v>0.25</v>
      </c>
      <c r="AK11" s="32">
        <v>0</v>
      </c>
    </row>
    <row r="12" spans="1:37" s="2" customFormat="1" ht="15" thickBot="1" x14ac:dyDescent="0.35">
      <c r="A12" s="78"/>
      <c r="B12" s="29" t="s">
        <v>86</v>
      </c>
      <c r="C12" s="38" t="s">
        <v>78</v>
      </c>
      <c r="D12" s="44">
        <f t="shared" si="4"/>
        <v>4</v>
      </c>
      <c r="E12" s="45">
        <f t="shared" si="5"/>
        <v>16</v>
      </c>
      <c r="F12" s="62">
        <v>16</v>
      </c>
      <c r="G12" s="63">
        <v>16</v>
      </c>
      <c r="H12" s="63">
        <v>16</v>
      </c>
      <c r="I12" s="63">
        <v>16</v>
      </c>
      <c r="J12" s="63">
        <v>16</v>
      </c>
      <c r="K12" s="63">
        <v>16</v>
      </c>
      <c r="L12" s="63">
        <v>16</v>
      </c>
      <c r="M12" s="63">
        <v>16</v>
      </c>
      <c r="N12" s="63">
        <v>16</v>
      </c>
      <c r="O12" s="63">
        <v>8</v>
      </c>
      <c r="P12" s="63">
        <v>4</v>
      </c>
      <c r="Q12" s="63">
        <v>8</v>
      </c>
      <c r="R12" s="63">
        <v>16</v>
      </c>
      <c r="S12" s="63">
        <v>8</v>
      </c>
      <c r="T12" s="63">
        <v>8</v>
      </c>
      <c r="U12" s="63">
        <v>8</v>
      </c>
      <c r="V12" s="63">
        <v>8</v>
      </c>
      <c r="W12" s="63">
        <v>8</v>
      </c>
      <c r="X12" s="63">
        <v>4</v>
      </c>
      <c r="Y12" s="63">
        <v>4</v>
      </c>
      <c r="Z12" s="63">
        <v>4</v>
      </c>
      <c r="AA12" s="63">
        <v>4</v>
      </c>
      <c r="AB12" s="63">
        <v>4</v>
      </c>
      <c r="AC12" s="63">
        <v>4</v>
      </c>
      <c r="AD12" s="63">
        <v>8</v>
      </c>
      <c r="AE12" s="63">
        <v>4</v>
      </c>
      <c r="AF12" s="63">
        <v>4</v>
      </c>
      <c r="AG12" s="63">
        <v>4</v>
      </c>
      <c r="AH12" s="63">
        <v>4</v>
      </c>
      <c r="AI12" s="63">
        <v>4</v>
      </c>
      <c r="AJ12" s="63">
        <v>4</v>
      </c>
      <c r="AK12" s="63">
        <v>16</v>
      </c>
    </row>
    <row r="13" spans="1:37" s="15" customFormat="1" x14ac:dyDescent="0.3">
      <c r="A13" s="76" t="s">
        <v>19</v>
      </c>
      <c r="B13" s="6" t="s">
        <v>94</v>
      </c>
      <c r="C13" s="35" t="s">
        <v>6</v>
      </c>
      <c r="D13" s="46">
        <f>MIN(F13:AK13)</f>
        <v>320</v>
      </c>
      <c r="E13" s="47">
        <f>MAX(F13:AK13)</f>
        <v>1280</v>
      </c>
      <c r="F13" s="14">
        <f t="shared" ref="F13:AI13" si="6">F7*F5</f>
        <v>1280</v>
      </c>
      <c r="G13" s="14">
        <f t="shared" si="6"/>
        <v>1280</v>
      </c>
      <c r="H13" s="14">
        <f t="shared" si="6"/>
        <v>1280</v>
      </c>
      <c r="I13" s="14">
        <f t="shared" si="6"/>
        <v>1280</v>
      </c>
      <c r="J13" s="14">
        <f t="shared" si="6"/>
        <v>1280</v>
      </c>
      <c r="K13" s="14">
        <f t="shared" si="6"/>
        <v>1280</v>
      </c>
      <c r="L13" s="14">
        <f t="shared" si="6"/>
        <v>640</v>
      </c>
      <c r="M13" s="14">
        <f t="shared" si="6"/>
        <v>640</v>
      </c>
      <c r="N13" s="14">
        <f t="shared" si="6"/>
        <v>640</v>
      </c>
      <c r="O13" s="14">
        <f t="shared" si="6"/>
        <v>640</v>
      </c>
      <c r="P13" s="14">
        <f t="shared" si="6"/>
        <v>640</v>
      </c>
      <c r="Q13" s="14">
        <f t="shared" si="6"/>
        <v>320</v>
      </c>
      <c r="R13" s="14">
        <f t="shared" si="6"/>
        <v>320</v>
      </c>
      <c r="S13" s="14">
        <f t="shared" si="6"/>
        <v>320</v>
      </c>
      <c r="T13" s="14">
        <f t="shared" si="6"/>
        <v>320</v>
      </c>
      <c r="U13" s="14">
        <f t="shared" si="6"/>
        <v>320</v>
      </c>
      <c r="V13" s="14">
        <f t="shared" si="6"/>
        <v>320</v>
      </c>
      <c r="W13" s="14">
        <f t="shared" si="6"/>
        <v>320</v>
      </c>
      <c r="X13" s="14">
        <f t="shared" si="6"/>
        <v>320</v>
      </c>
      <c r="Y13" s="14">
        <f t="shared" si="6"/>
        <v>320</v>
      </c>
      <c r="Z13" s="14">
        <f t="shared" si="6"/>
        <v>320</v>
      </c>
      <c r="AA13" s="14">
        <f t="shared" si="6"/>
        <v>320</v>
      </c>
      <c r="AB13" s="14">
        <f t="shared" si="6"/>
        <v>320</v>
      </c>
      <c r="AC13" s="14">
        <f t="shared" si="6"/>
        <v>320</v>
      </c>
      <c r="AD13" s="14">
        <f t="shared" si="6"/>
        <v>320</v>
      </c>
      <c r="AE13" s="14">
        <f t="shared" si="6"/>
        <v>320</v>
      </c>
      <c r="AF13" s="14">
        <f t="shared" si="6"/>
        <v>320</v>
      </c>
      <c r="AG13" s="14">
        <f t="shared" si="6"/>
        <v>320</v>
      </c>
      <c r="AH13" s="14">
        <f t="shared" si="6"/>
        <v>320</v>
      </c>
      <c r="AI13" s="14">
        <f t="shared" si="6"/>
        <v>320</v>
      </c>
      <c r="AJ13" s="14"/>
      <c r="AK13" s="27"/>
    </row>
    <row r="14" spans="1:37" s="15" customFormat="1" x14ac:dyDescent="0.3">
      <c r="A14" s="77"/>
      <c r="B14" s="2" t="s">
        <v>95</v>
      </c>
      <c r="C14" s="36" t="s">
        <v>6</v>
      </c>
      <c r="D14" s="23">
        <f t="shared" ref="D14" si="7">MIN(F14:AK14)</f>
        <v>240</v>
      </c>
      <c r="E14" s="43">
        <f t="shared" ref="E14" si="8">MAX(F14:AK14)</f>
        <v>960</v>
      </c>
      <c r="F14" s="15">
        <f t="shared" ref="F14:AI14" si="9">F8*F6</f>
        <v>720</v>
      </c>
      <c r="G14" s="15">
        <f t="shared" si="9"/>
        <v>720</v>
      </c>
      <c r="H14" s="15">
        <f t="shared" si="9"/>
        <v>720</v>
      </c>
      <c r="I14" s="15">
        <f t="shared" si="9"/>
        <v>720</v>
      </c>
      <c r="J14" s="15">
        <f t="shared" si="9"/>
        <v>960</v>
      </c>
      <c r="K14" s="15">
        <f t="shared" si="9"/>
        <v>960</v>
      </c>
      <c r="L14" s="15">
        <f t="shared" si="9"/>
        <v>480</v>
      </c>
      <c r="M14" s="15">
        <f t="shared" si="9"/>
        <v>480</v>
      </c>
      <c r="N14" s="15">
        <f>N8*N6</f>
        <v>480</v>
      </c>
      <c r="O14" s="15">
        <f t="shared" si="9"/>
        <v>480</v>
      </c>
      <c r="P14" s="15">
        <f t="shared" si="9"/>
        <v>480</v>
      </c>
      <c r="Q14" s="15">
        <f t="shared" si="9"/>
        <v>240</v>
      </c>
      <c r="R14" s="15">
        <f t="shared" si="9"/>
        <v>240</v>
      </c>
      <c r="S14" s="15">
        <f t="shared" si="9"/>
        <v>240</v>
      </c>
      <c r="T14" s="15">
        <f t="shared" si="9"/>
        <v>240</v>
      </c>
      <c r="U14" s="15">
        <f t="shared" si="9"/>
        <v>240</v>
      </c>
      <c r="V14" s="15">
        <f t="shared" si="9"/>
        <v>240</v>
      </c>
      <c r="W14" s="15">
        <f t="shared" si="9"/>
        <v>240</v>
      </c>
      <c r="X14" s="15">
        <f t="shared" si="9"/>
        <v>240</v>
      </c>
      <c r="Y14" s="15">
        <f t="shared" si="9"/>
        <v>240</v>
      </c>
      <c r="Z14" s="15">
        <f t="shared" si="9"/>
        <v>240</v>
      </c>
      <c r="AA14" s="15">
        <f t="shared" si="9"/>
        <v>240</v>
      </c>
      <c r="AB14" s="15">
        <f t="shared" si="9"/>
        <v>240</v>
      </c>
      <c r="AC14" s="15">
        <f t="shared" si="9"/>
        <v>240</v>
      </c>
      <c r="AD14" s="15">
        <f t="shared" si="9"/>
        <v>240</v>
      </c>
      <c r="AE14" s="15">
        <f t="shared" si="9"/>
        <v>240</v>
      </c>
      <c r="AF14" s="15">
        <f t="shared" si="9"/>
        <v>240</v>
      </c>
      <c r="AG14" s="15">
        <f t="shared" si="9"/>
        <v>240</v>
      </c>
      <c r="AH14" s="15">
        <f t="shared" si="9"/>
        <v>240</v>
      </c>
      <c r="AI14" s="15">
        <f t="shared" si="9"/>
        <v>240</v>
      </c>
      <c r="AK14" s="28"/>
    </row>
    <row r="15" spans="1:37" s="2" customFormat="1" x14ac:dyDescent="0.3">
      <c r="A15" s="77"/>
      <c r="B15" s="2" t="s">
        <v>43</v>
      </c>
      <c r="C15" s="36" t="s">
        <v>42</v>
      </c>
      <c r="D15" s="23">
        <f>MIN(F15:AK15)</f>
        <v>6.2333333333333343</v>
      </c>
      <c r="E15" s="43">
        <f>MAX(F15:AK15)</f>
        <v>197.9</v>
      </c>
      <c r="F15" s="9">
        <f>1000/F9-CONSTANTS!$C$5</f>
        <v>31.233333333333334</v>
      </c>
      <c r="G15" s="9">
        <f>1000/G9-CONSTANTS!$C$5</f>
        <v>20.12222222222222</v>
      </c>
      <c r="H15" s="9">
        <f>1000/H9-CONSTANTS!$C$5</f>
        <v>197.9</v>
      </c>
      <c r="I15" s="9">
        <f>1000/I9-CONSTANTS!$C$5</f>
        <v>20.12222222222222</v>
      </c>
      <c r="J15" s="9">
        <f>1000/J9-CONSTANTS!$C$5</f>
        <v>31.233333333333334</v>
      </c>
      <c r="K15" s="9">
        <f>1000/K9-CONSTANTS!$C$5</f>
        <v>31.233333333333334</v>
      </c>
      <c r="L15" s="9">
        <f>1000/L9-CONSTANTS!$C$5</f>
        <v>14.566666666666668</v>
      </c>
      <c r="M15" s="9">
        <f>1000/M9-CONSTANTS!$C$5</f>
        <v>7.9</v>
      </c>
      <c r="N15" s="9">
        <f>1000/N9-CONSTANTS!$C$5</f>
        <v>31.233333333333334</v>
      </c>
      <c r="O15" s="9">
        <f>1000/O9-CONSTANTS!$C$5</f>
        <v>64.566666666666677</v>
      </c>
      <c r="P15" s="9">
        <f>1000/P9-CONSTANTS!$C$5</f>
        <v>197.9</v>
      </c>
      <c r="Q15" s="9">
        <f>1000/Q9-CONSTANTS!$C$5</f>
        <v>6.2333333333333343</v>
      </c>
      <c r="R15" s="9">
        <f>1000/R9-CONSTANTS!$C$5</f>
        <v>14.566666666666668</v>
      </c>
      <c r="S15" s="9">
        <f>1000/S9-CONSTANTS!$C$5</f>
        <v>31.233333333333334</v>
      </c>
      <c r="T15" s="9">
        <f>1000/T9-CONSTANTS!$C$5</f>
        <v>64.566666666666677</v>
      </c>
      <c r="U15" s="9">
        <f>1000/U9-CONSTANTS!$C$5</f>
        <v>197.9</v>
      </c>
      <c r="V15" s="9">
        <f>1000/V9-CONSTANTS!$C$5</f>
        <v>31.233333333333334</v>
      </c>
      <c r="W15" s="9">
        <f>1000/W9-CONSTANTS!$C$5</f>
        <v>197.9</v>
      </c>
      <c r="X15" s="9">
        <f>1000/X9-CONSTANTS!$C$5</f>
        <v>31.233333333333334</v>
      </c>
      <c r="Y15" s="9">
        <f>1000/Y9-CONSTANTS!$C$5</f>
        <v>197.9</v>
      </c>
      <c r="Z15" s="9">
        <f>1000/Z9-CONSTANTS!$C$5</f>
        <v>31.233333333333334</v>
      </c>
      <c r="AA15" s="9">
        <f>1000/AA9-CONSTANTS!$C$5</f>
        <v>197.9</v>
      </c>
      <c r="AB15" s="9">
        <f>1000/AB9-CONSTANTS!$C$5</f>
        <v>31.233333333333334</v>
      </c>
      <c r="AC15" s="9">
        <f>1000/AC9-CONSTANTS!$C$5</f>
        <v>197.9</v>
      </c>
      <c r="AD15" s="9">
        <f>1000/AD9-CONSTANTS!$C$5</f>
        <v>31.233333333333334</v>
      </c>
      <c r="AE15" s="9">
        <f>1000/AE9-CONSTANTS!$C$5</f>
        <v>197.9</v>
      </c>
      <c r="AF15" s="9">
        <f>1000/AF9-CONSTANTS!$C$5</f>
        <v>31.233333333333334</v>
      </c>
      <c r="AG15" s="9">
        <f>1000/AG9-CONSTANTS!$C$5</f>
        <v>197.9</v>
      </c>
      <c r="AH15" s="9">
        <f>1000/AH9-CONSTANTS!$C$5</f>
        <v>31.233333333333334</v>
      </c>
      <c r="AI15" s="9">
        <f>1000/AI9-CONSTANTS!$C$5</f>
        <v>197.9</v>
      </c>
      <c r="AJ15" s="9"/>
      <c r="AK15" s="10"/>
    </row>
    <row r="16" spans="1:37" s="2" customFormat="1" x14ac:dyDescent="0.3">
      <c r="A16" s="77"/>
      <c r="B16" s="2" t="s">
        <v>128</v>
      </c>
      <c r="C16" s="36" t="s">
        <v>6</v>
      </c>
      <c r="D16" s="23">
        <f>MIN(F16:AK16)</f>
        <v>274</v>
      </c>
      <c r="E16" s="43">
        <f>MAX(F16:AK16)</f>
        <v>8707</v>
      </c>
      <c r="F16" s="11">
        <f>FLOOR(F15*CONSTANTS!$C$3*2/1000,1)</f>
        <v>1374</v>
      </c>
      <c r="G16" s="11">
        <f>FLOOR(G15*CONSTANTS!$C$3*2/1000,1)</f>
        <v>885</v>
      </c>
      <c r="H16" s="11">
        <f>FLOOR(H15*CONSTANTS!$C$3*2/1000,1)</f>
        <v>8707</v>
      </c>
      <c r="I16" s="11">
        <f>FLOOR(I15*CONSTANTS!$C$3*2/1000,1)</f>
        <v>885</v>
      </c>
      <c r="J16" s="11">
        <f>FLOOR(J15*CONSTANTS!$C$3*2/1000,1)</f>
        <v>1374</v>
      </c>
      <c r="K16" s="11">
        <f>FLOOR(K15*CONSTANTS!$C$3*2/1000,1)</f>
        <v>1374</v>
      </c>
      <c r="L16" s="11">
        <f>FLOOR(L15*CONSTANTS!$C$3*2/1000,1)</f>
        <v>640</v>
      </c>
      <c r="M16" s="11">
        <f>FLOOR(M15*CONSTANTS!$C$3*2/1000,1)</f>
        <v>347</v>
      </c>
      <c r="N16" s="11">
        <f>FLOOR(N15*CONSTANTS!$C$3*2/1000,1)</f>
        <v>1374</v>
      </c>
      <c r="O16" s="11">
        <f>FLOOR(O15*CONSTANTS!$C$3*2/1000,1)</f>
        <v>2840</v>
      </c>
      <c r="P16" s="11">
        <f>FLOOR(P15*CONSTANTS!$C$3*2/1000,1)</f>
        <v>8707</v>
      </c>
      <c r="Q16" s="11">
        <f>FLOOR(Q15*CONSTANTS!$C$3*2/1000,1)</f>
        <v>274</v>
      </c>
      <c r="R16" s="11">
        <f>FLOOR(R15*CONSTANTS!$C$3*2/1000,1)</f>
        <v>640</v>
      </c>
      <c r="S16" s="11">
        <f>FLOOR(S15*CONSTANTS!$C$3*2/1000,1)</f>
        <v>1374</v>
      </c>
      <c r="T16" s="11">
        <f>FLOOR(T15*CONSTANTS!$C$3*2/1000,1)</f>
        <v>2840</v>
      </c>
      <c r="U16" s="11">
        <f>FLOOR(U15*CONSTANTS!$C$3*2/1000,1)</f>
        <v>8707</v>
      </c>
      <c r="V16" s="11">
        <f>FLOOR(V15*CONSTANTS!$C$3*2/1000,1)</f>
        <v>1374</v>
      </c>
      <c r="W16" s="11">
        <f>FLOOR(W15*CONSTANTS!$C$3*2/1000,1)</f>
        <v>8707</v>
      </c>
      <c r="X16" s="11">
        <f>FLOOR(X15*CONSTANTS!$C$3*2/1000,1)</f>
        <v>1374</v>
      </c>
      <c r="Y16" s="11">
        <f>FLOOR(Y15*CONSTANTS!$C$3*2/1000,1)</f>
        <v>8707</v>
      </c>
      <c r="Z16" s="11">
        <f>FLOOR(Z15*CONSTANTS!$C$3*2/1000,1)</f>
        <v>1374</v>
      </c>
      <c r="AA16" s="11">
        <f>FLOOR(AA15*CONSTANTS!$C$3*2/1000,1)</f>
        <v>8707</v>
      </c>
      <c r="AB16" s="11">
        <f>FLOOR(AB15*CONSTANTS!$C$3*2/1000,1)</f>
        <v>1374</v>
      </c>
      <c r="AC16" s="11">
        <f>FLOOR(AC15*CONSTANTS!$C$3*2/1000,1)</f>
        <v>8707</v>
      </c>
      <c r="AD16" s="11">
        <f>FLOOR(AD15*CONSTANTS!$C$3*2/1000,1)</f>
        <v>1374</v>
      </c>
      <c r="AE16" s="11">
        <f>FLOOR(AE15*CONSTANTS!$C$3*2/1000,1)</f>
        <v>8707</v>
      </c>
      <c r="AF16" s="11">
        <f>FLOOR(AF15*CONSTANTS!$C$3*2/1000,1)</f>
        <v>1374</v>
      </c>
      <c r="AG16" s="11">
        <f>FLOOR(AG15*CONSTANTS!$C$3*2/1000,1)</f>
        <v>8707</v>
      </c>
      <c r="AH16" s="11">
        <f>FLOOR(AH15*CONSTANTS!$C$3*2/1000,1)</f>
        <v>1374</v>
      </c>
      <c r="AI16" s="11">
        <f>FLOOR(AI15*CONSTANTS!$C$3*2/1000,1)</f>
        <v>8707</v>
      </c>
      <c r="AJ16" s="9"/>
      <c r="AK16" s="10"/>
    </row>
    <row r="17" spans="1:37" s="49" customFormat="1" x14ac:dyDescent="0.3">
      <c r="A17" s="77"/>
      <c r="B17" s="49" t="s">
        <v>11</v>
      </c>
      <c r="C17" s="50" t="s">
        <v>87</v>
      </c>
      <c r="D17" s="51">
        <f t="shared" ref="D17:D18" si="10">MIN(F17:AK17)</f>
        <v>4</v>
      </c>
      <c r="E17" s="52">
        <f t="shared" ref="E17:E18" si="11">MAX(F17:AK17)</f>
        <v>16</v>
      </c>
      <c r="F17" s="49">
        <f t="shared" ref="F17:AI17" si="12">F12/F11</f>
        <v>16</v>
      </c>
      <c r="G17" s="49">
        <f t="shared" si="12"/>
        <v>16</v>
      </c>
      <c r="H17" s="49">
        <f t="shared" si="12"/>
        <v>16</v>
      </c>
      <c r="I17" s="49">
        <f t="shared" si="12"/>
        <v>16</v>
      </c>
      <c r="J17" s="49">
        <f t="shared" si="12"/>
        <v>16</v>
      </c>
      <c r="K17" s="49">
        <f t="shared" si="12"/>
        <v>16</v>
      </c>
      <c r="L17" s="49">
        <f t="shared" si="12"/>
        <v>16</v>
      </c>
      <c r="M17" s="49">
        <f t="shared" si="12"/>
        <v>16</v>
      </c>
      <c r="N17" s="49">
        <f t="shared" si="12"/>
        <v>16</v>
      </c>
      <c r="O17" s="49">
        <f t="shared" si="12"/>
        <v>8</v>
      </c>
      <c r="P17" s="49">
        <f t="shared" si="12"/>
        <v>4</v>
      </c>
      <c r="Q17" s="49">
        <f t="shared" si="12"/>
        <v>8</v>
      </c>
      <c r="R17" s="49">
        <f t="shared" si="12"/>
        <v>16</v>
      </c>
      <c r="S17" s="49">
        <f t="shared" si="12"/>
        <v>8</v>
      </c>
      <c r="T17" s="49">
        <f t="shared" si="12"/>
        <v>8</v>
      </c>
      <c r="U17" s="49">
        <f t="shared" si="12"/>
        <v>8</v>
      </c>
      <c r="V17" s="49">
        <f t="shared" si="12"/>
        <v>16</v>
      </c>
      <c r="W17" s="49">
        <f t="shared" si="12"/>
        <v>16</v>
      </c>
      <c r="X17" s="49">
        <f t="shared" si="12"/>
        <v>8</v>
      </c>
      <c r="Y17" s="49">
        <f t="shared" si="12"/>
        <v>8</v>
      </c>
      <c r="Z17" s="49">
        <f t="shared" si="12"/>
        <v>16</v>
      </c>
      <c r="AA17" s="49">
        <f t="shared" si="12"/>
        <v>16</v>
      </c>
      <c r="AB17" s="49">
        <f t="shared" si="12"/>
        <v>16</v>
      </c>
      <c r="AC17" s="49">
        <f t="shared" si="12"/>
        <v>16</v>
      </c>
      <c r="AD17" s="49">
        <f t="shared" si="12"/>
        <v>16</v>
      </c>
      <c r="AE17" s="49">
        <f t="shared" si="12"/>
        <v>8</v>
      </c>
      <c r="AF17" s="49">
        <f t="shared" si="12"/>
        <v>8</v>
      </c>
      <c r="AG17" s="49">
        <f t="shared" si="12"/>
        <v>8</v>
      </c>
      <c r="AH17" s="49">
        <f t="shared" si="12"/>
        <v>16</v>
      </c>
      <c r="AI17" s="49">
        <f t="shared" si="12"/>
        <v>16</v>
      </c>
      <c r="AK17" s="61"/>
    </row>
    <row r="18" spans="1:37" s="2" customFormat="1" x14ac:dyDescent="0.3">
      <c r="A18" s="77"/>
      <c r="B18" s="2" t="s">
        <v>12</v>
      </c>
      <c r="C18" s="36" t="s">
        <v>10</v>
      </c>
      <c r="D18" s="23">
        <f t="shared" si="10"/>
        <v>17.032576195987652</v>
      </c>
      <c r="E18" s="43">
        <f t="shared" si="11"/>
        <v>2009.9609375</v>
      </c>
      <c r="F18" s="11">
        <f>(F15*1000000-CONSTANTS!$C$6*1000*2*F16)/(F7*F8)</f>
        <v>26.435908564814817</v>
      </c>
      <c r="G18" s="11">
        <f>(G15*1000000-CONSTANTS!$C$6*1000*2*G16)/(G7*G8)</f>
        <v>17.032576195987652</v>
      </c>
      <c r="H18" s="11">
        <f>(H15*1000000-CONSTANTS!$C$6*1000*2*H16)/(H7*H8)</f>
        <v>167.49674479166666</v>
      </c>
      <c r="I18" s="11">
        <f>(I15*1000000-CONSTANTS!$C$6*1000*2*I16)/(I7*I8)</f>
        <v>34.065152391975303</v>
      </c>
      <c r="J18" s="11">
        <f>(J15*1000000-CONSTANTS!$C$6*1000*2*J16)/(J7*J8)</f>
        <v>19.826931423611114</v>
      </c>
      <c r="K18" s="11">
        <f>(K15*1000000-CONSTANTS!$C$6*1000*2*K16)/(K7*K8)</f>
        <v>19.826931423611114</v>
      </c>
      <c r="L18" s="11">
        <f>(L15*1000000-CONSTANTS!$C$6*1000*2*L16)/(L7*L8)</f>
        <v>37.000868055555557</v>
      </c>
      <c r="M18" s="11">
        <f>(M15*1000000-CONSTANTS!$C$6*1000*2*M16)/(M7*M8)</f>
        <v>40.13671875</v>
      </c>
      <c r="N18" s="11">
        <f>(N15*1000000-CONSTANTS!$C$6*1000*2*N16)/(N7*N8)</f>
        <v>79.307725694444457</v>
      </c>
      <c r="O18" s="11">
        <f>(O15*1000000-CONSTANTS!$C$6*1000*2*O16)/(O7*O8)</f>
        <v>163.9539930555556</v>
      </c>
      <c r="P18" s="11">
        <f>(P15*1000000-CONSTANTS!$C$6*1000*2*P16)/(P7*P8)</f>
        <v>502.490234375</v>
      </c>
      <c r="Q18" s="11">
        <f>(Q15*1000000-CONSTANTS!$C$6*1000*2*Q16)/(Q7*Q8)</f>
        <v>63.324652777777786</v>
      </c>
      <c r="R18" s="11">
        <f>(R15*1000000-CONSTANTS!$C$6*1000*2*R16)/(R7*R8)</f>
        <v>148.00347222222223</v>
      </c>
      <c r="S18" s="11">
        <f>(S15*1000000-CONSTANTS!$C$6*1000*2*S16)/(S7*S8)</f>
        <v>317.23090277777783</v>
      </c>
      <c r="T18" s="11">
        <f>(T15*1000000-CONSTANTS!$C$6*1000*2*T16)/(T7*T8)</f>
        <v>655.8159722222224</v>
      </c>
      <c r="U18" s="11">
        <f>(U15*1000000-CONSTANTS!$C$6*1000*2*U16)/(U7*U8)</f>
        <v>2009.9609375</v>
      </c>
      <c r="V18" s="11">
        <f>(V15*1000000-CONSTANTS!$C$6*1000*2*V16)/(V7*V8)</f>
        <v>317.23090277777783</v>
      </c>
      <c r="W18" s="11">
        <f>(W15*1000000-CONSTANTS!$C$6*1000*2*W16)/(W7*W8)</f>
        <v>2009.9609375</v>
      </c>
      <c r="X18" s="11">
        <f>(X15*1000000-CONSTANTS!$C$6*1000*2*X16)/(X7*X8)</f>
        <v>317.23090277777783</v>
      </c>
      <c r="Y18" s="11">
        <f>(Y15*1000000-CONSTANTS!$C$6*1000*2*Y16)/(Y7*Y8)</f>
        <v>2009.9609375</v>
      </c>
      <c r="Z18" s="11">
        <f>(Z15*1000000-CONSTANTS!$C$6*1000*2*Z16)/(Z7*Z8)</f>
        <v>317.23090277777783</v>
      </c>
      <c r="AA18" s="11">
        <f>(AA15*1000000-CONSTANTS!$C$6*1000*2*AA16)/(AA7*AA8)</f>
        <v>2009.9609375</v>
      </c>
      <c r="AB18" s="11">
        <f>(AB15*1000000-CONSTANTS!$C$6*1000*2*AB16)/(AB7*AB8)</f>
        <v>317.23090277777783</v>
      </c>
      <c r="AC18" s="11">
        <f>(AC15*1000000-CONSTANTS!$C$6*1000*2*AC16)/(AC7*AC8)</f>
        <v>2009.9609375</v>
      </c>
      <c r="AD18" s="11">
        <f>(AD15*1000000-CONSTANTS!$C$6*1000*2*AD16)/(AD7*AD8)</f>
        <v>317.23090277777783</v>
      </c>
      <c r="AE18" s="11">
        <f>(AE15*1000000-CONSTANTS!$C$6*1000*2*AE16)/(AE7*AE8)</f>
        <v>2009.9609375</v>
      </c>
      <c r="AF18" s="11">
        <f>(AF15*1000000-CONSTANTS!$C$6*1000*2*AF16)/(AF7*AF8)</f>
        <v>317.23090277777783</v>
      </c>
      <c r="AG18" s="11">
        <f>(AG15*1000000-CONSTANTS!$C$6*1000*2*AG16)/(AG7*AG8)</f>
        <v>2009.9609375</v>
      </c>
      <c r="AH18" s="11">
        <f>(AH15*1000000-CONSTANTS!$C$6*1000*2*AH16)/(AH7*AH8)</f>
        <v>317.23090277777783</v>
      </c>
      <c r="AI18" s="11">
        <f>(AI15*1000000-CONSTANTS!$C$6*1000*2*AI16)/(AI7*AI8)</f>
        <v>2009.9609375</v>
      </c>
      <c r="AJ18" s="11"/>
      <c r="AK18" s="16"/>
    </row>
    <row r="19" spans="1:37" s="2" customFormat="1" x14ac:dyDescent="0.3">
      <c r="A19" s="77"/>
      <c r="B19" s="2" t="s">
        <v>118</v>
      </c>
      <c r="C19" s="36" t="s">
        <v>10</v>
      </c>
      <c r="D19" s="24">
        <f>MIN(F19:AK19)</f>
        <v>8.5162880979938258</v>
      </c>
      <c r="E19" s="39">
        <f>MAX(F19:AK19)</f>
        <v>1004.98046875</v>
      </c>
      <c r="F19" s="11">
        <f>F18/2</f>
        <v>13.217954282407408</v>
      </c>
      <c r="G19" s="11">
        <f t="shared" ref="G19:AI19" si="13">G18/2</f>
        <v>8.5162880979938258</v>
      </c>
      <c r="H19" s="11">
        <f t="shared" si="13"/>
        <v>83.748372395833329</v>
      </c>
      <c r="I19" s="11">
        <f t="shared" si="13"/>
        <v>17.032576195987652</v>
      </c>
      <c r="J19" s="11">
        <f t="shared" si="13"/>
        <v>9.9134657118055571</v>
      </c>
      <c r="K19" s="11">
        <f t="shared" si="13"/>
        <v>9.9134657118055571</v>
      </c>
      <c r="L19" s="11">
        <f t="shared" si="13"/>
        <v>18.500434027777779</v>
      </c>
      <c r="M19" s="11">
        <f t="shared" si="13"/>
        <v>20.068359375</v>
      </c>
      <c r="N19" s="11">
        <f t="shared" si="13"/>
        <v>39.653862847222229</v>
      </c>
      <c r="O19" s="11">
        <f t="shared" si="13"/>
        <v>81.9769965277778</v>
      </c>
      <c r="P19" s="11">
        <f t="shared" si="13"/>
        <v>251.2451171875</v>
      </c>
      <c r="Q19" s="11">
        <f t="shared" si="13"/>
        <v>31.662326388888893</v>
      </c>
      <c r="R19" s="11">
        <f t="shared" si="13"/>
        <v>74.001736111111114</v>
      </c>
      <c r="S19" s="11">
        <f t="shared" si="13"/>
        <v>158.61545138888891</v>
      </c>
      <c r="T19" s="11">
        <f t="shared" si="13"/>
        <v>327.9079861111112</v>
      </c>
      <c r="U19" s="11">
        <f t="shared" si="13"/>
        <v>1004.98046875</v>
      </c>
      <c r="V19" s="11">
        <f t="shared" si="13"/>
        <v>158.61545138888891</v>
      </c>
      <c r="W19" s="11">
        <f t="shared" si="13"/>
        <v>1004.98046875</v>
      </c>
      <c r="X19" s="11">
        <f t="shared" si="13"/>
        <v>158.61545138888891</v>
      </c>
      <c r="Y19" s="11">
        <f t="shared" si="13"/>
        <v>1004.98046875</v>
      </c>
      <c r="Z19" s="11">
        <f t="shared" si="13"/>
        <v>158.61545138888891</v>
      </c>
      <c r="AA19" s="11">
        <f t="shared" si="13"/>
        <v>1004.98046875</v>
      </c>
      <c r="AB19" s="11">
        <f t="shared" si="13"/>
        <v>158.61545138888891</v>
      </c>
      <c r="AC19" s="11">
        <f t="shared" si="13"/>
        <v>1004.98046875</v>
      </c>
      <c r="AD19" s="11">
        <f t="shared" si="13"/>
        <v>158.61545138888891</v>
      </c>
      <c r="AE19" s="11">
        <f t="shared" si="13"/>
        <v>1004.98046875</v>
      </c>
      <c r="AF19" s="11">
        <f t="shared" si="13"/>
        <v>158.61545138888891</v>
      </c>
      <c r="AG19" s="11">
        <f t="shared" si="13"/>
        <v>1004.98046875</v>
      </c>
      <c r="AH19" s="11">
        <f t="shared" si="13"/>
        <v>158.61545138888891</v>
      </c>
      <c r="AI19" s="11">
        <f t="shared" si="13"/>
        <v>1004.98046875</v>
      </c>
      <c r="AJ19" s="11"/>
      <c r="AK19" s="16"/>
    </row>
    <row r="20" spans="1:37" s="2" customFormat="1" x14ac:dyDescent="0.3">
      <c r="A20" s="77"/>
      <c r="B20" s="2" t="s">
        <v>117</v>
      </c>
      <c r="C20" s="36" t="s">
        <v>10</v>
      </c>
      <c r="D20" s="24">
        <f t="shared" ref="D20:D33" si="14">MIN(F20:AK20)</f>
        <v>34.065152391975303</v>
      </c>
      <c r="E20" s="39">
        <f t="shared" ref="E20:E33" si="15">MAX(F20:AK20)</f>
        <v>4019.921875</v>
      </c>
      <c r="F20" s="11">
        <f>F18*2</f>
        <v>52.871817129629633</v>
      </c>
      <c r="G20" s="11">
        <f t="shared" ref="G20:AI20" si="16">G18*2</f>
        <v>34.065152391975303</v>
      </c>
      <c r="H20" s="11">
        <f t="shared" si="16"/>
        <v>334.99348958333331</v>
      </c>
      <c r="I20" s="11">
        <f t="shared" si="16"/>
        <v>68.130304783950606</v>
      </c>
      <c r="J20" s="11">
        <f t="shared" si="16"/>
        <v>39.653862847222229</v>
      </c>
      <c r="K20" s="11">
        <f t="shared" si="16"/>
        <v>39.653862847222229</v>
      </c>
      <c r="L20" s="11">
        <f t="shared" si="16"/>
        <v>74.001736111111114</v>
      </c>
      <c r="M20" s="11">
        <f t="shared" si="16"/>
        <v>80.2734375</v>
      </c>
      <c r="N20" s="11">
        <f t="shared" si="16"/>
        <v>158.61545138888891</v>
      </c>
      <c r="O20" s="11">
        <f t="shared" si="16"/>
        <v>327.9079861111112</v>
      </c>
      <c r="P20" s="11">
        <f t="shared" si="16"/>
        <v>1004.98046875</v>
      </c>
      <c r="Q20" s="11">
        <f t="shared" si="16"/>
        <v>126.64930555555557</v>
      </c>
      <c r="R20" s="11">
        <f t="shared" si="16"/>
        <v>296.00694444444446</v>
      </c>
      <c r="S20" s="11">
        <f t="shared" si="16"/>
        <v>634.46180555555566</v>
      </c>
      <c r="T20" s="11">
        <f t="shared" si="16"/>
        <v>1311.6319444444448</v>
      </c>
      <c r="U20" s="11">
        <f t="shared" si="16"/>
        <v>4019.921875</v>
      </c>
      <c r="V20" s="11">
        <f t="shared" si="16"/>
        <v>634.46180555555566</v>
      </c>
      <c r="W20" s="11">
        <f t="shared" si="16"/>
        <v>4019.921875</v>
      </c>
      <c r="X20" s="11">
        <f t="shared" si="16"/>
        <v>634.46180555555566</v>
      </c>
      <c r="Y20" s="11">
        <f t="shared" si="16"/>
        <v>4019.921875</v>
      </c>
      <c r="Z20" s="11">
        <f t="shared" si="16"/>
        <v>634.46180555555566</v>
      </c>
      <c r="AA20" s="11">
        <f t="shared" si="16"/>
        <v>4019.921875</v>
      </c>
      <c r="AB20" s="11">
        <f t="shared" si="16"/>
        <v>634.46180555555566</v>
      </c>
      <c r="AC20" s="11">
        <f t="shared" si="16"/>
        <v>4019.921875</v>
      </c>
      <c r="AD20" s="11">
        <f t="shared" si="16"/>
        <v>634.46180555555566</v>
      </c>
      <c r="AE20" s="11">
        <f t="shared" si="16"/>
        <v>4019.921875</v>
      </c>
      <c r="AF20" s="11">
        <f t="shared" si="16"/>
        <v>634.46180555555566</v>
      </c>
      <c r="AG20" s="11">
        <f t="shared" si="16"/>
        <v>4019.921875</v>
      </c>
      <c r="AH20" s="11">
        <f t="shared" si="16"/>
        <v>634.46180555555566</v>
      </c>
      <c r="AI20" s="11">
        <f t="shared" si="16"/>
        <v>4019.921875</v>
      </c>
      <c r="AJ20" s="11"/>
      <c r="AK20" s="16"/>
    </row>
    <row r="21" spans="1:37" s="2" customFormat="1" x14ac:dyDescent="0.3">
      <c r="A21" s="77"/>
      <c r="B21" s="2" t="s">
        <v>48</v>
      </c>
      <c r="C21" s="36" t="s">
        <v>6</v>
      </c>
      <c r="D21" s="24">
        <f t="shared" si="14"/>
        <v>0.69170138888888877</v>
      </c>
      <c r="E21" s="39">
        <f t="shared" si="15"/>
        <v>27.21125</v>
      </c>
      <c r="F21" s="12">
        <f>(2*CONSTANTS!$C$3*F15/1000)/F7</f>
        <v>1.0736458333333334</v>
      </c>
      <c r="G21" s="12">
        <f>(2*CONSTANTS!$C$3*G15/1000)/G7</f>
        <v>0.69170138888888877</v>
      </c>
      <c r="H21" s="12">
        <f>(2*CONSTANTS!$C$3*H15/1000)/H7</f>
        <v>6.8028124999999999</v>
      </c>
      <c r="I21" s="12">
        <f>(2*CONSTANTS!$C$3*I15/1000)/I7</f>
        <v>1.3834027777777775</v>
      </c>
      <c r="J21" s="12">
        <f>(2*CONSTANTS!$C$3*J15/1000)/J7</f>
        <v>1.0736458333333334</v>
      </c>
      <c r="K21" s="12">
        <f>(2*CONSTANTS!$C$3*K15/1000)/K7</f>
        <v>1.0736458333333334</v>
      </c>
      <c r="L21" s="12">
        <f>(2*CONSTANTS!$C$3*L15/1000)/L7</f>
        <v>1.0014583333333333</v>
      </c>
      <c r="M21" s="12">
        <f>(2*CONSTANTS!$C$3*M15/1000)/M7</f>
        <v>1.0862500000000002</v>
      </c>
      <c r="N21" s="12">
        <f>(2*CONSTANTS!$C$3*N15/1000)/N7</f>
        <v>2.1472916666666668</v>
      </c>
      <c r="O21" s="12">
        <f>(2*CONSTANTS!$C$3*O15/1000)/O7</f>
        <v>4.4389583333333338</v>
      </c>
      <c r="P21" s="12">
        <f>(2*CONSTANTS!$C$3*P15/1000)/P7</f>
        <v>13.605625</v>
      </c>
      <c r="Q21" s="12">
        <f>(2*CONSTANTS!$C$3*Q15/1000)/Q7</f>
        <v>0.85708333333333342</v>
      </c>
      <c r="R21" s="12">
        <f>(2*CONSTANTS!$C$3*R15/1000)/R7</f>
        <v>2.0029166666666667</v>
      </c>
      <c r="S21" s="12">
        <f>(2*CONSTANTS!$C$3*S15/1000)/S7</f>
        <v>4.2945833333333336</v>
      </c>
      <c r="T21" s="12">
        <f>(2*CONSTANTS!$C$3*T15/1000)/T7</f>
        <v>8.8779166666666676</v>
      </c>
      <c r="U21" s="12">
        <f>(2*CONSTANTS!$C$3*U15/1000)/U7</f>
        <v>27.21125</v>
      </c>
      <c r="V21" s="12">
        <f>(2*CONSTANTS!$C$3*V15/1000)/V7</f>
        <v>4.2945833333333336</v>
      </c>
      <c r="W21" s="12">
        <f>(2*CONSTANTS!$C$3*W15/1000)/W7</f>
        <v>27.21125</v>
      </c>
      <c r="X21" s="12">
        <f>(2*CONSTANTS!$C$3*X15/1000)/X7</f>
        <v>4.2945833333333336</v>
      </c>
      <c r="Y21" s="12">
        <f>(2*CONSTANTS!$C$3*Y15/1000)/Y7</f>
        <v>27.21125</v>
      </c>
      <c r="Z21" s="12">
        <f>(2*CONSTANTS!$C$3*Z15/1000)/Z7</f>
        <v>4.2945833333333336</v>
      </c>
      <c r="AA21" s="12">
        <f>(2*CONSTANTS!$C$3*AA15/1000)/AA7</f>
        <v>27.21125</v>
      </c>
      <c r="AB21" s="12">
        <f>(2*CONSTANTS!$C$3*AB15/1000)/AB7</f>
        <v>4.2945833333333336</v>
      </c>
      <c r="AC21" s="12">
        <f>(2*CONSTANTS!$C$3*AC15/1000)/AC7</f>
        <v>27.21125</v>
      </c>
      <c r="AD21" s="12">
        <f>(2*CONSTANTS!$C$3*AD15/1000)/AD7</f>
        <v>4.2945833333333336</v>
      </c>
      <c r="AE21" s="12">
        <f>(2*CONSTANTS!$C$3*AE15/1000)/AE7</f>
        <v>27.21125</v>
      </c>
      <c r="AF21" s="12">
        <f>(2*CONSTANTS!$C$3*AF15/1000)/AF7</f>
        <v>4.2945833333333336</v>
      </c>
      <c r="AG21" s="12">
        <f>(2*CONSTANTS!$C$3*AG15/1000)/AG7</f>
        <v>27.21125</v>
      </c>
      <c r="AH21" s="12">
        <f>(2*CONSTANTS!$C$3*AH15/1000)/AH7</f>
        <v>4.2945833333333336</v>
      </c>
      <c r="AI21" s="12">
        <f>(2*CONSTANTS!$C$3*AI15/1000)/AI7</f>
        <v>27.21125</v>
      </c>
      <c r="AJ21" s="12"/>
      <c r="AK21" s="13"/>
    </row>
    <row r="22" spans="1:37" s="2" customFormat="1" x14ac:dyDescent="0.3">
      <c r="A22" s="77"/>
      <c r="B22" s="2" t="s">
        <v>71</v>
      </c>
      <c r="C22" s="36" t="s">
        <v>6</v>
      </c>
      <c r="D22" s="23">
        <f t="shared" si="14"/>
        <v>2</v>
      </c>
      <c r="E22" s="43">
        <f t="shared" si="15"/>
        <v>39</v>
      </c>
      <c r="F22" s="11">
        <f>_xlfn.CEILING.MATH(F20/(F10/F11),1)</f>
        <v>3</v>
      </c>
      <c r="G22" s="11">
        <f t="shared" ref="G22:AI22" si="17">_xlfn.CEILING.MATH(G20/(G10/G11),1)</f>
        <v>2</v>
      </c>
      <c r="H22" s="11">
        <f t="shared" si="17"/>
        <v>21</v>
      </c>
      <c r="I22" s="11">
        <f t="shared" si="17"/>
        <v>3</v>
      </c>
      <c r="J22" s="11">
        <f t="shared" si="17"/>
        <v>2</v>
      </c>
      <c r="K22" s="11">
        <f t="shared" si="17"/>
        <v>5</v>
      </c>
      <c r="L22" s="11">
        <f t="shared" si="17"/>
        <v>2</v>
      </c>
      <c r="M22" s="11">
        <f t="shared" si="17"/>
        <v>2</v>
      </c>
      <c r="N22" s="11">
        <f t="shared" si="17"/>
        <v>4</v>
      </c>
      <c r="O22" s="11">
        <f t="shared" si="17"/>
        <v>6</v>
      </c>
      <c r="P22" s="11">
        <f t="shared" si="17"/>
        <v>15</v>
      </c>
      <c r="Q22" s="11">
        <f t="shared" si="17"/>
        <v>2</v>
      </c>
      <c r="R22" s="11">
        <f t="shared" si="17"/>
        <v>5</v>
      </c>
      <c r="S22" s="11">
        <f t="shared" si="17"/>
        <v>8</v>
      </c>
      <c r="T22" s="11">
        <f t="shared" si="17"/>
        <v>13</v>
      </c>
      <c r="U22" s="11">
        <f t="shared" si="17"/>
        <v>38</v>
      </c>
      <c r="V22" s="11">
        <f t="shared" si="17"/>
        <v>7</v>
      </c>
      <c r="W22" s="11">
        <f t="shared" si="17"/>
        <v>39</v>
      </c>
      <c r="X22" s="11">
        <f t="shared" si="17"/>
        <v>3</v>
      </c>
      <c r="Y22" s="11">
        <f t="shared" si="17"/>
        <v>19</v>
      </c>
      <c r="Z22" s="11">
        <f t="shared" si="17"/>
        <v>7</v>
      </c>
      <c r="AA22" s="11">
        <f t="shared" si="17"/>
        <v>39</v>
      </c>
      <c r="AB22" s="11">
        <f t="shared" si="17"/>
        <v>4</v>
      </c>
      <c r="AC22" s="11">
        <f t="shared" si="17"/>
        <v>20</v>
      </c>
      <c r="AD22" s="11">
        <f t="shared" si="17"/>
        <v>5</v>
      </c>
      <c r="AE22" s="11">
        <f t="shared" si="17"/>
        <v>20</v>
      </c>
      <c r="AF22" s="11">
        <f t="shared" si="17"/>
        <v>4</v>
      </c>
      <c r="AG22" s="11">
        <f t="shared" si="17"/>
        <v>16</v>
      </c>
      <c r="AH22" s="11">
        <f t="shared" si="17"/>
        <v>4</v>
      </c>
      <c r="AI22" s="11">
        <f t="shared" si="17"/>
        <v>16</v>
      </c>
      <c r="AJ22" s="11"/>
      <c r="AK22" s="16"/>
    </row>
    <row r="23" spans="1:37" s="70" customFormat="1" ht="15" thickBot="1" x14ac:dyDescent="0.35">
      <c r="A23" s="78"/>
      <c r="B23" s="64" t="s">
        <v>15</v>
      </c>
      <c r="C23" s="65" t="s">
        <v>14</v>
      </c>
      <c r="D23" s="66">
        <f t="shared" si="14"/>
        <v>128</v>
      </c>
      <c r="E23" s="67">
        <f t="shared" si="15"/>
        <v>1024</v>
      </c>
      <c r="F23" s="68">
        <f>F10*F17</f>
        <v>416</v>
      </c>
      <c r="G23" s="68">
        <f t="shared" ref="G23:AI23" si="18">G10*G17</f>
        <v>416</v>
      </c>
      <c r="H23" s="68">
        <f t="shared" si="18"/>
        <v>256</v>
      </c>
      <c r="I23" s="68">
        <f t="shared" si="18"/>
        <v>416</v>
      </c>
      <c r="J23" s="68">
        <f t="shared" si="18"/>
        <v>416</v>
      </c>
      <c r="K23" s="68">
        <f t="shared" si="18"/>
        <v>128</v>
      </c>
      <c r="L23" s="68">
        <f t="shared" si="18"/>
        <v>832</v>
      </c>
      <c r="M23" s="68">
        <f t="shared" si="18"/>
        <v>832</v>
      </c>
      <c r="N23" s="68">
        <f t="shared" si="18"/>
        <v>832</v>
      </c>
      <c r="O23" s="68">
        <f t="shared" si="18"/>
        <v>496</v>
      </c>
      <c r="P23" s="68">
        <f t="shared" si="18"/>
        <v>280</v>
      </c>
      <c r="Q23" s="68">
        <f t="shared" si="18"/>
        <v>512</v>
      </c>
      <c r="R23" s="68">
        <f t="shared" si="18"/>
        <v>1024</v>
      </c>
      <c r="S23" s="68">
        <f t="shared" si="18"/>
        <v>720</v>
      </c>
      <c r="T23" s="68">
        <f t="shared" si="18"/>
        <v>832</v>
      </c>
      <c r="U23" s="68">
        <f t="shared" si="18"/>
        <v>848</v>
      </c>
      <c r="V23" s="68">
        <f t="shared" si="18"/>
        <v>832</v>
      </c>
      <c r="W23" s="68">
        <f t="shared" si="18"/>
        <v>832</v>
      </c>
      <c r="X23" s="68">
        <f t="shared" si="18"/>
        <v>848</v>
      </c>
      <c r="Y23" s="68">
        <f t="shared" si="18"/>
        <v>848</v>
      </c>
      <c r="Z23" s="68">
        <f t="shared" si="18"/>
        <v>416</v>
      </c>
      <c r="AA23" s="68">
        <f t="shared" si="18"/>
        <v>416</v>
      </c>
      <c r="AB23" s="68">
        <f t="shared" si="18"/>
        <v>832</v>
      </c>
      <c r="AC23" s="68">
        <f t="shared" si="18"/>
        <v>832</v>
      </c>
      <c r="AD23" s="68">
        <f t="shared" si="18"/>
        <v>1024</v>
      </c>
      <c r="AE23" s="68">
        <f t="shared" si="18"/>
        <v>832</v>
      </c>
      <c r="AF23" s="68">
        <f t="shared" si="18"/>
        <v>832</v>
      </c>
      <c r="AG23" s="68">
        <f t="shared" si="18"/>
        <v>1024</v>
      </c>
      <c r="AH23" s="68">
        <f t="shared" si="18"/>
        <v>704</v>
      </c>
      <c r="AI23" s="68">
        <f t="shared" si="18"/>
        <v>1024</v>
      </c>
      <c r="AJ23" s="68"/>
      <c r="AK23" s="69"/>
    </row>
    <row r="24" spans="1:37" s="2" customFormat="1" ht="15" customHeight="1" x14ac:dyDescent="0.3">
      <c r="A24" s="73" t="s">
        <v>52</v>
      </c>
      <c r="B24" s="6" t="s">
        <v>64</v>
      </c>
      <c r="C24" s="35" t="s">
        <v>16</v>
      </c>
      <c r="D24" s="30">
        <f t="shared" si="14"/>
        <v>1.5</v>
      </c>
      <c r="E24" s="42">
        <f t="shared" si="15"/>
        <v>24</v>
      </c>
      <c r="F24" s="6">
        <f>F12*CONSTANTS!$C$8</f>
        <v>24</v>
      </c>
      <c r="G24" s="6">
        <f>G12*CONSTANTS!$C$8</f>
        <v>24</v>
      </c>
      <c r="H24" s="6">
        <f>H12*CONSTANTS!$C$8</f>
        <v>24</v>
      </c>
      <c r="I24" s="6">
        <f>I12*CONSTANTS!$C$8</f>
        <v>24</v>
      </c>
      <c r="J24" s="6">
        <f>J12*CONSTANTS!$C$8</f>
        <v>24</v>
      </c>
      <c r="K24" s="6">
        <f>K12*CONSTANTS!$C$8</f>
        <v>24</v>
      </c>
      <c r="L24" s="6">
        <f>L12*CONSTANTS!$C$8</f>
        <v>24</v>
      </c>
      <c r="M24" s="6">
        <f>M12*CONSTANTS!$C$8</f>
        <v>24</v>
      </c>
      <c r="N24" s="6">
        <f>N12*CONSTANTS!$C$8</f>
        <v>24</v>
      </c>
      <c r="O24" s="6">
        <f>O12*CONSTANTS!$C$8</f>
        <v>12</v>
      </c>
      <c r="P24" s="6">
        <f>P12*CONSTANTS!$C$8</f>
        <v>6</v>
      </c>
      <c r="Q24" s="6">
        <f>Q12*CONSTANTS!$C$8</f>
        <v>12</v>
      </c>
      <c r="R24" s="6">
        <f>R12*CONSTANTS!$C$8</f>
        <v>24</v>
      </c>
      <c r="S24" s="6">
        <f>S12*CONSTANTS!$C$8</f>
        <v>12</v>
      </c>
      <c r="T24" s="6">
        <f>T12*CONSTANTS!$C$8</f>
        <v>12</v>
      </c>
      <c r="U24" s="6">
        <f>U12*CONSTANTS!$C$8</f>
        <v>12</v>
      </c>
      <c r="V24" s="6">
        <f>V12*CONSTANTS!$C$8/4</f>
        <v>3</v>
      </c>
      <c r="W24" s="6">
        <f>W12*CONSTANTS!$C$8/4</f>
        <v>3</v>
      </c>
      <c r="X24" s="6">
        <f>X12*CONSTANTS!$C$8/4</f>
        <v>1.5</v>
      </c>
      <c r="Y24" s="6">
        <f>Y12*CONSTANTS!$C$8/4</f>
        <v>1.5</v>
      </c>
      <c r="Z24" s="6">
        <f>Z12*CONSTANTS!$C$8/4</f>
        <v>1.5</v>
      </c>
      <c r="AA24" s="6">
        <f>AA12*CONSTANTS!$C$8/4</f>
        <v>1.5</v>
      </c>
      <c r="AB24" s="6">
        <f>AB12*CONSTANTS!$C$8/4</f>
        <v>1.5</v>
      </c>
      <c r="AC24" s="6">
        <f>AC12*CONSTANTS!$C$8/4</f>
        <v>1.5</v>
      </c>
      <c r="AD24" s="6">
        <f>AD12*CONSTANTS!$C$8/4</f>
        <v>3</v>
      </c>
      <c r="AE24" s="6">
        <f>AE12*CONSTANTS!$C$8/4</f>
        <v>1.5</v>
      </c>
      <c r="AF24" s="6">
        <f>AF12*CONSTANTS!$C$8/4</f>
        <v>1.5</v>
      </c>
      <c r="AG24" s="6">
        <f>AG12*CONSTANTS!$C$8/4</f>
        <v>1.5</v>
      </c>
      <c r="AH24" s="6">
        <f>AH12*CONSTANTS!$C$8/4</f>
        <v>1.5</v>
      </c>
      <c r="AI24" s="6">
        <f>AI12*CONSTANTS!$C$8/4</f>
        <v>1.5</v>
      </c>
      <c r="AJ24" s="6"/>
      <c r="AK24" s="7"/>
    </row>
    <row r="25" spans="1:37" s="2" customFormat="1" ht="15" customHeight="1" x14ac:dyDescent="0.3">
      <c r="A25" s="74"/>
      <c r="B25" s="2" t="s">
        <v>53</v>
      </c>
      <c r="C25" s="36" t="s">
        <v>54</v>
      </c>
      <c r="D25" s="24">
        <f t="shared" si="14"/>
        <v>62.5</v>
      </c>
      <c r="E25" s="39">
        <f t="shared" si="15"/>
        <v>250</v>
      </c>
      <c r="F25" s="2">
        <f>F12/CONSTANTS!$C$2*1000</f>
        <v>250</v>
      </c>
      <c r="G25" s="2">
        <f>G12/CONSTANTS!$C$2*1000</f>
        <v>250</v>
      </c>
      <c r="H25" s="2">
        <f>H12/CONSTANTS!$C$2*1000</f>
        <v>250</v>
      </c>
      <c r="I25" s="2">
        <f>I12/CONSTANTS!$C$2*1000</f>
        <v>250</v>
      </c>
      <c r="J25" s="2">
        <f>J12/CONSTANTS!$C$2*1000</f>
        <v>250</v>
      </c>
      <c r="K25" s="2">
        <f>K12/CONSTANTS!$C$2*1000</f>
        <v>250</v>
      </c>
      <c r="L25" s="2">
        <f>L12/CONSTANTS!$C$2*1000</f>
        <v>250</v>
      </c>
      <c r="M25" s="2">
        <f>M12/CONSTANTS!$C$2*1000</f>
        <v>250</v>
      </c>
      <c r="N25" s="2">
        <f>N12/CONSTANTS!$C$2*1000</f>
        <v>250</v>
      </c>
      <c r="O25" s="2">
        <f>O12/CONSTANTS!$C$2*1000</f>
        <v>125</v>
      </c>
      <c r="P25" s="2">
        <f>P12/CONSTANTS!$C$2*1000</f>
        <v>62.5</v>
      </c>
      <c r="Q25" s="2">
        <f>Q12/CONSTANTS!$C$2*1000</f>
        <v>125</v>
      </c>
      <c r="R25" s="2">
        <f>R12/CONSTANTS!$C$2*1000</f>
        <v>250</v>
      </c>
      <c r="S25" s="2">
        <f>S12/CONSTANTS!$C$2*1000</f>
        <v>125</v>
      </c>
      <c r="T25" s="2">
        <f>T12/CONSTANTS!$C$2*1000</f>
        <v>125</v>
      </c>
      <c r="U25" s="2">
        <f>U12/CONSTANTS!$C$2*1000</f>
        <v>125</v>
      </c>
      <c r="V25" s="2">
        <f>V12/CONSTANTS!$C$2*1000</f>
        <v>125</v>
      </c>
      <c r="W25" s="2">
        <f>W12/CONSTANTS!$C$2*1000</f>
        <v>125</v>
      </c>
      <c r="X25" s="2">
        <f>X12/CONSTANTS!$C$2*1000</f>
        <v>62.5</v>
      </c>
      <c r="Y25" s="2">
        <f>Y12/CONSTANTS!$C$2*1000</f>
        <v>62.5</v>
      </c>
      <c r="Z25" s="2">
        <f>Z12/CONSTANTS!$C$2*1000</f>
        <v>62.5</v>
      </c>
      <c r="AA25" s="2">
        <f>AA12/CONSTANTS!$C$2*1000</f>
        <v>62.5</v>
      </c>
      <c r="AB25" s="2">
        <f>AB12/CONSTANTS!$C$2*1000</f>
        <v>62.5</v>
      </c>
      <c r="AC25" s="2">
        <f>AC12/CONSTANTS!$C$2*1000</f>
        <v>62.5</v>
      </c>
      <c r="AD25" s="2">
        <f>AD12/CONSTANTS!$C$2*1000</f>
        <v>125</v>
      </c>
      <c r="AE25" s="2">
        <f>AE12/CONSTANTS!$C$2*1000</f>
        <v>62.5</v>
      </c>
      <c r="AF25" s="2">
        <f>AF12/CONSTANTS!$C$2*1000</f>
        <v>62.5</v>
      </c>
      <c r="AG25" s="2">
        <f>AG12/CONSTANTS!$C$2*1000</f>
        <v>62.5</v>
      </c>
      <c r="AH25" s="2">
        <f>AH12/CONSTANTS!$C$2*1000</f>
        <v>62.5</v>
      </c>
      <c r="AI25" s="2">
        <f>AI12/CONSTANTS!$C$2*1000</f>
        <v>62.5</v>
      </c>
      <c r="AK25" s="8"/>
    </row>
    <row r="26" spans="1:37" s="2" customFormat="1" ht="15" customHeight="1" x14ac:dyDescent="0.3">
      <c r="A26" s="74"/>
      <c r="B26" s="2" t="s">
        <v>56</v>
      </c>
      <c r="C26" s="36" t="s">
        <v>14</v>
      </c>
      <c r="D26" s="23">
        <f t="shared" si="14"/>
        <v>16</v>
      </c>
      <c r="E26" s="43">
        <f t="shared" si="15"/>
        <v>21</v>
      </c>
      <c r="F26" s="2">
        <f>CONSTANTS!$C$11+F27+1</f>
        <v>16</v>
      </c>
      <c r="G26" s="2">
        <f>CONSTANTS!$C$11+G27+1</f>
        <v>16</v>
      </c>
      <c r="H26" s="2">
        <f>CONSTANTS!$C$11+H27+1</f>
        <v>19</v>
      </c>
      <c r="I26" s="2">
        <f>CONSTANTS!$C$11+I27+1</f>
        <v>17</v>
      </c>
      <c r="J26" s="2">
        <f>CONSTANTS!$C$11+J27+1</f>
        <v>16</v>
      </c>
      <c r="K26" s="2">
        <f>CONSTANTS!$C$11+K27+1</f>
        <v>16</v>
      </c>
      <c r="L26" s="2">
        <f>CONSTANTS!$C$11+L27+1</f>
        <v>17</v>
      </c>
      <c r="M26" s="2">
        <f>CONSTANTS!$C$11+M27+1</f>
        <v>17</v>
      </c>
      <c r="N26" s="2">
        <f>CONSTANTS!$C$11+N27+1</f>
        <v>18</v>
      </c>
      <c r="O26" s="2">
        <f>CONSTANTS!$C$11+O27+1</f>
        <v>18</v>
      </c>
      <c r="P26" s="2">
        <f>CONSTANTS!$C$11+P27+1</f>
        <v>19</v>
      </c>
      <c r="Q26" s="2">
        <f>CONSTANTS!$C$11+Q27+1</f>
        <v>17</v>
      </c>
      <c r="R26" s="2">
        <f>CONSTANTS!$C$11+R27+1</f>
        <v>19</v>
      </c>
      <c r="S26" s="2">
        <f>CONSTANTS!$C$11+S27+1</f>
        <v>19</v>
      </c>
      <c r="T26" s="2">
        <f>CONSTANTS!$C$11+T27+1</f>
        <v>20</v>
      </c>
      <c r="U26" s="2">
        <f>CONSTANTS!$C$11+U27+1</f>
        <v>21</v>
      </c>
      <c r="V26" s="2">
        <f>CONSTANTS!$C$11+V27+1</f>
        <v>19</v>
      </c>
      <c r="W26" s="2">
        <f>CONSTANTS!$C$11+W27+1</f>
        <v>21</v>
      </c>
      <c r="X26" s="2">
        <f>CONSTANTS!$C$11+X27+1</f>
        <v>18</v>
      </c>
      <c r="Y26" s="2">
        <f>CONSTANTS!$C$11+Y27+1</f>
        <v>20</v>
      </c>
      <c r="Z26" s="2">
        <f>CONSTANTS!$C$11+Z27+1</f>
        <v>18</v>
      </c>
      <c r="AA26" s="2">
        <f>CONSTANTS!$C$11+AA27+1</f>
        <v>20</v>
      </c>
      <c r="AB26" s="2">
        <f>CONSTANTS!$C$11+AB27+1</f>
        <v>18</v>
      </c>
      <c r="AC26" s="2">
        <f>CONSTANTS!$C$11+AC27+1</f>
        <v>20</v>
      </c>
      <c r="AD26" s="2">
        <f>CONSTANTS!$C$11+AD27+1</f>
        <v>19</v>
      </c>
      <c r="AE26" s="2">
        <f>CONSTANTS!$C$11+AE27+1</f>
        <v>20</v>
      </c>
      <c r="AF26" s="2">
        <f>CONSTANTS!$C$11+AF27+1</f>
        <v>18</v>
      </c>
      <c r="AG26" s="2">
        <f>CONSTANTS!$C$11+AG27+1</f>
        <v>20</v>
      </c>
      <c r="AH26" s="2">
        <f>CONSTANTS!$C$11+AH27+1</f>
        <v>18</v>
      </c>
      <c r="AI26" s="2">
        <f>CONSTANTS!$C$11+AI27+1</f>
        <v>20</v>
      </c>
      <c r="AK26" s="8"/>
    </row>
    <row r="27" spans="1:37" s="2" customFormat="1" ht="15" customHeight="1" x14ac:dyDescent="0.3">
      <c r="A27" s="74"/>
      <c r="B27" s="2" t="s">
        <v>57</v>
      </c>
      <c r="C27" s="36" t="s">
        <v>14</v>
      </c>
      <c r="D27" s="23">
        <f t="shared" si="14"/>
        <v>3</v>
      </c>
      <c r="E27" s="43">
        <f t="shared" si="15"/>
        <v>8</v>
      </c>
      <c r="F27" s="2">
        <f t="shared" ref="F27:AI27" si="19">_xlfn.CEILING.MATH(LOG(_xlfn.CEILING.MATH((F18*(F25/1000)))+1,2))</f>
        <v>3</v>
      </c>
      <c r="G27" s="2">
        <f t="shared" si="19"/>
        <v>3</v>
      </c>
      <c r="H27" s="2">
        <f t="shared" si="19"/>
        <v>6</v>
      </c>
      <c r="I27" s="2">
        <f t="shared" si="19"/>
        <v>4</v>
      </c>
      <c r="J27" s="2">
        <f t="shared" si="19"/>
        <v>3</v>
      </c>
      <c r="K27" s="2">
        <f t="shared" si="19"/>
        <v>3</v>
      </c>
      <c r="L27" s="2">
        <f t="shared" si="19"/>
        <v>4</v>
      </c>
      <c r="M27" s="2">
        <f t="shared" si="19"/>
        <v>4</v>
      </c>
      <c r="N27" s="2">
        <f t="shared" si="19"/>
        <v>5</v>
      </c>
      <c r="O27" s="2">
        <f t="shared" si="19"/>
        <v>5</v>
      </c>
      <c r="P27" s="2">
        <f t="shared" si="19"/>
        <v>6</v>
      </c>
      <c r="Q27" s="2">
        <f t="shared" si="19"/>
        <v>4</v>
      </c>
      <c r="R27" s="2">
        <f t="shared" si="19"/>
        <v>6</v>
      </c>
      <c r="S27" s="2">
        <f t="shared" si="19"/>
        <v>6</v>
      </c>
      <c r="T27" s="2">
        <f t="shared" si="19"/>
        <v>7</v>
      </c>
      <c r="U27" s="2">
        <f t="shared" si="19"/>
        <v>8</v>
      </c>
      <c r="V27" s="2">
        <f t="shared" si="19"/>
        <v>6</v>
      </c>
      <c r="W27" s="2">
        <f t="shared" si="19"/>
        <v>8</v>
      </c>
      <c r="X27" s="2">
        <f t="shared" si="19"/>
        <v>5</v>
      </c>
      <c r="Y27" s="2">
        <f t="shared" si="19"/>
        <v>7</v>
      </c>
      <c r="Z27" s="2">
        <f t="shared" si="19"/>
        <v>5</v>
      </c>
      <c r="AA27" s="2">
        <f t="shared" si="19"/>
        <v>7</v>
      </c>
      <c r="AB27" s="2">
        <f t="shared" si="19"/>
        <v>5</v>
      </c>
      <c r="AC27" s="2">
        <f t="shared" si="19"/>
        <v>7</v>
      </c>
      <c r="AD27" s="2">
        <f t="shared" si="19"/>
        <v>6</v>
      </c>
      <c r="AE27" s="2">
        <f t="shared" si="19"/>
        <v>7</v>
      </c>
      <c r="AF27" s="2">
        <f t="shared" si="19"/>
        <v>5</v>
      </c>
      <c r="AG27" s="2">
        <f t="shared" si="19"/>
        <v>7</v>
      </c>
      <c r="AH27" s="2">
        <f t="shared" si="19"/>
        <v>5</v>
      </c>
      <c r="AI27" s="2">
        <f t="shared" si="19"/>
        <v>7</v>
      </c>
      <c r="AK27" s="8"/>
    </row>
    <row r="28" spans="1:37" s="55" customFormat="1" x14ac:dyDescent="0.3">
      <c r="A28" s="74"/>
      <c r="B28" s="55" t="s">
        <v>13</v>
      </c>
      <c r="C28" s="56" t="s">
        <v>14</v>
      </c>
      <c r="D28" s="57">
        <f t="shared" si="14"/>
        <v>2</v>
      </c>
      <c r="E28" s="58">
        <f t="shared" si="15"/>
        <v>6</v>
      </c>
      <c r="F28" s="71">
        <f t="shared" ref="F28:AI28" si="20">CEILING(LOG(F22+1,2),1)</f>
        <v>2</v>
      </c>
      <c r="G28" s="71">
        <f t="shared" si="20"/>
        <v>2</v>
      </c>
      <c r="H28" s="71">
        <f t="shared" si="20"/>
        <v>5</v>
      </c>
      <c r="I28" s="71">
        <f t="shared" si="20"/>
        <v>2</v>
      </c>
      <c r="J28" s="71">
        <f t="shared" si="20"/>
        <v>2</v>
      </c>
      <c r="K28" s="71">
        <f t="shared" si="20"/>
        <v>3</v>
      </c>
      <c r="L28" s="71">
        <f t="shared" si="20"/>
        <v>2</v>
      </c>
      <c r="M28" s="71">
        <f t="shared" si="20"/>
        <v>2</v>
      </c>
      <c r="N28" s="71">
        <f t="shared" si="20"/>
        <v>3</v>
      </c>
      <c r="O28" s="71">
        <f t="shared" si="20"/>
        <v>3</v>
      </c>
      <c r="P28" s="71">
        <f t="shared" si="20"/>
        <v>4</v>
      </c>
      <c r="Q28" s="71">
        <f t="shared" si="20"/>
        <v>2</v>
      </c>
      <c r="R28" s="71">
        <f t="shared" si="20"/>
        <v>3</v>
      </c>
      <c r="S28" s="71">
        <f t="shared" si="20"/>
        <v>4</v>
      </c>
      <c r="T28" s="71">
        <f t="shared" si="20"/>
        <v>4</v>
      </c>
      <c r="U28" s="71">
        <f t="shared" si="20"/>
        <v>6</v>
      </c>
      <c r="V28" s="71">
        <f t="shared" si="20"/>
        <v>3</v>
      </c>
      <c r="W28" s="71">
        <f t="shared" si="20"/>
        <v>6</v>
      </c>
      <c r="X28" s="71">
        <f t="shared" si="20"/>
        <v>2</v>
      </c>
      <c r="Y28" s="71">
        <f t="shared" si="20"/>
        <v>5</v>
      </c>
      <c r="Z28" s="71">
        <f t="shared" si="20"/>
        <v>3</v>
      </c>
      <c r="AA28" s="71">
        <f t="shared" si="20"/>
        <v>6</v>
      </c>
      <c r="AB28" s="71">
        <f t="shared" si="20"/>
        <v>3</v>
      </c>
      <c r="AC28" s="71">
        <f t="shared" si="20"/>
        <v>5</v>
      </c>
      <c r="AD28" s="71">
        <f t="shared" si="20"/>
        <v>3</v>
      </c>
      <c r="AE28" s="71">
        <f t="shared" si="20"/>
        <v>5</v>
      </c>
      <c r="AF28" s="71">
        <f t="shared" si="20"/>
        <v>3</v>
      </c>
      <c r="AG28" s="71">
        <f t="shared" si="20"/>
        <v>5</v>
      </c>
      <c r="AH28" s="71">
        <f t="shared" si="20"/>
        <v>3</v>
      </c>
      <c r="AI28" s="71">
        <f t="shared" si="20"/>
        <v>5</v>
      </c>
      <c r="AJ28" s="71"/>
      <c r="AK28" s="72"/>
    </row>
    <row r="29" spans="1:37" s="2" customFormat="1" x14ac:dyDescent="0.3">
      <c r="A29" s="74"/>
      <c r="B29" s="2" t="s">
        <v>45</v>
      </c>
      <c r="C29" s="36" t="s">
        <v>14</v>
      </c>
      <c r="D29" s="23">
        <f t="shared" si="14"/>
        <v>384</v>
      </c>
      <c r="E29" s="43">
        <f t="shared" si="15"/>
        <v>5120</v>
      </c>
      <c r="F29" s="11">
        <f t="shared" ref="F29:AI29" si="21">F23*F28</f>
        <v>832</v>
      </c>
      <c r="G29" s="11">
        <f t="shared" si="21"/>
        <v>832</v>
      </c>
      <c r="H29" s="11">
        <f t="shared" si="21"/>
        <v>1280</v>
      </c>
      <c r="I29" s="11">
        <f t="shared" si="21"/>
        <v>832</v>
      </c>
      <c r="J29" s="11">
        <f t="shared" si="21"/>
        <v>832</v>
      </c>
      <c r="K29" s="11">
        <f t="shared" si="21"/>
        <v>384</v>
      </c>
      <c r="L29" s="11">
        <f t="shared" si="21"/>
        <v>1664</v>
      </c>
      <c r="M29" s="11">
        <f t="shared" si="21"/>
        <v>1664</v>
      </c>
      <c r="N29" s="11">
        <f t="shared" si="21"/>
        <v>2496</v>
      </c>
      <c r="O29" s="11">
        <f t="shared" si="21"/>
        <v>1488</v>
      </c>
      <c r="P29" s="11">
        <f t="shared" si="21"/>
        <v>1120</v>
      </c>
      <c r="Q29" s="11">
        <f t="shared" si="21"/>
        <v>1024</v>
      </c>
      <c r="R29" s="11">
        <f t="shared" si="21"/>
        <v>3072</v>
      </c>
      <c r="S29" s="11">
        <f t="shared" si="21"/>
        <v>2880</v>
      </c>
      <c r="T29" s="11">
        <f t="shared" si="21"/>
        <v>3328</v>
      </c>
      <c r="U29" s="11">
        <f t="shared" si="21"/>
        <v>5088</v>
      </c>
      <c r="V29" s="11">
        <f t="shared" si="21"/>
        <v>2496</v>
      </c>
      <c r="W29" s="11">
        <f t="shared" si="21"/>
        <v>4992</v>
      </c>
      <c r="X29" s="11">
        <f t="shared" si="21"/>
        <v>1696</v>
      </c>
      <c r="Y29" s="11">
        <f t="shared" si="21"/>
        <v>4240</v>
      </c>
      <c r="Z29" s="11">
        <f t="shared" si="21"/>
        <v>1248</v>
      </c>
      <c r="AA29" s="11">
        <f t="shared" si="21"/>
        <v>2496</v>
      </c>
      <c r="AB29" s="11">
        <f t="shared" si="21"/>
        <v>2496</v>
      </c>
      <c r="AC29" s="11">
        <f t="shared" si="21"/>
        <v>4160</v>
      </c>
      <c r="AD29" s="11">
        <f t="shared" si="21"/>
        <v>3072</v>
      </c>
      <c r="AE29" s="11">
        <f t="shared" si="21"/>
        <v>4160</v>
      </c>
      <c r="AF29" s="11">
        <f t="shared" si="21"/>
        <v>2496</v>
      </c>
      <c r="AG29" s="11">
        <f t="shared" si="21"/>
        <v>5120</v>
      </c>
      <c r="AH29" s="11">
        <f t="shared" si="21"/>
        <v>2112</v>
      </c>
      <c r="AI29" s="11">
        <f t="shared" si="21"/>
        <v>5120</v>
      </c>
      <c r="AJ29" s="11"/>
      <c r="AK29" s="16"/>
    </row>
    <row r="30" spans="1:37" s="55" customFormat="1" x14ac:dyDescent="0.3">
      <c r="A30" s="74"/>
      <c r="B30" s="55" t="s">
        <v>129</v>
      </c>
      <c r="C30" s="56" t="s">
        <v>6</v>
      </c>
      <c r="D30" s="57">
        <f t="shared" si="14"/>
        <v>8</v>
      </c>
      <c r="E30" s="58">
        <f t="shared" si="15"/>
        <v>64</v>
      </c>
      <c r="F30" s="71">
        <f>F23/F31</f>
        <v>32</v>
      </c>
      <c r="G30" s="71">
        <f t="shared" ref="G30:AI30" si="22">G23/G31</f>
        <v>32</v>
      </c>
      <c r="H30" s="71">
        <f t="shared" si="22"/>
        <v>64</v>
      </c>
      <c r="I30" s="71">
        <f t="shared" si="22"/>
        <v>32</v>
      </c>
      <c r="J30" s="71">
        <f t="shared" si="22"/>
        <v>32</v>
      </c>
      <c r="K30" s="71">
        <f t="shared" si="22"/>
        <v>64</v>
      </c>
      <c r="L30" s="71">
        <f t="shared" si="22"/>
        <v>64</v>
      </c>
      <c r="M30" s="71">
        <f t="shared" si="22"/>
        <v>64</v>
      </c>
      <c r="N30" s="71">
        <f t="shared" si="22"/>
        <v>64</v>
      </c>
      <c r="O30" s="71">
        <f t="shared" si="22"/>
        <v>16</v>
      </c>
      <c r="P30" s="71">
        <f t="shared" si="22"/>
        <v>8</v>
      </c>
      <c r="Q30" s="71">
        <f t="shared" si="22"/>
        <v>64</v>
      </c>
      <c r="R30" s="71">
        <f t="shared" si="22"/>
        <v>64</v>
      </c>
      <c r="S30" s="71">
        <f t="shared" si="22"/>
        <v>16</v>
      </c>
      <c r="T30" s="71">
        <f t="shared" si="22"/>
        <v>64</v>
      </c>
      <c r="U30" s="71">
        <f t="shared" si="22"/>
        <v>16</v>
      </c>
      <c r="V30" s="71">
        <f t="shared" si="22"/>
        <v>64</v>
      </c>
      <c r="W30" s="71">
        <f t="shared" si="22"/>
        <v>64</v>
      </c>
      <c r="X30" s="71">
        <f t="shared" si="22"/>
        <v>16</v>
      </c>
      <c r="Y30" s="71">
        <f t="shared" si="22"/>
        <v>16</v>
      </c>
      <c r="Z30" s="71">
        <f t="shared" si="22"/>
        <v>32</v>
      </c>
      <c r="AA30" s="71">
        <f t="shared" si="22"/>
        <v>32</v>
      </c>
      <c r="AB30" s="71">
        <f t="shared" si="22"/>
        <v>64</v>
      </c>
      <c r="AC30" s="71">
        <f t="shared" si="22"/>
        <v>64</v>
      </c>
      <c r="AD30" s="71">
        <f t="shared" si="22"/>
        <v>64</v>
      </c>
      <c r="AE30" s="71">
        <f t="shared" si="22"/>
        <v>64</v>
      </c>
      <c r="AF30" s="71">
        <f t="shared" si="22"/>
        <v>64</v>
      </c>
      <c r="AG30" s="71">
        <f t="shared" si="22"/>
        <v>64</v>
      </c>
      <c r="AH30" s="71">
        <f t="shared" si="22"/>
        <v>64</v>
      </c>
      <c r="AI30" s="71">
        <f t="shared" si="22"/>
        <v>64</v>
      </c>
      <c r="AJ30" s="71"/>
      <c r="AK30" s="72"/>
    </row>
    <row r="31" spans="1:37" s="2" customFormat="1" x14ac:dyDescent="0.3">
      <c r="A31" s="74"/>
      <c r="B31" s="2" t="s">
        <v>99</v>
      </c>
      <c r="C31" s="36" t="s">
        <v>6</v>
      </c>
      <c r="D31" s="23">
        <f t="shared" si="14"/>
        <v>2</v>
      </c>
      <c r="E31" s="43">
        <f t="shared" si="15"/>
        <v>53</v>
      </c>
      <c r="F31" s="11">
        <f t="shared" ref="F31:M31" si="23">IF(MOD(F23/64,1)=0,F23/64,IF(MOD(F23/32,1)=0,F23/32,IF(MOD(F23/16,1)=0,F23/16,IF(MOD(F23/8,1)=0,F23/9,"ERROR"))))</f>
        <v>13</v>
      </c>
      <c r="G31" s="11">
        <f t="shared" si="23"/>
        <v>13</v>
      </c>
      <c r="H31" s="11">
        <f t="shared" si="23"/>
        <v>4</v>
      </c>
      <c r="I31" s="11">
        <f t="shared" si="23"/>
        <v>13</v>
      </c>
      <c r="J31" s="11">
        <f t="shared" si="23"/>
        <v>13</v>
      </c>
      <c r="K31" s="11">
        <f t="shared" si="23"/>
        <v>2</v>
      </c>
      <c r="L31" s="11">
        <f t="shared" si="23"/>
        <v>13</v>
      </c>
      <c r="M31" s="11">
        <f t="shared" si="23"/>
        <v>13</v>
      </c>
      <c r="N31" s="11">
        <f t="shared" ref="N31:AI31" si="24">IF(MOD(N23/64,1)=0,N23/64,IF(MOD(N23/32,1)=0,N23/32,IF(MOD(N23/16,1)=0,N23/16,IF(MOD(N23/8,1)=0,N23/8,"ERROR"))))</f>
        <v>13</v>
      </c>
      <c r="O31" s="11">
        <f t="shared" si="24"/>
        <v>31</v>
      </c>
      <c r="P31" s="11">
        <f t="shared" si="24"/>
        <v>35</v>
      </c>
      <c r="Q31" s="11">
        <f t="shared" si="24"/>
        <v>8</v>
      </c>
      <c r="R31" s="11">
        <f t="shared" si="24"/>
        <v>16</v>
      </c>
      <c r="S31" s="11">
        <f t="shared" si="24"/>
        <v>45</v>
      </c>
      <c r="T31" s="11">
        <f t="shared" si="24"/>
        <v>13</v>
      </c>
      <c r="U31" s="11">
        <f t="shared" si="24"/>
        <v>53</v>
      </c>
      <c r="V31" s="11">
        <f t="shared" si="24"/>
        <v>13</v>
      </c>
      <c r="W31" s="11">
        <f t="shared" si="24"/>
        <v>13</v>
      </c>
      <c r="X31" s="11">
        <f t="shared" si="24"/>
        <v>53</v>
      </c>
      <c r="Y31" s="11">
        <f t="shared" si="24"/>
        <v>53</v>
      </c>
      <c r="Z31" s="11">
        <f t="shared" si="24"/>
        <v>13</v>
      </c>
      <c r="AA31" s="11">
        <f t="shared" si="24"/>
        <v>13</v>
      </c>
      <c r="AB31" s="11">
        <f t="shared" si="24"/>
        <v>13</v>
      </c>
      <c r="AC31" s="11">
        <f t="shared" si="24"/>
        <v>13</v>
      </c>
      <c r="AD31" s="11">
        <f t="shared" si="24"/>
        <v>16</v>
      </c>
      <c r="AE31" s="11">
        <f t="shared" si="24"/>
        <v>13</v>
      </c>
      <c r="AF31" s="11">
        <f t="shared" si="24"/>
        <v>13</v>
      </c>
      <c r="AG31" s="11">
        <f t="shared" si="24"/>
        <v>16</v>
      </c>
      <c r="AH31" s="11">
        <f t="shared" si="24"/>
        <v>11</v>
      </c>
      <c r="AI31" s="11">
        <f t="shared" si="24"/>
        <v>16</v>
      </c>
      <c r="AJ31" s="11"/>
      <c r="AK31" s="16"/>
    </row>
    <row r="32" spans="1:37" s="2" customFormat="1" x14ac:dyDescent="0.3">
      <c r="A32" s="74"/>
      <c r="B32" s="2" t="s">
        <v>46</v>
      </c>
      <c r="C32" s="36" t="s">
        <v>14</v>
      </c>
      <c r="D32" s="23">
        <f t="shared" si="14"/>
        <v>40</v>
      </c>
      <c r="E32" s="43">
        <f t="shared" si="15"/>
        <v>448</v>
      </c>
      <c r="F32" s="11">
        <f t="shared" ref="F32:AI32" si="25">F23/F31*(F28+1)</f>
        <v>96</v>
      </c>
      <c r="G32" s="11">
        <f t="shared" si="25"/>
        <v>96</v>
      </c>
      <c r="H32" s="11">
        <f t="shared" si="25"/>
        <v>384</v>
      </c>
      <c r="I32" s="11">
        <f t="shared" si="25"/>
        <v>96</v>
      </c>
      <c r="J32" s="11">
        <f t="shared" si="25"/>
        <v>96</v>
      </c>
      <c r="K32" s="11">
        <f t="shared" si="25"/>
        <v>256</v>
      </c>
      <c r="L32" s="11">
        <f t="shared" si="25"/>
        <v>192</v>
      </c>
      <c r="M32" s="11">
        <f t="shared" si="25"/>
        <v>192</v>
      </c>
      <c r="N32" s="11">
        <f t="shared" si="25"/>
        <v>256</v>
      </c>
      <c r="O32" s="11">
        <f t="shared" si="25"/>
        <v>64</v>
      </c>
      <c r="P32" s="11">
        <f t="shared" si="25"/>
        <v>40</v>
      </c>
      <c r="Q32" s="11">
        <f t="shared" si="25"/>
        <v>192</v>
      </c>
      <c r="R32" s="11">
        <f t="shared" si="25"/>
        <v>256</v>
      </c>
      <c r="S32" s="11">
        <f t="shared" si="25"/>
        <v>80</v>
      </c>
      <c r="T32" s="11">
        <f t="shared" si="25"/>
        <v>320</v>
      </c>
      <c r="U32" s="11">
        <f t="shared" si="25"/>
        <v>112</v>
      </c>
      <c r="V32" s="11">
        <f t="shared" si="25"/>
        <v>256</v>
      </c>
      <c r="W32" s="11">
        <f t="shared" si="25"/>
        <v>448</v>
      </c>
      <c r="X32" s="11">
        <f t="shared" si="25"/>
        <v>48</v>
      </c>
      <c r="Y32" s="11">
        <f t="shared" si="25"/>
        <v>96</v>
      </c>
      <c r="Z32" s="11">
        <f t="shared" si="25"/>
        <v>128</v>
      </c>
      <c r="AA32" s="11">
        <f t="shared" si="25"/>
        <v>224</v>
      </c>
      <c r="AB32" s="11">
        <f t="shared" si="25"/>
        <v>256</v>
      </c>
      <c r="AC32" s="11">
        <f t="shared" si="25"/>
        <v>384</v>
      </c>
      <c r="AD32" s="11">
        <f t="shared" si="25"/>
        <v>256</v>
      </c>
      <c r="AE32" s="11">
        <f t="shared" si="25"/>
        <v>384</v>
      </c>
      <c r="AF32" s="11">
        <f t="shared" si="25"/>
        <v>256</v>
      </c>
      <c r="AG32" s="11">
        <f t="shared" si="25"/>
        <v>384</v>
      </c>
      <c r="AH32" s="11">
        <f t="shared" si="25"/>
        <v>256</v>
      </c>
      <c r="AI32" s="11">
        <f t="shared" si="25"/>
        <v>384</v>
      </c>
      <c r="AJ32" s="11"/>
      <c r="AK32" s="16"/>
    </row>
    <row r="33" spans="1:37" s="2" customFormat="1" x14ac:dyDescent="0.3">
      <c r="A33" s="74"/>
      <c r="B33" s="2" t="s">
        <v>47</v>
      </c>
      <c r="C33" s="36" t="s">
        <v>14</v>
      </c>
      <c r="D33" s="23">
        <f t="shared" si="14"/>
        <v>640</v>
      </c>
      <c r="E33" s="43">
        <f t="shared" si="15"/>
        <v>5504</v>
      </c>
      <c r="F33" s="11">
        <f t="shared" ref="F33:T33" si="26">F29+F32</f>
        <v>928</v>
      </c>
      <c r="G33" s="11">
        <f t="shared" ref="G33" si="27">G29+G32</f>
        <v>928</v>
      </c>
      <c r="H33" s="11">
        <f t="shared" si="26"/>
        <v>1664</v>
      </c>
      <c r="I33" s="11">
        <f>I29+I32</f>
        <v>928</v>
      </c>
      <c r="J33" s="11">
        <f t="shared" ref="J33:K33" si="28">J29+J32</f>
        <v>928</v>
      </c>
      <c r="K33" s="11">
        <f t="shared" si="28"/>
        <v>640</v>
      </c>
      <c r="L33" s="11">
        <f t="shared" si="26"/>
        <v>1856</v>
      </c>
      <c r="M33" s="11">
        <f t="shared" ref="M33" si="29">M29+M32</f>
        <v>1856</v>
      </c>
      <c r="N33" s="11">
        <f t="shared" ref="N33:O33" si="30">N29+N32</f>
        <v>2752</v>
      </c>
      <c r="O33" s="11">
        <f t="shared" si="30"/>
        <v>1552</v>
      </c>
      <c r="P33" s="11">
        <f t="shared" si="26"/>
        <v>1160</v>
      </c>
      <c r="Q33" s="11">
        <f>Q29+Q32</f>
        <v>1216</v>
      </c>
      <c r="R33" s="11">
        <f t="shared" si="26"/>
        <v>3328</v>
      </c>
      <c r="S33" s="11">
        <f t="shared" ref="S33" si="31">S29+S32</f>
        <v>2960</v>
      </c>
      <c r="T33" s="11">
        <f t="shared" si="26"/>
        <v>3648</v>
      </c>
      <c r="U33" s="11">
        <f t="shared" ref="U33" si="32">U29+U32</f>
        <v>5200</v>
      </c>
      <c r="V33" s="11">
        <f t="shared" ref="V33:AI33" si="33">V29+V32</f>
        <v>2752</v>
      </c>
      <c r="W33" s="11">
        <f t="shared" si="33"/>
        <v>5440</v>
      </c>
      <c r="X33" s="11">
        <f t="shared" si="33"/>
        <v>1744</v>
      </c>
      <c r="Y33" s="11">
        <f t="shared" si="33"/>
        <v>4336</v>
      </c>
      <c r="Z33" s="11">
        <f t="shared" si="33"/>
        <v>1376</v>
      </c>
      <c r="AA33" s="11">
        <f t="shared" si="33"/>
        <v>2720</v>
      </c>
      <c r="AB33" s="11">
        <f t="shared" si="33"/>
        <v>2752</v>
      </c>
      <c r="AC33" s="11">
        <f t="shared" si="33"/>
        <v>4544</v>
      </c>
      <c r="AD33" s="11">
        <f t="shared" si="33"/>
        <v>3328</v>
      </c>
      <c r="AE33" s="11">
        <f t="shared" si="33"/>
        <v>4544</v>
      </c>
      <c r="AF33" s="11">
        <f t="shared" si="33"/>
        <v>2752</v>
      </c>
      <c r="AG33" s="11">
        <f t="shared" si="33"/>
        <v>5504</v>
      </c>
      <c r="AH33" s="11">
        <f t="shared" si="33"/>
        <v>2368</v>
      </c>
      <c r="AI33" s="11">
        <f t="shared" si="33"/>
        <v>5504</v>
      </c>
      <c r="AJ33" s="11"/>
      <c r="AK33" s="16"/>
    </row>
    <row r="34" spans="1:37" s="2" customFormat="1" x14ac:dyDescent="0.3">
      <c r="A34" s="74"/>
      <c r="B34" s="2" t="s">
        <v>21</v>
      </c>
      <c r="C34" s="36" t="s">
        <v>39</v>
      </c>
      <c r="D34" s="24">
        <f t="shared" ref="D34:D51" si="34">MIN(F34:AK34)</f>
        <v>287.375</v>
      </c>
      <c r="E34" s="39">
        <f t="shared" ref="E34:E51" si="35">MAX(F34:AK34)</f>
        <v>1300.75</v>
      </c>
      <c r="F34" s="11">
        <f t="shared" ref="F34:AI34" si="36">F33*(F8+2)/1024</f>
        <v>654.3125</v>
      </c>
      <c r="G34" s="11">
        <f t="shared" si="36"/>
        <v>654.3125</v>
      </c>
      <c r="H34" s="11">
        <f t="shared" si="36"/>
        <v>1173.25</v>
      </c>
      <c r="I34" s="11">
        <f t="shared" si="36"/>
        <v>654.3125</v>
      </c>
      <c r="J34" s="11">
        <f t="shared" si="36"/>
        <v>871.8125</v>
      </c>
      <c r="K34" s="11">
        <f t="shared" si="36"/>
        <v>601.25</v>
      </c>
      <c r="L34" s="11">
        <f t="shared" si="36"/>
        <v>873.625</v>
      </c>
      <c r="M34" s="11">
        <f t="shared" si="36"/>
        <v>873.625</v>
      </c>
      <c r="N34" s="11">
        <f t="shared" si="36"/>
        <v>1295.375</v>
      </c>
      <c r="O34" s="11">
        <f t="shared" si="36"/>
        <v>730.53125</v>
      </c>
      <c r="P34" s="11">
        <f t="shared" si="36"/>
        <v>546.015625</v>
      </c>
      <c r="Q34" s="11">
        <f t="shared" si="36"/>
        <v>287.375</v>
      </c>
      <c r="R34" s="11">
        <f t="shared" si="36"/>
        <v>786.5</v>
      </c>
      <c r="S34" s="11">
        <f t="shared" si="36"/>
        <v>699.53125</v>
      </c>
      <c r="T34" s="11">
        <f t="shared" si="36"/>
        <v>862.125</v>
      </c>
      <c r="U34" s="11">
        <f t="shared" si="36"/>
        <v>1228.90625</v>
      </c>
      <c r="V34" s="11">
        <f t="shared" si="36"/>
        <v>650.375</v>
      </c>
      <c r="W34" s="11">
        <f t="shared" si="36"/>
        <v>1285.625</v>
      </c>
      <c r="X34" s="11">
        <f t="shared" si="36"/>
        <v>412.15625</v>
      </c>
      <c r="Y34" s="11">
        <f t="shared" si="36"/>
        <v>1024.71875</v>
      </c>
      <c r="Z34" s="11">
        <f t="shared" si="36"/>
        <v>325.1875</v>
      </c>
      <c r="AA34" s="11">
        <f t="shared" si="36"/>
        <v>642.8125</v>
      </c>
      <c r="AB34" s="11">
        <f t="shared" si="36"/>
        <v>650.375</v>
      </c>
      <c r="AC34" s="11">
        <f t="shared" si="36"/>
        <v>1073.875</v>
      </c>
      <c r="AD34" s="11">
        <f t="shared" si="36"/>
        <v>786.5</v>
      </c>
      <c r="AE34" s="11">
        <f t="shared" si="36"/>
        <v>1073.875</v>
      </c>
      <c r="AF34" s="11">
        <f t="shared" si="36"/>
        <v>650.375</v>
      </c>
      <c r="AG34" s="11">
        <f t="shared" si="36"/>
        <v>1300.75</v>
      </c>
      <c r="AH34" s="11">
        <f t="shared" si="36"/>
        <v>559.625</v>
      </c>
      <c r="AI34" s="11">
        <f t="shared" si="36"/>
        <v>1300.75</v>
      </c>
      <c r="AJ34" s="11"/>
      <c r="AK34" s="16"/>
    </row>
    <row r="35" spans="1:37" s="2" customFormat="1" x14ac:dyDescent="0.3">
      <c r="A35" s="74"/>
      <c r="B35" s="2" t="s">
        <v>75</v>
      </c>
      <c r="C35" s="36" t="s">
        <v>76</v>
      </c>
      <c r="D35" s="23">
        <f t="shared" si="34"/>
        <v>855</v>
      </c>
      <c r="E35" s="43">
        <f t="shared" si="35"/>
        <v>3870</v>
      </c>
      <c r="F35" s="11">
        <f t="shared" ref="F35:AI35" si="37">F8*3*F33/1024</f>
        <v>1957.5</v>
      </c>
      <c r="G35" s="11">
        <f t="shared" si="37"/>
        <v>1957.5</v>
      </c>
      <c r="H35" s="11">
        <f t="shared" si="37"/>
        <v>3510</v>
      </c>
      <c r="I35" s="11">
        <f t="shared" si="37"/>
        <v>1957.5</v>
      </c>
      <c r="J35" s="11">
        <f t="shared" si="37"/>
        <v>2610</v>
      </c>
      <c r="K35" s="11">
        <f t="shared" si="37"/>
        <v>1800</v>
      </c>
      <c r="L35" s="11">
        <f t="shared" si="37"/>
        <v>2610</v>
      </c>
      <c r="M35" s="11">
        <f t="shared" si="37"/>
        <v>2610</v>
      </c>
      <c r="N35" s="11">
        <f t="shared" si="37"/>
        <v>3870</v>
      </c>
      <c r="O35" s="11">
        <f t="shared" si="37"/>
        <v>2182.5</v>
      </c>
      <c r="P35" s="11">
        <f t="shared" si="37"/>
        <v>1631.25</v>
      </c>
      <c r="Q35" s="11">
        <f t="shared" si="37"/>
        <v>855</v>
      </c>
      <c r="R35" s="11">
        <f t="shared" si="37"/>
        <v>2340</v>
      </c>
      <c r="S35" s="11">
        <f t="shared" si="37"/>
        <v>2081.25</v>
      </c>
      <c r="T35" s="11">
        <f t="shared" si="37"/>
        <v>2565</v>
      </c>
      <c r="U35" s="11">
        <f t="shared" si="37"/>
        <v>3656.25</v>
      </c>
      <c r="V35" s="11">
        <f t="shared" si="37"/>
        <v>1935</v>
      </c>
      <c r="W35" s="11">
        <f t="shared" si="37"/>
        <v>3825</v>
      </c>
      <c r="X35" s="11">
        <f t="shared" si="37"/>
        <v>1226.25</v>
      </c>
      <c r="Y35" s="11">
        <f t="shared" si="37"/>
        <v>3048.75</v>
      </c>
      <c r="Z35" s="11">
        <f t="shared" si="37"/>
        <v>967.5</v>
      </c>
      <c r="AA35" s="11">
        <f t="shared" si="37"/>
        <v>1912.5</v>
      </c>
      <c r="AB35" s="11">
        <f t="shared" si="37"/>
        <v>1935</v>
      </c>
      <c r="AC35" s="11">
        <f t="shared" si="37"/>
        <v>3195</v>
      </c>
      <c r="AD35" s="11">
        <f t="shared" si="37"/>
        <v>2340</v>
      </c>
      <c r="AE35" s="11">
        <f t="shared" si="37"/>
        <v>3195</v>
      </c>
      <c r="AF35" s="11">
        <f t="shared" si="37"/>
        <v>1935</v>
      </c>
      <c r="AG35" s="11">
        <f t="shared" si="37"/>
        <v>3870</v>
      </c>
      <c r="AH35" s="11">
        <f t="shared" si="37"/>
        <v>1665</v>
      </c>
      <c r="AI35" s="11">
        <f t="shared" si="37"/>
        <v>3870</v>
      </c>
      <c r="AJ35" s="11"/>
      <c r="AK35" s="16"/>
    </row>
    <row r="36" spans="1:37" s="2" customFormat="1" x14ac:dyDescent="0.3">
      <c r="A36" s="74"/>
      <c r="B36" s="2" t="s">
        <v>22</v>
      </c>
      <c r="C36" s="36" t="s">
        <v>16</v>
      </c>
      <c r="D36" s="23">
        <f t="shared" si="34"/>
        <v>3</v>
      </c>
      <c r="E36" s="43">
        <f t="shared" si="35"/>
        <v>120</v>
      </c>
      <c r="F36" s="11">
        <f>F24*F28</f>
        <v>48</v>
      </c>
      <c r="G36" s="11">
        <f t="shared" ref="G36" si="38">G24*G28</f>
        <v>48</v>
      </c>
      <c r="H36" s="11">
        <f>H24*H28</f>
        <v>120</v>
      </c>
      <c r="I36" s="11">
        <f>I24*I28</f>
        <v>48</v>
      </c>
      <c r="J36" s="11">
        <f t="shared" ref="J36:K36" si="39">J24*J28</f>
        <v>48</v>
      </c>
      <c r="K36" s="11">
        <f t="shared" si="39"/>
        <v>72</v>
      </c>
      <c r="L36" s="11">
        <f t="shared" ref="L36:T36" si="40">L24*L28</f>
        <v>48</v>
      </c>
      <c r="M36" s="11">
        <f>M24*M28</f>
        <v>48</v>
      </c>
      <c r="N36" s="11">
        <f t="shared" ref="N36:O36" si="41">N24*N28</f>
        <v>72</v>
      </c>
      <c r="O36" s="11">
        <f t="shared" si="41"/>
        <v>36</v>
      </c>
      <c r="P36" s="11">
        <f t="shared" si="40"/>
        <v>24</v>
      </c>
      <c r="Q36" s="11">
        <f t="shared" si="40"/>
        <v>24</v>
      </c>
      <c r="R36" s="11">
        <f t="shared" si="40"/>
        <v>72</v>
      </c>
      <c r="S36" s="11">
        <f t="shared" ref="S36" si="42">S24*S28</f>
        <v>48</v>
      </c>
      <c r="T36" s="11">
        <f t="shared" si="40"/>
        <v>48</v>
      </c>
      <c r="U36" s="11">
        <f t="shared" ref="U36:V36" si="43">U24*U28</f>
        <v>72</v>
      </c>
      <c r="V36" s="11">
        <f t="shared" si="43"/>
        <v>9</v>
      </c>
      <c r="W36" s="11">
        <f t="shared" ref="W36:X36" si="44">W24*W28</f>
        <v>18</v>
      </c>
      <c r="X36" s="11">
        <f t="shared" si="44"/>
        <v>3</v>
      </c>
      <c r="Y36" s="11">
        <f t="shared" ref="Y36:AB36" si="45">Y24*Y28</f>
        <v>7.5</v>
      </c>
      <c r="Z36" s="11">
        <f t="shared" si="45"/>
        <v>4.5</v>
      </c>
      <c r="AA36" s="11">
        <f t="shared" si="45"/>
        <v>9</v>
      </c>
      <c r="AB36" s="11">
        <f t="shared" si="45"/>
        <v>4.5</v>
      </c>
      <c r="AC36" s="11">
        <f t="shared" ref="AC36:AF36" si="46">AC24*AC28</f>
        <v>7.5</v>
      </c>
      <c r="AD36" s="11">
        <f t="shared" si="46"/>
        <v>9</v>
      </c>
      <c r="AE36" s="11">
        <f t="shared" si="46"/>
        <v>7.5</v>
      </c>
      <c r="AF36" s="11">
        <f t="shared" si="46"/>
        <v>4.5</v>
      </c>
      <c r="AG36" s="11">
        <f t="shared" ref="AG36:AI36" si="47">AG24*AG28</f>
        <v>7.5</v>
      </c>
      <c r="AH36" s="11">
        <f t="shared" si="47"/>
        <v>4.5</v>
      </c>
      <c r="AI36" s="11">
        <f t="shared" si="47"/>
        <v>7.5</v>
      </c>
      <c r="AJ36" s="11"/>
      <c r="AK36" s="16"/>
    </row>
    <row r="37" spans="1:37" s="2" customFormat="1" x14ac:dyDescent="0.3">
      <c r="A37" s="74"/>
      <c r="B37" s="2" t="s">
        <v>40</v>
      </c>
      <c r="C37" s="36" t="s">
        <v>14</v>
      </c>
      <c r="D37" s="23">
        <f t="shared" si="34"/>
        <v>1024</v>
      </c>
      <c r="E37" s="43">
        <f t="shared" si="35"/>
        <v>8192</v>
      </c>
      <c r="F37" s="11">
        <f>F23*CONSTANTS!$C$10</f>
        <v>3328</v>
      </c>
      <c r="G37" s="11">
        <f>G23*CONSTANTS!$C$10</f>
        <v>3328</v>
      </c>
      <c r="H37" s="11">
        <f>H23*CONSTANTS!$C$10</f>
        <v>2048</v>
      </c>
      <c r="I37" s="11">
        <f>I23*CONSTANTS!$C$10</f>
        <v>3328</v>
      </c>
      <c r="J37" s="11">
        <f>J23*CONSTANTS!$C$10</f>
        <v>3328</v>
      </c>
      <c r="K37" s="11">
        <f>K23*CONSTANTS!$C$10</f>
        <v>1024</v>
      </c>
      <c r="L37" s="11">
        <f>L23*CONSTANTS!$C$10</f>
        <v>6656</v>
      </c>
      <c r="M37" s="11">
        <f>M23*CONSTANTS!$C$10</f>
        <v>6656</v>
      </c>
      <c r="N37" s="11">
        <f>N23*CONSTANTS!$C$10</f>
        <v>6656</v>
      </c>
      <c r="O37" s="11">
        <f>O23*CONSTANTS!$C$10</f>
        <v>3968</v>
      </c>
      <c r="P37" s="11">
        <f>P23*CONSTANTS!$C$10</f>
        <v>2240</v>
      </c>
      <c r="Q37" s="11">
        <f>Q23*CONSTANTS!$C$10</f>
        <v>4096</v>
      </c>
      <c r="R37" s="11">
        <f>R23*CONSTANTS!$C$10</f>
        <v>8192</v>
      </c>
      <c r="S37" s="11">
        <f>S23*CONSTANTS!$C$10</f>
        <v>5760</v>
      </c>
      <c r="T37" s="11">
        <f>T23*CONSTANTS!$C$10</f>
        <v>6656</v>
      </c>
      <c r="U37" s="11">
        <f>U23*CONSTANTS!$C$10</f>
        <v>6784</v>
      </c>
      <c r="V37" s="11">
        <f>V23*CONSTANTS!$C$10</f>
        <v>6656</v>
      </c>
      <c r="W37" s="11">
        <f>W23*CONSTANTS!$C$10</f>
        <v>6656</v>
      </c>
      <c r="X37" s="11">
        <f>X23*CONSTANTS!$C$10</f>
        <v>6784</v>
      </c>
      <c r="Y37" s="11">
        <f>Y23*CONSTANTS!$C$10</f>
        <v>6784</v>
      </c>
      <c r="Z37" s="11">
        <f>Z23*CONSTANTS!$C$10</f>
        <v>3328</v>
      </c>
      <c r="AA37" s="11">
        <f>AA23*CONSTANTS!$C$10</f>
        <v>3328</v>
      </c>
      <c r="AB37" s="11">
        <f>AB23*CONSTANTS!$C$10</f>
        <v>6656</v>
      </c>
      <c r="AC37" s="11">
        <f>AC23*CONSTANTS!$C$10</f>
        <v>6656</v>
      </c>
      <c r="AD37" s="11">
        <f>AD23*CONSTANTS!$C$10</f>
        <v>8192</v>
      </c>
      <c r="AE37" s="11">
        <f>AE23*CONSTANTS!$C$10</f>
        <v>6656</v>
      </c>
      <c r="AF37" s="11">
        <f>AF23*CONSTANTS!$C$10</f>
        <v>6656</v>
      </c>
      <c r="AG37" s="11">
        <f>AG23*CONSTANTS!$C$10</f>
        <v>8192</v>
      </c>
      <c r="AH37" s="11">
        <f>AH23*CONSTANTS!$C$10</f>
        <v>5632</v>
      </c>
      <c r="AI37" s="11">
        <f>AI23*CONSTANTS!$C$10</f>
        <v>8192</v>
      </c>
      <c r="AJ37" s="11"/>
      <c r="AK37" s="16"/>
    </row>
    <row r="38" spans="1:37" s="2" customFormat="1" ht="15" thickBot="1" x14ac:dyDescent="0.35">
      <c r="A38" s="75"/>
      <c r="B38" s="29" t="s">
        <v>20</v>
      </c>
      <c r="C38" s="38" t="s">
        <v>69</v>
      </c>
      <c r="D38" s="40">
        <f t="shared" si="34"/>
        <v>1.6557535710815277</v>
      </c>
      <c r="E38" s="41">
        <f t="shared" si="35"/>
        <v>195.39028986020176</v>
      </c>
      <c r="F38" s="17">
        <f t="shared" ref="F38:AI38" si="48">F37/F18</f>
        <v>125.88937474346695</v>
      </c>
      <c r="G38" s="17">
        <f t="shared" si="48"/>
        <v>195.39028986020176</v>
      </c>
      <c r="H38" s="17">
        <f t="shared" si="48"/>
        <v>12.227103294140512</v>
      </c>
      <c r="I38" s="17">
        <f t="shared" si="48"/>
        <v>97.695144930100881</v>
      </c>
      <c r="J38" s="17">
        <f t="shared" si="48"/>
        <v>167.85249965795592</v>
      </c>
      <c r="K38" s="17">
        <f t="shared" si="48"/>
        <v>51.646922971678741</v>
      </c>
      <c r="L38" s="17">
        <f t="shared" si="48"/>
        <v>179.88767155425219</v>
      </c>
      <c r="M38" s="17">
        <f t="shared" si="48"/>
        <v>165.83318734793187</v>
      </c>
      <c r="N38" s="17">
        <f t="shared" si="48"/>
        <v>83.926249828977959</v>
      </c>
      <c r="O38" s="17">
        <f t="shared" si="48"/>
        <v>24.201911317008598</v>
      </c>
      <c r="P38" s="17">
        <f t="shared" si="48"/>
        <v>4.4577980759887277</v>
      </c>
      <c r="Q38" s="17">
        <f t="shared" si="48"/>
        <v>64.682549691569562</v>
      </c>
      <c r="R38" s="17">
        <f t="shared" si="48"/>
        <v>55.350052785923751</v>
      </c>
      <c r="S38" s="17">
        <f t="shared" si="48"/>
        <v>18.157121357230807</v>
      </c>
      <c r="T38" s="17">
        <f t="shared" si="48"/>
        <v>10.149188616810056</v>
      </c>
      <c r="U38" s="17">
        <f t="shared" si="48"/>
        <v>3.3751899718200371</v>
      </c>
      <c r="V38" s="17">
        <f t="shared" si="48"/>
        <v>20.98156245724449</v>
      </c>
      <c r="W38" s="17">
        <f t="shared" si="48"/>
        <v>3.3115071421630553</v>
      </c>
      <c r="X38" s="17">
        <f t="shared" si="48"/>
        <v>21.385054042960729</v>
      </c>
      <c r="Y38" s="17">
        <f t="shared" si="48"/>
        <v>3.3751899718200371</v>
      </c>
      <c r="Z38" s="17">
        <f t="shared" si="48"/>
        <v>10.490781228622245</v>
      </c>
      <c r="AA38" s="17">
        <f t="shared" si="48"/>
        <v>1.6557535710815277</v>
      </c>
      <c r="AB38" s="17">
        <f t="shared" si="48"/>
        <v>20.98156245724449</v>
      </c>
      <c r="AC38" s="17">
        <f t="shared" si="48"/>
        <v>3.3115071421630553</v>
      </c>
      <c r="AD38" s="17">
        <f t="shared" si="48"/>
        <v>25.823461485839371</v>
      </c>
      <c r="AE38" s="17">
        <f t="shared" si="48"/>
        <v>3.3115071421630553</v>
      </c>
      <c r="AF38" s="17">
        <f t="shared" si="48"/>
        <v>20.98156245724449</v>
      </c>
      <c r="AG38" s="17">
        <f t="shared" si="48"/>
        <v>4.0757010980468369</v>
      </c>
      <c r="AH38" s="17">
        <f t="shared" si="48"/>
        <v>17.753629771514568</v>
      </c>
      <c r="AI38" s="17">
        <f t="shared" si="48"/>
        <v>4.0757010980468369</v>
      </c>
      <c r="AJ38" s="17"/>
      <c r="AK38" s="18"/>
    </row>
    <row r="39" spans="1:37" s="2" customFormat="1" ht="15" customHeight="1" x14ac:dyDescent="0.3">
      <c r="A39" s="73" t="s">
        <v>26</v>
      </c>
      <c r="B39" s="6" t="s">
        <v>59</v>
      </c>
      <c r="C39" s="35" t="s">
        <v>6</v>
      </c>
      <c r="D39" s="46">
        <f t="shared" si="34"/>
        <v>2</v>
      </c>
      <c r="E39" s="47">
        <f t="shared" si="35"/>
        <v>8</v>
      </c>
      <c r="F39" s="6">
        <f t="shared" ref="F39:AI39" si="49">F23/F40</f>
        <v>8</v>
      </c>
      <c r="G39" s="6">
        <f t="shared" si="49"/>
        <v>8</v>
      </c>
      <c r="H39" s="6">
        <f t="shared" si="49"/>
        <v>8</v>
      </c>
      <c r="I39" s="6">
        <f t="shared" si="49"/>
        <v>8</v>
      </c>
      <c r="J39" s="6">
        <f t="shared" si="49"/>
        <v>8</v>
      </c>
      <c r="K39" s="6">
        <f t="shared" si="49"/>
        <v>8</v>
      </c>
      <c r="L39" s="6">
        <f t="shared" si="49"/>
        <v>8</v>
      </c>
      <c r="M39" s="6">
        <f t="shared" si="49"/>
        <v>8</v>
      </c>
      <c r="N39" s="6">
        <f t="shared" si="49"/>
        <v>8</v>
      </c>
      <c r="O39" s="6">
        <f t="shared" si="49"/>
        <v>4</v>
      </c>
      <c r="P39" s="6">
        <f t="shared" si="49"/>
        <v>2</v>
      </c>
      <c r="Q39" s="6">
        <f t="shared" si="49"/>
        <v>4</v>
      </c>
      <c r="R39" s="6">
        <f t="shared" si="49"/>
        <v>8</v>
      </c>
      <c r="S39" s="6">
        <f t="shared" si="49"/>
        <v>4</v>
      </c>
      <c r="T39" s="6">
        <f t="shared" si="49"/>
        <v>4</v>
      </c>
      <c r="U39" s="6">
        <f t="shared" si="49"/>
        <v>4</v>
      </c>
      <c r="V39" s="6">
        <f t="shared" si="49"/>
        <v>8</v>
      </c>
      <c r="W39" s="6">
        <f t="shared" si="49"/>
        <v>8</v>
      </c>
      <c r="X39" s="6">
        <f t="shared" si="49"/>
        <v>4</v>
      </c>
      <c r="Y39" s="6">
        <f t="shared" si="49"/>
        <v>4</v>
      </c>
      <c r="Z39" s="6">
        <f t="shared" si="49"/>
        <v>8</v>
      </c>
      <c r="AA39" s="6">
        <f t="shared" si="49"/>
        <v>8</v>
      </c>
      <c r="AB39" s="6">
        <f t="shared" si="49"/>
        <v>8</v>
      </c>
      <c r="AC39" s="6">
        <f t="shared" si="49"/>
        <v>8</v>
      </c>
      <c r="AD39" s="6">
        <f t="shared" si="49"/>
        <v>8</v>
      </c>
      <c r="AE39" s="6">
        <f t="shared" si="49"/>
        <v>4</v>
      </c>
      <c r="AF39" s="6">
        <f t="shared" si="49"/>
        <v>4</v>
      </c>
      <c r="AG39" s="6">
        <f t="shared" si="49"/>
        <v>4</v>
      </c>
      <c r="AH39" s="6">
        <f t="shared" si="49"/>
        <v>8</v>
      </c>
      <c r="AI39" s="6">
        <f t="shared" si="49"/>
        <v>8</v>
      </c>
      <c r="AJ39" s="6"/>
      <c r="AK39" s="7"/>
    </row>
    <row r="40" spans="1:37" s="2" customFormat="1" ht="15" customHeight="1" x14ac:dyDescent="0.3">
      <c r="A40" s="74"/>
      <c r="B40" s="2" t="s">
        <v>50</v>
      </c>
      <c r="C40" s="36" t="s">
        <v>6</v>
      </c>
      <c r="D40" s="23">
        <f t="shared" si="34"/>
        <v>16</v>
      </c>
      <c r="E40" s="43">
        <f t="shared" si="35"/>
        <v>256</v>
      </c>
      <c r="F40" s="11">
        <f>F10*CONSTANTS!$C$16</f>
        <v>52</v>
      </c>
      <c r="G40" s="11">
        <f>G10*CONSTANTS!$C$16</f>
        <v>52</v>
      </c>
      <c r="H40" s="11">
        <f>H10*CONSTANTS!$C$16</f>
        <v>32</v>
      </c>
      <c r="I40" s="11">
        <f>I10*CONSTANTS!$C$16</f>
        <v>52</v>
      </c>
      <c r="J40" s="11">
        <f>J10*CONSTANTS!$C$16</f>
        <v>52</v>
      </c>
      <c r="K40" s="11">
        <f>K10*CONSTANTS!$C$16</f>
        <v>16</v>
      </c>
      <c r="L40" s="11">
        <f>L10*CONSTANTS!$C$16</f>
        <v>104</v>
      </c>
      <c r="M40" s="11">
        <f>M10*CONSTANTS!$C$16</f>
        <v>104</v>
      </c>
      <c r="N40" s="11">
        <f>N10*CONSTANTS!$C$16</f>
        <v>104</v>
      </c>
      <c r="O40" s="11">
        <f>O10*CONSTANTS!$C$16</f>
        <v>124</v>
      </c>
      <c r="P40" s="11">
        <f>P10*CONSTANTS!$C$16</f>
        <v>140</v>
      </c>
      <c r="Q40" s="11">
        <f>Q10*CONSTANTS!$C$16</f>
        <v>128</v>
      </c>
      <c r="R40" s="11">
        <f>R10*CONSTANTS!$C$16</f>
        <v>128</v>
      </c>
      <c r="S40" s="11">
        <f>S10*CONSTANTS!$C$16</f>
        <v>180</v>
      </c>
      <c r="T40" s="11">
        <f>T10*CONSTANTS!$C$16</f>
        <v>208</v>
      </c>
      <c r="U40" s="11">
        <f>U10*CONSTANTS!$C$16</f>
        <v>212</v>
      </c>
      <c r="V40" s="11">
        <f>V10*CONSTANTS!$C$16</f>
        <v>104</v>
      </c>
      <c r="W40" s="11">
        <f>W10*CONSTANTS!$C$16</f>
        <v>104</v>
      </c>
      <c r="X40" s="11">
        <f>X10*CONSTANTS!$C$16</f>
        <v>212</v>
      </c>
      <c r="Y40" s="11">
        <f>Y10*CONSTANTS!$C$16</f>
        <v>212</v>
      </c>
      <c r="Z40" s="11">
        <f>Z10*CONSTANTS!$C$16</f>
        <v>52</v>
      </c>
      <c r="AA40" s="11">
        <f>AA10*CONSTANTS!$C$16</f>
        <v>52</v>
      </c>
      <c r="AB40" s="11">
        <f>AB10*CONSTANTS!$C$16</f>
        <v>104</v>
      </c>
      <c r="AC40" s="11">
        <f>AC10*CONSTANTS!$C$16</f>
        <v>104</v>
      </c>
      <c r="AD40" s="11">
        <f>AD10*CONSTANTS!$C$16</f>
        <v>128</v>
      </c>
      <c r="AE40" s="11">
        <f>AE10*CONSTANTS!$C$16</f>
        <v>208</v>
      </c>
      <c r="AF40" s="11">
        <f>AF10*CONSTANTS!$C$16</f>
        <v>208</v>
      </c>
      <c r="AG40" s="11">
        <f>AG10*CONSTANTS!$C$16</f>
        <v>256</v>
      </c>
      <c r="AH40" s="11">
        <f>AH10*CONSTANTS!$C$16</f>
        <v>88</v>
      </c>
      <c r="AI40" s="11">
        <f>AI10*CONSTANTS!$C$16</f>
        <v>128</v>
      </c>
      <c r="AJ40" s="11"/>
      <c r="AK40" s="16"/>
    </row>
    <row r="41" spans="1:37" s="2" customFormat="1" ht="15" customHeight="1" x14ac:dyDescent="0.3">
      <c r="A41" s="74"/>
      <c r="B41" s="2" t="s">
        <v>49</v>
      </c>
      <c r="C41" s="36" t="s">
        <v>14</v>
      </c>
      <c r="D41" s="23">
        <f t="shared" si="34"/>
        <v>15</v>
      </c>
      <c r="E41" s="43">
        <f t="shared" si="35"/>
        <v>19</v>
      </c>
      <c r="F41" s="11">
        <f>CONSTANTS!$C$14+CEILING(LOG(F40,2),1)+8</f>
        <v>17</v>
      </c>
      <c r="G41" s="11">
        <f>CONSTANTS!$C$14+CEILING(LOG(G40,2),1)+8</f>
        <v>17</v>
      </c>
      <c r="H41" s="11">
        <f>CONSTANTS!$C$14+CEILING(LOG(H40,2),1)+8</f>
        <v>16</v>
      </c>
      <c r="I41" s="11">
        <f>CONSTANTS!$C$14+CEILING(LOG(I40,2),1)+8</f>
        <v>17</v>
      </c>
      <c r="J41" s="11">
        <f>CONSTANTS!$C$14+CEILING(LOG(J40,2),1)+8</f>
        <v>17</v>
      </c>
      <c r="K41" s="11">
        <f>CONSTANTS!$C$14+CEILING(LOG(K40,2),1)+8</f>
        <v>15</v>
      </c>
      <c r="L41" s="11">
        <f>CONSTANTS!$C$14+CEILING(LOG(L40,2),1)+8</f>
        <v>18</v>
      </c>
      <c r="M41" s="11">
        <f>CONSTANTS!$C$14+CEILING(LOG(M40,2),1)+8</f>
        <v>18</v>
      </c>
      <c r="N41" s="11">
        <f>CONSTANTS!$C$14+CEILING(LOG(N40,2),1)+8</f>
        <v>18</v>
      </c>
      <c r="O41" s="11">
        <f>CONSTANTS!$C$14+CEILING(LOG(O40,2),1)+8</f>
        <v>18</v>
      </c>
      <c r="P41" s="11">
        <f>CONSTANTS!$C$14+CEILING(LOG(P40,2),1)+8</f>
        <v>19</v>
      </c>
      <c r="Q41" s="11">
        <f>CONSTANTS!$C$14+CEILING(LOG(Q40,2),1)+8</f>
        <v>18</v>
      </c>
      <c r="R41" s="11">
        <f>CONSTANTS!$C$14+CEILING(LOG(R40,2),1)+8</f>
        <v>18</v>
      </c>
      <c r="S41" s="11">
        <f>CONSTANTS!$C$14+CEILING(LOG(S40,2),1)+8</f>
        <v>19</v>
      </c>
      <c r="T41" s="11">
        <f>CONSTANTS!$C$14+CEILING(LOG(T40,2),1)+8</f>
        <v>19</v>
      </c>
      <c r="U41" s="11">
        <f>CONSTANTS!$C$14+CEILING(LOG(U40,2),1)+8</f>
        <v>19</v>
      </c>
      <c r="V41" s="11">
        <f>CONSTANTS!$C$14+CEILING(LOG(V40,2),1)+8</f>
        <v>18</v>
      </c>
      <c r="W41" s="11">
        <f>CONSTANTS!$C$14+CEILING(LOG(W40,2),1)+8</f>
        <v>18</v>
      </c>
      <c r="X41" s="11">
        <f>CONSTANTS!$C$14+CEILING(LOG(X40,2),1)+8</f>
        <v>19</v>
      </c>
      <c r="Y41" s="11">
        <f>CONSTANTS!$C$14+CEILING(LOG(Y40,2),1)+8</f>
        <v>19</v>
      </c>
      <c r="Z41" s="11">
        <f>CONSTANTS!$C$14+CEILING(LOG(Z40,2),1)+8</f>
        <v>17</v>
      </c>
      <c r="AA41" s="11">
        <f>CONSTANTS!$C$14+CEILING(LOG(AA40,2),1)+8</f>
        <v>17</v>
      </c>
      <c r="AB41" s="11">
        <f>CONSTANTS!$C$14+CEILING(LOG(AB40,2),1)+8</f>
        <v>18</v>
      </c>
      <c r="AC41" s="11">
        <f>CONSTANTS!$C$14+CEILING(LOG(AC40,2),1)+8</f>
        <v>18</v>
      </c>
      <c r="AD41" s="11">
        <f>CONSTANTS!$C$14+CEILING(LOG(AD40,2),1)+8</f>
        <v>18</v>
      </c>
      <c r="AE41" s="11">
        <f>CONSTANTS!$C$14+CEILING(LOG(AE40,2),1)+8</f>
        <v>19</v>
      </c>
      <c r="AF41" s="11">
        <f>CONSTANTS!$C$14+CEILING(LOG(AF40,2),1)+8</f>
        <v>19</v>
      </c>
      <c r="AG41" s="11">
        <f>CONSTANTS!$C$14+CEILING(LOG(AG40,2),1)+8</f>
        <v>19</v>
      </c>
      <c r="AH41" s="11">
        <f>CONSTANTS!$C$14+CEILING(LOG(AH40,2),1)+8</f>
        <v>18</v>
      </c>
      <c r="AI41" s="11">
        <f>CONSTANTS!$C$14+CEILING(LOG(AI40,2),1)+8</f>
        <v>18</v>
      </c>
      <c r="AJ41" s="11"/>
      <c r="AK41" s="16"/>
    </row>
    <row r="42" spans="1:37" s="2" customFormat="1" ht="15" customHeight="1" x14ac:dyDescent="0.3">
      <c r="A42" s="74"/>
      <c r="B42" s="2" t="s">
        <v>60</v>
      </c>
      <c r="C42" s="36" t="s">
        <v>6</v>
      </c>
      <c r="D42" s="23">
        <f t="shared" si="34"/>
        <v>256</v>
      </c>
      <c r="E42" s="43">
        <f t="shared" si="35"/>
        <v>65536</v>
      </c>
      <c r="F42" s="11">
        <f>F40*F40</f>
        <v>2704</v>
      </c>
      <c r="G42" s="11">
        <f t="shared" ref="G42" si="50">G40*G40</f>
        <v>2704</v>
      </c>
      <c r="H42" s="11">
        <f t="shared" ref="H42:T42" si="51">H40*H40</f>
        <v>1024</v>
      </c>
      <c r="I42" s="11">
        <f>I40*I40</f>
        <v>2704</v>
      </c>
      <c r="J42" s="11">
        <f>J40*J40</f>
        <v>2704</v>
      </c>
      <c r="K42" s="11">
        <f>K40*K40</f>
        <v>256</v>
      </c>
      <c r="L42" s="11">
        <f t="shared" si="51"/>
        <v>10816</v>
      </c>
      <c r="M42" s="11">
        <f t="shared" ref="M42" si="52">M40*M40</f>
        <v>10816</v>
      </c>
      <c r="N42" s="11">
        <f t="shared" ref="N42:O42" si="53">N40*N40</f>
        <v>10816</v>
      </c>
      <c r="O42" s="11">
        <f t="shared" si="53"/>
        <v>15376</v>
      </c>
      <c r="P42" s="11">
        <f t="shared" si="51"/>
        <v>19600</v>
      </c>
      <c r="Q42" s="11">
        <f>Q40*Q40</f>
        <v>16384</v>
      </c>
      <c r="R42" s="11">
        <f t="shared" si="51"/>
        <v>16384</v>
      </c>
      <c r="S42" s="11">
        <f t="shared" ref="S42" si="54">S40*S40</f>
        <v>32400</v>
      </c>
      <c r="T42" s="11">
        <f t="shared" si="51"/>
        <v>43264</v>
      </c>
      <c r="U42" s="11">
        <f t="shared" ref="U42" si="55">U40*U40</f>
        <v>44944</v>
      </c>
      <c r="V42" s="11">
        <f t="shared" ref="V42:AI42" si="56">V40*V40</f>
        <v>10816</v>
      </c>
      <c r="W42" s="11">
        <f t="shared" si="56"/>
        <v>10816</v>
      </c>
      <c r="X42" s="11">
        <f t="shared" si="56"/>
        <v>44944</v>
      </c>
      <c r="Y42" s="11">
        <f t="shared" si="56"/>
        <v>44944</v>
      </c>
      <c r="Z42" s="11">
        <f t="shared" si="56"/>
        <v>2704</v>
      </c>
      <c r="AA42" s="11">
        <f t="shared" si="56"/>
        <v>2704</v>
      </c>
      <c r="AB42" s="11">
        <f t="shared" si="56"/>
        <v>10816</v>
      </c>
      <c r="AC42" s="11">
        <f t="shared" si="56"/>
        <v>10816</v>
      </c>
      <c r="AD42" s="11">
        <f t="shared" si="56"/>
        <v>16384</v>
      </c>
      <c r="AE42" s="11">
        <f t="shared" si="56"/>
        <v>43264</v>
      </c>
      <c r="AF42" s="11">
        <f t="shared" si="56"/>
        <v>43264</v>
      </c>
      <c r="AG42" s="11">
        <f t="shared" si="56"/>
        <v>65536</v>
      </c>
      <c r="AH42" s="11">
        <f t="shared" si="56"/>
        <v>7744</v>
      </c>
      <c r="AI42" s="11">
        <f t="shared" si="56"/>
        <v>16384</v>
      </c>
      <c r="AJ42" s="11"/>
      <c r="AK42" s="16"/>
    </row>
    <row r="43" spans="1:37" s="2" customFormat="1" ht="15" customHeight="1" x14ac:dyDescent="0.3">
      <c r="A43" s="74"/>
      <c r="B43" s="2" t="s">
        <v>67</v>
      </c>
      <c r="C43" s="36" t="s">
        <v>89</v>
      </c>
      <c r="D43" s="24">
        <f t="shared" si="34"/>
        <v>1.0383359999999999</v>
      </c>
      <c r="E43" s="39">
        <f t="shared" si="35"/>
        <v>199.360512</v>
      </c>
      <c r="F43" s="11">
        <f t="shared" ref="F43:AI43" si="57">F42*F7*F8*F9/1000000000</f>
        <v>74.760192000000004</v>
      </c>
      <c r="G43" s="11">
        <f t="shared" si="57"/>
        <v>112.140288</v>
      </c>
      <c r="H43" s="11">
        <f t="shared" si="57"/>
        <v>4.7185920000000001</v>
      </c>
      <c r="I43" s="11">
        <f t="shared" si="57"/>
        <v>56.070143999999999</v>
      </c>
      <c r="J43" s="11">
        <f t="shared" si="57"/>
        <v>99.680256</v>
      </c>
      <c r="K43" s="11">
        <f t="shared" si="57"/>
        <v>9.4371840000000002</v>
      </c>
      <c r="L43" s="11">
        <f t="shared" si="57"/>
        <v>199.360512</v>
      </c>
      <c r="M43" s="11">
        <f t="shared" si="57"/>
        <v>166.13376</v>
      </c>
      <c r="N43" s="11">
        <f t="shared" si="57"/>
        <v>99.680256</v>
      </c>
      <c r="O43" s="11">
        <f t="shared" si="57"/>
        <v>70.852608000000004</v>
      </c>
      <c r="P43" s="11">
        <f t="shared" si="57"/>
        <v>30.105599999999999</v>
      </c>
      <c r="Q43" s="11">
        <f t="shared" si="57"/>
        <v>150.994944</v>
      </c>
      <c r="R43" s="11">
        <f t="shared" si="57"/>
        <v>75.497472000000002</v>
      </c>
      <c r="S43" s="11">
        <f t="shared" si="57"/>
        <v>74.649600000000007</v>
      </c>
      <c r="T43" s="11">
        <f t="shared" si="57"/>
        <v>49.840128</v>
      </c>
      <c r="U43" s="11">
        <f t="shared" si="57"/>
        <v>17.258496000000001</v>
      </c>
      <c r="V43" s="11">
        <f t="shared" si="57"/>
        <v>24.920064</v>
      </c>
      <c r="W43" s="11">
        <f t="shared" si="57"/>
        <v>4.1533439999999997</v>
      </c>
      <c r="X43" s="11">
        <f t="shared" si="57"/>
        <v>103.55097600000001</v>
      </c>
      <c r="Y43" s="11">
        <f t="shared" si="57"/>
        <v>17.258496000000001</v>
      </c>
      <c r="Z43" s="11">
        <f t="shared" si="57"/>
        <v>6.230016</v>
      </c>
      <c r="AA43" s="11">
        <f t="shared" si="57"/>
        <v>1.0383359999999999</v>
      </c>
      <c r="AB43" s="11">
        <f t="shared" si="57"/>
        <v>24.920064</v>
      </c>
      <c r="AC43" s="11">
        <f t="shared" si="57"/>
        <v>4.1533439999999997</v>
      </c>
      <c r="AD43" s="11">
        <f t="shared" si="57"/>
        <v>37.748736000000001</v>
      </c>
      <c r="AE43" s="11">
        <f t="shared" si="57"/>
        <v>16.613375999999999</v>
      </c>
      <c r="AF43" s="11">
        <f t="shared" si="57"/>
        <v>99.680256</v>
      </c>
      <c r="AG43" s="11">
        <f t="shared" si="57"/>
        <v>25.165824000000001</v>
      </c>
      <c r="AH43" s="11">
        <f t="shared" si="57"/>
        <v>17.842175999999998</v>
      </c>
      <c r="AI43" s="11">
        <f t="shared" si="57"/>
        <v>6.2914560000000002</v>
      </c>
      <c r="AJ43" s="11"/>
      <c r="AK43" s="16"/>
    </row>
    <row r="44" spans="1:37" s="2" customFormat="1" ht="15" customHeight="1" x14ac:dyDescent="0.3">
      <c r="A44" s="74"/>
      <c r="B44" s="2" t="s">
        <v>58</v>
      </c>
      <c r="C44" s="36" t="s">
        <v>6</v>
      </c>
      <c r="D44" s="23">
        <f t="shared" si="34"/>
        <v>9</v>
      </c>
      <c r="E44" s="43">
        <f t="shared" si="35"/>
        <v>33</v>
      </c>
      <c r="F44" s="11">
        <f t="shared" ref="F44:AI44" si="58">F12*2+1</f>
        <v>33</v>
      </c>
      <c r="G44" s="11">
        <f t="shared" si="58"/>
        <v>33</v>
      </c>
      <c r="H44" s="11">
        <f t="shared" si="58"/>
        <v>33</v>
      </c>
      <c r="I44" s="11">
        <f t="shared" si="58"/>
        <v>33</v>
      </c>
      <c r="J44" s="11">
        <f t="shared" si="58"/>
        <v>33</v>
      </c>
      <c r="K44" s="11">
        <f t="shared" si="58"/>
        <v>33</v>
      </c>
      <c r="L44" s="11">
        <f t="shared" si="58"/>
        <v>33</v>
      </c>
      <c r="M44" s="11">
        <f t="shared" si="58"/>
        <v>33</v>
      </c>
      <c r="N44" s="11">
        <f t="shared" si="58"/>
        <v>33</v>
      </c>
      <c r="O44" s="11">
        <f t="shared" si="58"/>
        <v>17</v>
      </c>
      <c r="P44" s="11">
        <f t="shared" si="58"/>
        <v>9</v>
      </c>
      <c r="Q44" s="11">
        <f t="shared" si="58"/>
        <v>17</v>
      </c>
      <c r="R44" s="11">
        <f t="shared" si="58"/>
        <v>33</v>
      </c>
      <c r="S44" s="11">
        <f t="shared" si="58"/>
        <v>17</v>
      </c>
      <c r="T44" s="11">
        <f t="shared" si="58"/>
        <v>17</v>
      </c>
      <c r="U44" s="11">
        <f t="shared" si="58"/>
        <v>17</v>
      </c>
      <c r="V44" s="11">
        <f t="shared" si="58"/>
        <v>17</v>
      </c>
      <c r="W44" s="11">
        <f t="shared" si="58"/>
        <v>17</v>
      </c>
      <c r="X44" s="11">
        <f t="shared" si="58"/>
        <v>9</v>
      </c>
      <c r="Y44" s="11">
        <f t="shared" si="58"/>
        <v>9</v>
      </c>
      <c r="Z44" s="11">
        <f t="shared" si="58"/>
        <v>9</v>
      </c>
      <c r="AA44" s="11">
        <f t="shared" si="58"/>
        <v>9</v>
      </c>
      <c r="AB44" s="11">
        <f t="shared" si="58"/>
        <v>9</v>
      </c>
      <c r="AC44" s="11">
        <f t="shared" si="58"/>
        <v>9</v>
      </c>
      <c r="AD44" s="11">
        <f t="shared" si="58"/>
        <v>17</v>
      </c>
      <c r="AE44" s="11">
        <f t="shared" si="58"/>
        <v>9</v>
      </c>
      <c r="AF44" s="11">
        <f t="shared" si="58"/>
        <v>9</v>
      </c>
      <c r="AG44" s="11">
        <f t="shared" si="58"/>
        <v>9</v>
      </c>
      <c r="AH44" s="11">
        <f t="shared" si="58"/>
        <v>9</v>
      </c>
      <c r="AI44" s="11">
        <f t="shared" si="58"/>
        <v>9</v>
      </c>
      <c r="AJ44" s="11"/>
      <c r="AK44" s="16"/>
    </row>
    <row r="45" spans="1:37" s="2" customFormat="1" ht="15" customHeight="1" x14ac:dyDescent="0.3">
      <c r="A45" s="74"/>
      <c r="B45" s="2" t="s">
        <v>51</v>
      </c>
      <c r="C45" s="36" t="s">
        <v>14</v>
      </c>
      <c r="D45" s="23">
        <f t="shared" si="34"/>
        <v>18</v>
      </c>
      <c r="E45" s="43">
        <f t="shared" si="35"/>
        <v>21</v>
      </c>
      <c r="F45" s="11">
        <f>CONSTANTS!$C$14+CEILING(LOG(F23,2),1)+8</f>
        <v>20</v>
      </c>
      <c r="G45" s="11">
        <f>CONSTANTS!$C$14+CEILING(LOG(G23,2),1)+8</f>
        <v>20</v>
      </c>
      <c r="H45" s="11">
        <f>CONSTANTS!$C$14+CEILING(LOG(H23,2),1)+8</f>
        <v>19</v>
      </c>
      <c r="I45" s="11">
        <f>CONSTANTS!$C$14+CEILING(LOG(I23,2),1)+8</f>
        <v>20</v>
      </c>
      <c r="J45" s="11">
        <f>CONSTANTS!$C$14+CEILING(LOG(J23,2),1)+8</f>
        <v>20</v>
      </c>
      <c r="K45" s="11">
        <f>CONSTANTS!$C$14+CEILING(LOG(K23,2),1)+8</f>
        <v>18</v>
      </c>
      <c r="L45" s="11">
        <f>CONSTANTS!$C$14+CEILING(LOG(L23,2),1)+8</f>
        <v>21</v>
      </c>
      <c r="M45" s="11">
        <f>CONSTANTS!$C$14+CEILING(LOG(M23,2),1)+8</f>
        <v>21</v>
      </c>
      <c r="N45" s="11">
        <f>CONSTANTS!$C$14+CEILING(LOG(N23,2),1)+8</f>
        <v>21</v>
      </c>
      <c r="O45" s="11">
        <f>CONSTANTS!$C$14+CEILING(LOG(O23,2),1)+8</f>
        <v>20</v>
      </c>
      <c r="P45" s="11">
        <f>CONSTANTS!$C$14+CEILING(LOG(P23,2),1)+8</f>
        <v>20</v>
      </c>
      <c r="Q45" s="11">
        <f>CONSTANTS!$C$14+CEILING(LOG(Q23,2),1)+8</f>
        <v>20</v>
      </c>
      <c r="R45" s="11">
        <f>CONSTANTS!$C$14+CEILING(LOG(R23,2),1)+8</f>
        <v>21</v>
      </c>
      <c r="S45" s="11">
        <f>CONSTANTS!$C$14+CEILING(LOG(S23,2),1)+8</f>
        <v>21</v>
      </c>
      <c r="T45" s="11">
        <f>CONSTANTS!$C$14+CEILING(LOG(T23,2),1)+8</f>
        <v>21</v>
      </c>
      <c r="U45" s="11">
        <f>CONSTANTS!$C$14+CEILING(LOG(U23,2),1)+8</f>
        <v>21</v>
      </c>
      <c r="V45" s="11">
        <f>CONSTANTS!$C$14+CEILING(LOG(V23,2),1)+8</f>
        <v>21</v>
      </c>
      <c r="W45" s="11">
        <f>CONSTANTS!$C$14+CEILING(LOG(W23,2),1)+8</f>
        <v>21</v>
      </c>
      <c r="X45" s="11">
        <f>CONSTANTS!$C$14+CEILING(LOG(X23,2),1)+8</f>
        <v>21</v>
      </c>
      <c r="Y45" s="11">
        <f>CONSTANTS!$C$14+CEILING(LOG(Y23,2),1)+8</f>
        <v>21</v>
      </c>
      <c r="Z45" s="11">
        <f>CONSTANTS!$C$14+CEILING(LOG(Z23,2),1)+8</f>
        <v>20</v>
      </c>
      <c r="AA45" s="11">
        <f>CONSTANTS!$C$14+CEILING(LOG(AA23,2),1)+8</f>
        <v>20</v>
      </c>
      <c r="AB45" s="11">
        <f>CONSTANTS!$C$14+CEILING(LOG(AB23,2),1)+8</f>
        <v>21</v>
      </c>
      <c r="AC45" s="11">
        <f>CONSTANTS!$C$14+CEILING(LOG(AC23,2),1)+8</f>
        <v>21</v>
      </c>
      <c r="AD45" s="11">
        <f>CONSTANTS!$C$14+CEILING(LOG(AD23,2),1)+8</f>
        <v>21</v>
      </c>
      <c r="AE45" s="11">
        <f>CONSTANTS!$C$14+CEILING(LOG(AE23,2),1)+8</f>
        <v>21</v>
      </c>
      <c r="AF45" s="11">
        <f>CONSTANTS!$C$14+CEILING(LOG(AF23,2),1)+8</f>
        <v>21</v>
      </c>
      <c r="AG45" s="11">
        <f>CONSTANTS!$C$14+CEILING(LOG(AG23,2),1)+8</f>
        <v>21</v>
      </c>
      <c r="AH45" s="11">
        <f>CONSTANTS!$C$14+CEILING(LOG(AH23,2),1)+8</f>
        <v>21</v>
      </c>
      <c r="AI45" s="11">
        <f>CONSTANTS!$C$14+CEILING(LOG(AI23,2),1)+8</f>
        <v>21</v>
      </c>
      <c r="AJ45" s="11"/>
      <c r="AK45" s="16"/>
    </row>
    <row r="46" spans="1:37" s="2" customFormat="1" x14ac:dyDescent="0.3">
      <c r="A46" s="74"/>
      <c r="B46" s="2" t="s">
        <v>34</v>
      </c>
      <c r="C46" s="36" t="s">
        <v>6</v>
      </c>
      <c r="D46" s="23">
        <f t="shared" si="34"/>
        <v>2520</v>
      </c>
      <c r="E46" s="43">
        <f t="shared" si="35"/>
        <v>33792</v>
      </c>
      <c r="F46" s="11">
        <f t="shared" ref="F46:AI46" si="59">F44*F23</f>
        <v>13728</v>
      </c>
      <c r="G46" s="11">
        <f t="shared" si="59"/>
        <v>13728</v>
      </c>
      <c r="H46" s="11">
        <f t="shared" si="59"/>
        <v>8448</v>
      </c>
      <c r="I46" s="11">
        <f t="shared" si="59"/>
        <v>13728</v>
      </c>
      <c r="J46" s="11">
        <f t="shared" si="59"/>
        <v>13728</v>
      </c>
      <c r="K46" s="11">
        <f t="shared" si="59"/>
        <v>4224</v>
      </c>
      <c r="L46" s="11">
        <f t="shared" si="59"/>
        <v>27456</v>
      </c>
      <c r="M46" s="11">
        <f t="shared" si="59"/>
        <v>27456</v>
      </c>
      <c r="N46" s="11">
        <f t="shared" si="59"/>
        <v>27456</v>
      </c>
      <c r="O46" s="11">
        <f t="shared" si="59"/>
        <v>8432</v>
      </c>
      <c r="P46" s="11">
        <f t="shared" si="59"/>
        <v>2520</v>
      </c>
      <c r="Q46" s="11">
        <f t="shared" si="59"/>
        <v>8704</v>
      </c>
      <c r="R46" s="11">
        <f t="shared" si="59"/>
        <v>33792</v>
      </c>
      <c r="S46" s="11">
        <f t="shared" si="59"/>
        <v>12240</v>
      </c>
      <c r="T46" s="11">
        <f t="shared" si="59"/>
        <v>14144</v>
      </c>
      <c r="U46" s="11">
        <f t="shared" si="59"/>
        <v>14416</v>
      </c>
      <c r="V46" s="11">
        <f t="shared" si="59"/>
        <v>14144</v>
      </c>
      <c r="W46" s="11">
        <f t="shared" si="59"/>
        <v>14144</v>
      </c>
      <c r="X46" s="11">
        <f t="shared" si="59"/>
        <v>7632</v>
      </c>
      <c r="Y46" s="11">
        <f t="shared" si="59"/>
        <v>7632</v>
      </c>
      <c r="Z46" s="11">
        <f t="shared" si="59"/>
        <v>3744</v>
      </c>
      <c r="AA46" s="11">
        <f t="shared" si="59"/>
        <v>3744</v>
      </c>
      <c r="AB46" s="11">
        <f t="shared" si="59"/>
        <v>7488</v>
      </c>
      <c r="AC46" s="11">
        <f t="shared" si="59"/>
        <v>7488</v>
      </c>
      <c r="AD46" s="11">
        <f t="shared" si="59"/>
        <v>17408</v>
      </c>
      <c r="AE46" s="11">
        <f t="shared" si="59"/>
        <v>7488</v>
      </c>
      <c r="AF46" s="11">
        <f t="shared" si="59"/>
        <v>7488</v>
      </c>
      <c r="AG46" s="11">
        <f t="shared" si="59"/>
        <v>9216</v>
      </c>
      <c r="AH46" s="11">
        <f t="shared" si="59"/>
        <v>6336</v>
      </c>
      <c r="AI46" s="11">
        <f t="shared" si="59"/>
        <v>9216</v>
      </c>
      <c r="AJ46" s="11"/>
      <c r="AK46" s="16"/>
    </row>
    <row r="47" spans="1:37" s="2" customFormat="1" x14ac:dyDescent="0.3">
      <c r="A47" s="74"/>
      <c r="B47" s="2" t="s">
        <v>66</v>
      </c>
      <c r="C47" s="36" t="s">
        <v>89</v>
      </c>
      <c r="D47" s="24">
        <f t="shared" si="34"/>
        <v>1.4376960000000001</v>
      </c>
      <c r="E47" s="39">
        <f t="shared" si="35"/>
        <v>569.32761600000003</v>
      </c>
      <c r="F47" s="11">
        <f t="shared" ref="F47:AI47" si="60">F23*F44*F7*F8*F9/1000000000</f>
        <v>379.55174399999999</v>
      </c>
      <c r="G47" s="11">
        <f t="shared" si="60"/>
        <v>569.32761600000003</v>
      </c>
      <c r="H47" s="11">
        <f t="shared" si="60"/>
        <v>38.928384000000001</v>
      </c>
      <c r="I47" s="11">
        <f t="shared" si="60"/>
        <v>284.66380800000002</v>
      </c>
      <c r="J47" s="11">
        <f t="shared" si="60"/>
        <v>506.06899199999998</v>
      </c>
      <c r="K47" s="11">
        <f t="shared" si="60"/>
        <v>155.713536</v>
      </c>
      <c r="L47" s="11">
        <f t="shared" si="60"/>
        <v>506.06899199999998</v>
      </c>
      <c r="M47" s="11">
        <f t="shared" si="60"/>
        <v>421.72415999999998</v>
      </c>
      <c r="N47" s="11">
        <f t="shared" si="60"/>
        <v>253.03449599999999</v>
      </c>
      <c r="O47" s="11">
        <f t="shared" si="60"/>
        <v>38.854655999999999</v>
      </c>
      <c r="P47" s="11">
        <f t="shared" si="60"/>
        <v>3.8707199999999999</v>
      </c>
      <c r="Q47" s="11">
        <f t="shared" si="60"/>
        <v>80.216064000000003</v>
      </c>
      <c r="R47" s="11">
        <f t="shared" si="60"/>
        <v>155.713536</v>
      </c>
      <c r="S47" s="11">
        <f t="shared" si="60"/>
        <v>28.200959999999998</v>
      </c>
      <c r="T47" s="11">
        <f t="shared" si="60"/>
        <v>16.293887999999999</v>
      </c>
      <c r="U47" s="11">
        <f t="shared" si="60"/>
        <v>5.5357440000000002</v>
      </c>
      <c r="V47" s="11">
        <f t="shared" si="60"/>
        <v>32.587775999999998</v>
      </c>
      <c r="W47" s="11">
        <f t="shared" si="60"/>
        <v>5.4312959999999997</v>
      </c>
      <c r="X47" s="11">
        <f t="shared" si="60"/>
        <v>17.584128</v>
      </c>
      <c r="Y47" s="11">
        <f t="shared" si="60"/>
        <v>2.930688</v>
      </c>
      <c r="Z47" s="11">
        <f t="shared" si="60"/>
        <v>8.6261759999999992</v>
      </c>
      <c r="AA47" s="11">
        <f t="shared" si="60"/>
        <v>1.4376960000000001</v>
      </c>
      <c r="AB47" s="11">
        <f t="shared" si="60"/>
        <v>17.252351999999998</v>
      </c>
      <c r="AC47" s="11">
        <f t="shared" si="60"/>
        <v>2.8753920000000002</v>
      </c>
      <c r="AD47" s="11">
        <f t="shared" si="60"/>
        <v>40.108032000000001</v>
      </c>
      <c r="AE47" s="11">
        <f t="shared" si="60"/>
        <v>2.8753920000000002</v>
      </c>
      <c r="AF47" s="11">
        <f t="shared" si="60"/>
        <v>17.252351999999998</v>
      </c>
      <c r="AG47" s="11">
        <f t="shared" si="60"/>
        <v>3.5389439999999999</v>
      </c>
      <c r="AH47" s="11">
        <f t="shared" si="60"/>
        <v>14.598144</v>
      </c>
      <c r="AI47" s="11">
        <f t="shared" si="60"/>
        <v>3.5389439999999999</v>
      </c>
      <c r="AJ47" s="11"/>
      <c r="AK47" s="16"/>
    </row>
    <row r="48" spans="1:37" s="2" customFormat="1" x14ac:dyDescent="0.3">
      <c r="A48" s="74"/>
      <c r="B48" s="2" t="s">
        <v>88</v>
      </c>
      <c r="C48" s="36" t="s">
        <v>89</v>
      </c>
      <c r="D48" s="24">
        <f t="shared" si="34"/>
        <v>2.476032</v>
      </c>
      <c r="E48" s="39">
        <f t="shared" si="35"/>
        <v>705.42950399999995</v>
      </c>
      <c r="F48" s="11">
        <f>F43+F47</f>
        <v>454.311936</v>
      </c>
      <c r="G48" s="11">
        <f>G43+G47</f>
        <v>681.46790400000009</v>
      </c>
      <c r="H48" s="11">
        <f t="shared" ref="H48:T48" si="61">H43+H47</f>
        <v>43.646976000000002</v>
      </c>
      <c r="I48" s="11">
        <f>I43+I47</f>
        <v>340.73395200000004</v>
      </c>
      <c r="J48" s="11">
        <f>J43+J47</f>
        <v>605.74924799999997</v>
      </c>
      <c r="K48" s="11">
        <f>K43+K47</f>
        <v>165.15072000000001</v>
      </c>
      <c r="L48" s="11">
        <f t="shared" si="61"/>
        <v>705.42950399999995</v>
      </c>
      <c r="M48" s="11">
        <f t="shared" ref="M48" si="62">M43+M47</f>
        <v>587.85791999999992</v>
      </c>
      <c r="N48" s="11">
        <f t="shared" ref="N48:O48" si="63">N43+N47</f>
        <v>352.71475199999998</v>
      </c>
      <c r="O48" s="11">
        <f t="shared" si="63"/>
        <v>109.70726400000001</v>
      </c>
      <c r="P48" s="11">
        <f t="shared" si="61"/>
        <v>33.976320000000001</v>
      </c>
      <c r="Q48" s="11">
        <f>Q43+Q47</f>
        <v>231.21100799999999</v>
      </c>
      <c r="R48" s="11">
        <f t="shared" si="61"/>
        <v>231.21100799999999</v>
      </c>
      <c r="S48" s="11">
        <f t="shared" ref="S48" si="64">S43+S47</f>
        <v>102.85056</v>
      </c>
      <c r="T48" s="11">
        <f t="shared" si="61"/>
        <v>66.134016000000003</v>
      </c>
      <c r="U48" s="11">
        <f t="shared" ref="U48" si="65">U43+U47</f>
        <v>22.794240000000002</v>
      </c>
      <c r="V48" s="11">
        <f t="shared" ref="V48:AI48" si="66">V43+V47</f>
        <v>57.507840000000002</v>
      </c>
      <c r="W48" s="11">
        <f t="shared" si="66"/>
        <v>9.5846400000000003</v>
      </c>
      <c r="X48" s="11">
        <f t="shared" si="66"/>
        <v>121.13510400000001</v>
      </c>
      <c r="Y48" s="11">
        <f t="shared" si="66"/>
        <v>20.189184000000001</v>
      </c>
      <c r="Z48" s="11">
        <f t="shared" si="66"/>
        <v>14.856192</v>
      </c>
      <c r="AA48" s="11">
        <f t="shared" si="66"/>
        <v>2.476032</v>
      </c>
      <c r="AB48" s="11">
        <f t="shared" si="66"/>
        <v>42.172415999999998</v>
      </c>
      <c r="AC48" s="11">
        <f t="shared" si="66"/>
        <v>7.0287360000000003</v>
      </c>
      <c r="AD48" s="11">
        <f t="shared" si="66"/>
        <v>77.856768000000002</v>
      </c>
      <c r="AE48" s="11">
        <f t="shared" si="66"/>
        <v>19.488768</v>
      </c>
      <c r="AF48" s="11">
        <f t="shared" si="66"/>
        <v>116.932608</v>
      </c>
      <c r="AG48" s="11">
        <f t="shared" si="66"/>
        <v>28.704768000000001</v>
      </c>
      <c r="AH48" s="11">
        <f t="shared" si="66"/>
        <v>32.44032</v>
      </c>
      <c r="AI48" s="11">
        <f t="shared" si="66"/>
        <v>9.8304000000000009</v>
      </c>
      <c r="AJ48" s="11"/>
      <c r="AK48" s="16"/>
    </row>
    <row r="49" spans="1:37" s="2" customFormat="1" x14ac:dyDescent="0.3">
      <c r="A49" s="74"/>
      <c r="B49" s="2" t="s">
        <v>115</v>
      </c>
      <c r="C49" s="36" t="s">
        <v>89</v>
      </c>
      <c r="D49" s="24">
        <f t="shared" si="34"/>
        <v>2.5023062152602327</v>
      </c>
      <c r="E49" s="39">
        <f t="shared" si="35"/>
        <v>807.12757894736819</v>
      </c>
      <c r="F49" s="11">
        <f t="shared" ref="F49:AI49" si="67">F48*1000/F9/F15</f>
        <v>484.85798932764141</v>
      </c>
      <c r="G49" s="11">
        <f t="shared" si="67"/>
        <v>752.58741468801782</v>
      </c>
      <c r="H49" s="11">
        <f t="shared" si="67"/>
        <v>44.110132390096013</v>
      </c>
      <c r="I49" s="11">
        <f t="shared" si="67"/>
        <v>376.29370734400891</v>
      </c>
      <c r="J49" s="11">
        <f t="shared" si="67"/>
        <v>646.47731910352184</v>
      </c>
      <c r="K49" s="11">
        <f t="shared" si="67"/>
        <v>176.2547705442903</v>
      </c>
      <c r="L49" s="11">
        <f t="shared" si="67"/>
        <v>807.12757894736819</v>
      </c>
      <c r="M49" s="11">
        <f t="shared" si="67"/>
        <v>744.12394936708847</v>
      </c>
      <c r="N49" s="11">
        <f t="shared" si="67"/>
        <v>376.42983137673417</v>
      </c>
      <c r="O49" s="11">
        <f t="shared" si="67"/>
        <v>113.27544037170881</v>
      </c>
      <c r="P49" s="11">
        <f t="shared" si="67"/>
        <v>34.33685699848408</v>
      </c>
      <c r="Q49" s="11">
        <f t="shared" si="67"/>
        <v>309.10562566844914</v>
      </c>
      <c r="R49" s="11">
        <f t="shared" si="67"/>
        <v>264.54348741418761</v>
      </c>
      <c r="S49" s="11">
        <f t="shared" si="67"/>
        <v>109.76580576307363</v>
      </c>
      <c r="T49" s="11">
        <f t="shared" si="67"/>
        <v>68.284993288590599</v>
      </c>
      <c r="U49" s="11">
        <f t="shared" si="67"/>
        <v>23.036119252147547</v>
      </c>
      <c r="V49" s="11">
        <f t="shared" si="67"/>
        <v>61.374429028815371</v>
      </c>
      <c r="W49" s="11">
        <f t="shared" si="67"/>
        <v>9.6863466397170281</v>
      </c>
      <c r="X49" s="11">
        <f t="shared" si="67"/>
        <v>129.27972678762006</v>
      </c>
      <c r="Y49" s="11">
        <f t="shared" si="67"/>
        <v>20.40341990904497</v>
      </c>
      <c r="Z49" s="11">
        <f t="shared" si="67"/>
        <v>15.855060832443971</v>
      </c>
      <c r="AA49" s="11">
        <f t="shared" si="67"/>
        <v>2.5023062152602327</v>
      </c>
      <c r="AB49" s="11">
        <f t="shared" si="67"/>
        <v>45.00791462113127</v>
      </c>
      <c r="AC49" s="11">
        <f t="shared" si="67"/>
        <v>7.1033208691258212</v>
      </c>
      <c r="AD49" s="11">
        <f t="shared" si="67"/>
        <v>83.091534685165414</v>
      </c>
      <c r="AE49" s="11">
        <f t="shared" si="67"/>
        <v>19.695571500757957</v>
      </c>
      <c r="AF49" s="11">
        <f t="shared" si="67"/>
        <v>124.79467235859126</v>
      </c>
      <c r="AG49" s="11">
        <f t="shared" si="67"/>
        <v>29.009366346639716</v>
      </c>
      <c r="AH49" s="11">
        <f t="shared" si="67"/>
        <v>34.621472785485594</v>
      </c>
      <c r="AI49" s="11">
        <f t="shared" si="67"/>
        <v>9.9347145022738772</v>
      </c>
      <c r="AJ49" s="11"/>
      <c r="AK49" s="8"/>
    </row>
    <row r="50" spans="1:37" s="2" customFormat="1" x14ac:dyDescent="0.3">
      <c r="A50" s="74"/>
      <c r="B50" s="2" t="s">
        <v>61</v>
      </c>
      <c r="C50" s="36" t="s">
        <v>39</v>
      </c>
      <c r="D50" s="23">
        <f t="shared" si="34"/>
        <v>27</v>
      </c>
      <c r="E50" s="43">
        <f t="shared" si="35"/>
        <v>240</v>
      </c>
      <c r="F50" s="2">
        <f>CONSTANTS!$C$13*CONSTANTS!$C$14*(F23+F40)/1024</f>
        <v>87.75</v>
      </c>
      <c r="G50" s="2">
        <f>CONSTANTS!$C$13*CONSTANTS!$C$14*(G23+G40)/1024</f>
        <v>87.75</v>
      </c>
      <c r="H50" s="2">
        <f>CONSTANTS!$C$13*CONSTANTS!$C$14*(H23+H40)/1024</f>
        <v>54</v>
      </c>
      <c r="I50" s="2">
        <f>CONSTANTS!$C$13*CONSTANTS!$C$14*(I23+I40)/1024</f>
        <v>87.75</v>
      </c>
      <c r="J50" s="2">
        <f>CONSTANTS!$C$13*CONSTANTS!$C$14*(J23+J40)/1024</f>
        <v>87.75</v>
      </c>
      <c r="K50" s="2">
        <f>CONSTANTS!$C$13*CONSTANTS!$C$14*(K23+K40)/1024</f>
        <v>27</v>
      </c>
      <c r="L50" s="2">
        <f>CONSTANTS!$C$13*CONSTANTS!$C$14*(L23+L40)/1024</f>
        <v>175.5</v>
      </c>
      <c r="M50" s="2">
        <f>CONSTANTS!$C$13*CONSTANTS!$C$14*(M23+M40)/1024</f>
        <v>175.5</v>
      </c>
      <c r="N50" s="2">
        <f>CONSTANTS!$C$13*CONSTANTS!$C$14*(N23+N40)/1024</f>
        <v>175.5</v>
      </c>
      <c r="O50" s="2">
        <f>CONSTANTS!$C$13*CONSTANTS!$C$14*(O23+O40)/1024</f>
        <v>116.25</v>
      </c>
      <c r="P50" s="2">
        <f>CONSTANTS!$C$13*CONSTANTS!$C$14*(P23+P40)/1024</f>
        <v>78.75</v>
      </c>
      <c r="Q50" s="2">
        <f>CONSTANTS!$C$13*CONSTANTS!$C$14*(Q23+Q40)/1024</f>
        <v>120</v>
      </c>
      <c r="R50" s="2">
        <f>CONSTANTS!$C$13*CONSTANTS!$C$14*(R23+R40)/1024</f>
        <v>216</v>
      </c>
      <c r="S50" s="2">
        <f>CONSTANTS!$C$13*CONSTANTS!$C$14*(S23+S40)/1024</f>
        <v>168.75</v>
      </c>
      <c r="T50" s="2">
        <f>CONSTANTS!$C$13*CONSTANTS!$C$14*(T23+T40)/1024</f>
        <v>195</v>
      </c>
      <c r="U50" s="2">
        <f>CONSTANTS!$C$13*CONSTANTS!$C$14*(U23+U40)/1024</f>
        <v>198.75</v>
      </c>
      <c r="V50" s="2">
        <f>CONSTANTS!$C$13*CONSTANTS!$C$14*(V23+V40)/1024</f>
        <v>175.5</v>
      </c>
      <c r="W50" s="2">
        <f>CONSTANTS!$C$13*CONSTANTS!$C$14*(W23+W40)/1024</f>
        <v>175.5</v>
      </c>
      <c r="X50" s="2">
        <f>CONSTANTS!$C$13*CONSTANTS!$C$14*(X23+X40)/1024</f>
        <v>198.75</v>
      </c>
      <c r="Y50" s="2">
        <f>CONSTANTS!$C$13*CONSTANTS!$C$14*(Y23+Y40)/1024</f>
        <v>198.75</v>
      </c>
      <c r="Z50" s="2">
        <f>CONSTANTS!$C$13*CONSTANTS!$C$14*(Z23+Z40)/1024</f>
        <v>87.75</v>
      </c>
      <c r="AA50" s="2">
        <f>CONSTANTS!$C$13*CONSTANTS!$C$14*(AA23+AA40)/1024</f>
        <v>87.75</v>
      </c>
      <c r="AB50" s="2">
        <f>CONSTANTS!$C$13*CONSTANTS!$C$14*(AB23+AB40)/1024</f>
        <v>175.5</v>
      </c>
      <c r="AC50" s="2">
        <f>CONSTANTS!$C$13*CONSTANTS!$C$14*(AC23+AC40)/1024</f>
        <v>175.5</v>
      </c>
      <c r="AD50" s="2">
        <f>CONSTANTS!$C$13*CONSTANTS!$C$14*(AD23+AD40)/1024</f>
        <v>216</v>
      </c>
      <c r="AE50" s="2">
        <f>CONSTANTS!$C$13*CONSTANTS!$C$14*(AE23+AE40)/1024</f>
        <v>195</v>
      </c>
      <c r="AF50" s="2">
        <f>CONSTANTS!$C$13*CONSTANTS!$C$14*(AF23+AF40)/1024</f>
        <v>195</v>
      </c>
      <c r="AG50" s="2">
        <f>CONSTANTS!$C$13*CONSTANTS!$C$14*(AG23+AG40)/1024</f>
        <v>240</v>
      </c>
      <c r="AH50" s="2">
        <f>CONSTANTS!$C$13*CONSTANTS!$C$14*(AH23+AH40)/1024</f>
        <v>148.5</v>
      </c>
      <c r="AI50" s="2">
        <f>CONSTANTS!$C$13*CONSTANTS!$C$14*(AI23+AI40)/1024</f>
        <v>216</v>
      </c>
      <c r="AK50" s="8"/>
    </row>
    <row r="51" spans="1:37" s="2" customFormat="1" ht="15" thickBot="1" x14ac:dyDescent="0.35">
      <c r="A51" s="75"/>
      <c r="B51" s="29" t="s">
        <v>62</v>
      </c>
      <c r="C51" s="38" t="s">
        <v>63</v>
      </c>
      <c r="D51" s="40">
        <f t="shared" si="34"/>
        <v>8.9553979205130696E-2</v>
      </c>
      <c r="E51" s="41">
        <f t="shared" si="35"/>
        <v>38.749276234294818</v>
      </c>
      <c r="F51" s="19">
        <f t="shared" ref="F51:AI51" si="68">F44*F45/F18</f>
        <v>24.966041866192363</v>
      </c>
      <c r="G51" s="19">
        <f t="shared" si="68"/>
        <v>38.749276234294818</v>
      </c>
      <c r="H51" s="19">
        <f t="shared" si="68"/>
        <v>3.7433563307744633</v>
      </c>
      <c r="I51" s="19">
        <f t="shared" si="68"/>
        <v>19.374638117147409</v>
      </c>
      <c r="J51" s="19">
        <f t="shared" si="68"/>
        <v>33.288055821589815</v>
      </c>
      <c r="K51" s="19">
        <f t="shared" si="68"/>
        <v>29.959250239430833</v>
      </c>
      <c r="L51" s="19">
        <f t="shared" si="68"/>
        <v>18.729290322580646</v>
      </c>
      <c r="M51" s="19">
        <f t="shared" si="68"/>
        <v>17.265985401459854</v>
      </c>
      <c r="N51" s="19">
        <f t="shared" si="68"/>
        <v>8.7381146531673259</v>
      </c>
      <c r="O51" s="19">
        <f t="shared" si="68"/>
        <v>2.0737524818001316</v>
      </c>
      <c r="P51" s="19">
        <f t="shared" si="68"/>
        <v>0.35821591682052278</v>
      </c>
      <c r="Q51" s="19">
        <f t="shared" si="68"/>
        <v>5.3691569568197393</v>
      </c>
      <c r="R51" s="19">
        <f t="shared" si="68"/>
        <v>4.6823225806451614</v>
      </c>
      <c r="S51" s="19">
        <f t="shared" si="68"/>
        <v>1.1253632507867011</v>
      </c>
      <c r="T51" s="19">
        <f t="shared" si="68"/>
        <v>0.54436002647253456</v>
      </c>
      <c r="U51" s="19">
        <f t="shared" si="68"/>
        <v>0.17761539209017588</v>
      </c>
      <c r="V51" s="19">
        <f t="shared" si="68"/>
        <v>1.1253632507867011</v>
      </c>
      <c r="W51" s="19">
        <f t="shared" si="68"/>
        <v>0.17761539209017588</v>
      </c>
      <c r="X51" s="19">
        <f t="shared" si="68"/>
        <v>0.59578054453413587</v>
      </c>
      <c r="Y51" s="19">
        <f t="shared" si="68"/>
        <v>9.4031678165387225E-2</v>
      </c>
      <c r="Z51" s="19">
        <f t="shared" si="68"/>
        <v>0.56741004241346271</v>
      </c>
      <c r="AA51" s="19">
        <f t="shared" si="68"/>
        <v>8.9553979205130696E-2</v>
      </c>
      <c r="AB51" s="19">
        <f t="shared" si="68"/>
        <v>0.59578054453413587</v>
      </c>
      <c r="AC51" s="19">
        <f t="shared" si="68"/>
        <v>9.4031678165387225E-2</v>
      </c>
      <c r="AD51" s="19">
        <f t="shared" si="68"/>
        <v>1.1253632507867011</v>
      </c>
      <c r="AE51" s="19">
        <f t="shared" si="68"/>
        <v>9.4031678165387225E-2</v>
      </c>
      <c r="AF51" s="19">
        <f t="shared" si="68"/>
        <v>0.59578054453413587</v>
      </c>
      <c r="AG51" s="19">
        <f t="shared" si="68"/>
        <v>9.4031678165387225E-2</v>
      </c>
      <c r="AH51" s="19">
        <f t="shared" si="68"/>
        <v>0.59578054453413587</v>
      </c>
      <c r="AI51" s="19">
        <f t="shared" si="68"/>
        <v>9.4031678165387225E-2</v>
      </c>
      <c r="AJ51" s="19"/>
      <c r="AK51" s="20"/>
    </row>
    <row r="52" spans="1:37" s="2" customFormat="1" x14ac:dyDescent="0.3">
      <c r="C52" s="4"/>
      <c r="D52" s="4"/>
      <c r="E52" s="23"/>
    </row>
  </sheetData>
  <mergeCells count="4">
    <mergeCell ref="A24:A38"/>
    <mergeCell ref="A39:A51"/>
    <mergeCell ref="A13:A23"/>
    <mergeCell ref="A2:A12"/>
  </mergeCells>
  <conditionalFormatting sqref="F13:AK51">
    <cfRule type="expression" dxfId="1" priority="1">
      <formula>F13=MIN($F13:$AK13)</formula>
    </cfRule>
    <cfRule type="expression" dxfId="0" priority="3">
      <formula>F13=MAX($F13:$AK13)</formula>
    </cfRule>
  </conditionalFormatting>
  <dataValidations disablePrompts="1" count="2">
    <dataValidation type="whole" allowBlank="1" showInputMessage="1" showErrorMessage="1" sqref="I48:AK48 F48">
      <formula1>10</formula1>
      <formula2>#REF!</formula2>
    </dataValidation>
    <dataValidation type="whole" errorStyle="warning" allowBlank="1" showInputMessage="1" showErrorMessage="1" sqref="G48:H48">
      <formula1>10</formula1>
      <formula2>#REF!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8" sqref="D18"/>
    </sheetView>
  </sheetViews>
  <sheetFormatPr defaultRowHeight="14.4" x14ac:dyDescent="0.3"/>
  <cols>
    <col min="1" max="1" width="28.44140625" bestFit="1" customWidth="1"/>
    <col min="2" max="2" width="6.44140625" bestFit="1" customWidth="1"/>
  </cols>
  <sheetData>
    <row r="1" spans="1:3" x14ac:dyDescent="0.3">
      <c r="A1" s="3" t="s">
        <v>28</v>
      </c>
    </row>
    <row r="2" spans="1:3" x14ac:dyDescent="0.3">
      <c r="A2" t="s">
        <v>23</v>
      </c>
      <c r="B2" t="s">
        <v>14</v>
      </c>
      <c r="C2">
        <v>64</v>
      </c>
    </row>
    <row r="3" spans="1:3" x14ac:dyDescent="0.3">
      <c r="A3" t="s">
        <v>17</v>
      </c>
      <c r="B3" t="s">
        <v>24</v>
      </c>
      <c r="C3">
        <v>22000</v>
      </c>
    </row>
    <row r="4" spans="1:3" x14ac:dyDescent="0.3">
      <c r="A4" t="s">
        <v>31</v>
      </c>
      <c r="B4" t="s">
        <v>10</v>
      </c>
      <c r="C4">
        <v>1</v>
      </c>
    </row>
    <row r="5" spans="1:3" x14ac:dyDescent="0.3">
      <c r="A5" t="s">
        <v>125</v>
      </c>
      <c r="B5" t="s">
        <v>42</v>
      </c>
      <c r="C5">
        <v>2.1</v>
      </c>
    </row>
    <row r="6" spans="1:3" x14ac:dyDescent="0.3">
      <c r="A6" t="s">
        <v>126</v>
      </c>
      <c r="B6" t="s">
        <v>127</v>
      </c>
      <c r="C6">
        <v>2.5</v>
      </c>
    </row>
    <row r="7" spans="1:3" x14ac:dyDescent="0.3">
      <c r="A7" s="3" t="s">
        <v>52</v>
      </c>
    </row>
    <row r="8" spans="1:3" x14ac:dyDescent="0.3">
      <c r="A8" t="s">
        <v>18</v>
      </c>
      <c r="B8" t="s">
        <v>25</v>
      </c>
      <c r="C8">
        <v>1.5</v>
      </c>
    </row>
    <row r="9" spans="1:3" x14ac:dyDescent="0.3">
      <c r="A9" t="s">
        <v>30</v>
      </c>
      <c r="B9" t="s">
        <v>6</v>
      </c>
      <c r="C9">
        <v>1</v>
      </c>
    </row>
    <row r="10" spans="1:3" x14ac:dyDescent="0.3">
      <c r="A10" t="s">
        <v>41</v>
      </c>
      <c r="B10" t="s">
        <v>14</v>
      </c>
      <c r="C10">
        <v>8</v>
      </c>
    </row>
    <row r="11" spans="1:3" x14ac:dyDescent="0.3">
      <c r="A11" t="s">
        <v>55</v>
      </c>
      <c r="B11" t="s">
        <v>14</v>
      </c>
      <c r="C11">
        <v>12</v>
      </c>
    </row>
    <row r="12" spans="1:3" x14ac:dyDescent="0.3">
      <c r="A12" s="3" t="s">
        <v>26</v>
      </c>
    </row>
    <row r="13" spans="1:3" x14ac:dyDescent="0.3">
      <c r="A13" t="s">
        <v>27</v>
      </c>
      <c r="C13">
        <v>64</v>
      </c>
    </row>
    <row r="14" spans="1:3" x14ac:dyDescent="0.3">
      <c r="A14" t="s">
        <v>29</v>
      </c>
      <c r="B14" t="s">
        <v>14</v>
      </c>
      <c r="C14">
        <v>3</v>
      </c>
    </row>
    <row r="15" spans="1:3" x14ac:dyDescent="0.3">
      <c r="A15" s="3" t="s">
        <v>26</v>
      </c>
    </row>
    <row r="16" spans="1:3" x14ac:dyDescent="0.3">
      <c r="A16" t="s">
        <v>32</v>
      </c>
      <c r="B16" t="s">
        <v>33</v>
      </c>
      <c r="C16">
        <v>2</v>
      </c>
    </row>
    <row r="17" spans="1:4" x14ac:dyDescent="0.3">
      <c r="A17" t="s">
        <v>35</v>
      </c>
      <c r="B17" t="s">
        <v>14</v>
      </c>
      <c r="C17">
        <v>2</v>
      </c>
    </row>
    <row r="18" spans="1:4" x14ac:dyDescent="0.3">
      <c r="A18" t="s">
        <v>36</v>
      </c>
      <c r="B18" t="s">
        <v>14</v>
      </c>
      <c r="C18">
        <v>8</v>
      </c>
      <c r="D18" t="s">
        <v>37</v>
      </c>
    </row>
    <row r="19" spans="1:4" x14ac:dyDescent="0.3">
      <c r="A19" s="3" t="s">
        <v>38</v>
      </c>
    </row>
    <row r="20" spans="1:4" x14ac:dyDescent="0.3">
      <c r="A20" t="s">
        <v>44</v>
      </c>
      <c r="B20" t="s">
        <v>6</v>
      </c>
      <c r="C2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4EA7B3EC026B439B8A06AC61C07252" ma:contentTypeVersion="0" ma:contentTypeDescription="Create a new document." ma:contentTypeScope="" ma:versionID="f6d50daf82849830dce32199866cbe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26BEE3-DEAC-4927-BC2D-425D2620C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3BCEA8-8FF0-488C-BBE5-AFE5099FD769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6CB1D5-A007-4446-BB99-6158A81D23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tables</vt:lpstr>
      <vt:lpstr>Sheet1</vt:lpstr>
      <vt:lpstr>CONSTANTS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Menashe, Ohad</dc:creator>
  <cp:lastModifiedBy>Sharoni, Yuval</cp:lastModifiedBy>
  <dcterms:created xsi:type="dcterms:W3CDTF">2016-01-17T07:40:15Z</dcterms:created>
  <dcterms:modified xsi:type="dcterms:W3CDTF">2017-03-22T08:44:15Z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0x010100254EA7B3EC026B439B8A06AC61C07252</vt:lpwstr>
  </property>
  <property fmtid="{D5CDD505-2E9C-101B-9397-08002B2CF9AE}" pid="3" name="Order">
    <vt:r8>1992300</vt:r8>
  </property>
  <property fmtid="{D5CDD505-2E9C-101B-9397-08002B2CF9AE}" pid="4" name="TemplateUrl">
    <vt:lpwstr/>
  </property>
  <property fmtid="{D5CDD505-2E9C-101B-9397-08002B2CF9AE}" pid="5" name="_CopySource">
    <vt:lpwstr>https://sharepoint.ger.ith.intel.com/sites/3D_project/Shared Documents/Algo/IVCAM2.0/A.0 ASIC Algo AD/IVCAM2.0_AlgoPipe_AD_revisedOhad.xlsx</vt:lpwstr>
  </property>
  <property fmtid="{D5CDD505-2E9C-101B-9397-08002B2CF9AE}" pid="6" name="xd_ProgID">
    <vt:lpwstr/>
  </property>
</Properties>
</file>