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1"/>
  </bookViews>
  <sheets>
    <sheet name="Data" sheetId="1" r:id="rId1"/>
    <sheet name="HW" sheetId="2" r:id="rId2"/>
  </sheets>
  <definedNames>
    <definedName name="solver_adj" localSheetId="1" hidden="1">HW!$L$4:$L$6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HW!$L$4:$L$6</definedName>
    <definedName name="solver_lhs2" localSheetId="1" hidden="1">HW!$L$4:$L$6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HW!$R$2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P21" i="2" l="1"/>
  <c r="O21" i="2"/>
  <c r="N21" i="2"/>
  <c r="M21" i="2"/>
  <c r="Q6" i="2"/>
  <c r="N7" i="2"/>
  <c r="P10" i="2" s="1"/>
  <c r="M6" i="2"/>
  <c r="O6" i="2"/>
  <c r="N6" i="2"/>
  <c r="P9" i="2"/>
  <c r="P8" i="2"/>
  <c r="P7" i="2"/>
  <c r="P6" i="2"/>
  <c r="L2" i="2"/>
  <c r="L3" i="2"/>
  <c r="H4" i="2"/>
  <c r="G4" i="2"/>
  <c r="B8" i="2"/>
  <c r="F5" i="2"/>
  <c r="G5" i="2" s="1"/>
  <c r="H5" i="2" s="1"/>
  <c r="F6" i="2"/>
  <c r="G6" i="2" s="1"/>
  <c r="H2" i="2" s="1"/>
  <c r="F7" i="2"/>
  <c r="G7" i="2" s="1"/>
  <c r="H3" i="2" s="1"/>
  <c r="F4" i="2"/>
  <c r="B5" i="2"/>
  <c r="O7" i="2" l="1"/>
  <c r="M7" i="2" s="1"/>
  <c r="Q7" i="2" s="1"/>
  <c r="I2" i="2"/>
  <c r="I5" i="2"/>
  <c r="I3" i="2"/>
  <c r="I4" i="2"/>
  <c r="N8" i="2" l="1"/>
  <c r="O8" i="2" l="1"/>
  <c r="M8" i="2" s="1"/>
  <c r="Q8" i="2" s="1"/>
  <c r="P11" i="2"/>
  <c r="N9" i="2" l="1"/>
  <c r="P12" i="2" s="1"/>
  <c r="O9" i="2" l="1"/>
  <c r="N10" i="2" s="1"/>
  <c r="P13" i="2" s="1"/>
  <c r="O10" i="2" l="1"/>
  <c r="N11" i="2" s="1"/>
  <c r="P14" i="2" s="1"/>
  <c r="M9" i="2"/>
  <c r="Q9" i="2" s="1"/>
  <c r="M10" i="2" l="1"/>
  <c r="Q10" i="2" s="1"/>
  <c r="O11" i="2"/>
  <c r="M11" i="2" s="1"/>
  <c r="Q11" i="2" s="1"/>
  <c r="N12" i="2" l="1"/>
  <c r="P15" i="2" s="1"/>
  <c r="O12" i="2" l="1"/>
  <c r="N13" i="2" s="1"/>
  <c r="O13" i="2" s="1"/>
  <c r="M13" i="2" s="1"/>
  <c r="Q13" i="2" s="1"/>
  <c r="P16" i="2" l="1"/>
  <c r="M12" i="2"/>
  <c r="Q12" i="2" s="1"/>
  <c r="N14" i="2"/>
  <c r="O14" i="2" l="1"/>
  <c r="N15" i="2" s="1"/>
  <c r="P17" i="2"/>
  <c r="M14" i="2" l="1"/>
  <c r="Q14" i="2" s="1"/>
  <c r="P18" i="2"/>
  <c r="O15" i="2"/>
  <c r="M15" i="2" s="1"/>
  <c r="Q15" i="2" s="1"/>
  <c r="N16" i="2" l="1"/>
  <c r="P19" i="2" s="1"/>
  <c r="O16" i="2" l="1"/>
  <c r="M16" i="2" s="1"/>
  <c r="Q16" i="2" s="1"/>
  <c r="N17" i="2" l="1"/>
  <c r="P20" i="2" s="1"/>
  <c r="O17" i="2" l="1"/>
  <c r="M17" i="2" s="1"/>
  <c r="Q17" i="2" s="1"/>
  <c r="N18" i="2" l="1"/>
  <c r="O18" i="2" s="1"/>
  <c r="N19" i="2" l="1"/>
  <c r="O19" i="2" s="1"/>
  <c r="M18" i="2"/>
  <c r="Q18" i="2" s="1"/>
  <c r="N20" i="2"/>
  <c r="O20" i="2" s="1"/>
  <c r="M20" i="2" s="1"/>
  <c r="Q20" i="2" s="1"/>
  <c r="M19" i="2" l="1"/>
  <c r="Q19" i="2" s="1"/>
  <c r="R2" i="2" s="1"/>
</calcChain>
</file>

<file path=xl/sharedStrings.xml><?xml version="1.0" encoding="utf-8"?>
<sst xmlns="http://schemas.openxmlformats.org/spreadsheetml/2006/main" count="77" uniqueCount="55">
  <si>
    <t>Qtr</t>
  </si>
  <si>
    <t>Reviews</t>
  </si>
  <si>
    <t>SBSupply</t>
  </si>
  <si>
    <t>BSGDistributor</t>
  </si>
  <si>
    <t>TotalSales</t>
  </si>
  <si>
    <t>3Q08</t>
  </si>
  <si>
    <t>4Q08</t>
  </si>
  <si>
    <t>1Q09</t>
  </si>
  <si>
    <t>2Q09</t>
  </si>
  <si>
    <t>3Q09</t>
  </si>
  <si>
    <t>4Q09</t>
  </si>
  <si>
    <t>1Q10</t>
  </si>
  <si>
    <t>2Q10</t>
  </si>
  <si>
    <t>3Q10</t>
  </si>
  <si>
    <t>4Q10</t>
  </si>
  <si>
    <t>1Q11</t>
  </si>
  <si>
    <t>2Q11</t>
  </si>
  <si>
    <t>3Q11</t>
  </si>
  <si>
    <t>4Q11</t>
  </si>
  <si>
    <t>1Q12</t>
  </si>
  <si>
    <t>2Q12</t>
  </si>
  <si>
    <t>3Q12</t>
  </si>
  <si>
    <t>4Q12</t>
  </si>
  <si>
    <t>1Q13</t>
  </si>
  <si>
    <t>2Q13</t>
  </si>
  <si>
    <t>Frequency</t>
  </si>
  <si>
    <t>start_yr</t>
  </si>
  <si>
    <t>start_period</t>
  </si>
  <si>
    <t>start_row</t>
  </si>
  <si>
    <t>Type</t>
  </si>
  <si>
    <t>multiplicative</t>
  </si>
  <si>
    <t>length</t>
  </si>
  <si>
    <t>Filter</t>
  </si>
  <si>
    <t>Filter Formula</t>
  </si>
  <si>
    <t>Trend</t>
  </si>
  <si>
    <t>Season</t>
  </si>
  <si>
    <t xml:space="preserve">periods </t>
  </si>
  <si>
    <t>if (!f %% 2) c(0.5, rep(1, f - 1), 0.5) / f</t>
  </si>
  <si>
    <t>Figure</t>
  </si>
  <si>
    <t>Norm. Figure</t>
  </si>
  <si>
    <t>S1</t>
  </si>
  <si>
    <t>S2</t>
  </si>
  <si>
    <t>S3</t>
  </si>
  <si>
    <t>S4</t>
  </si>
  <si>
    <t>a</t>
  </si>
  <si>
    <t>b</t>
  </si>
  <si>
    <t>xhat</t>
  </si>
  <si>
    <t>level</t>
  </si>
  <si>
    <t>trend</t>
  </si>
  <si>
    <t>season</t>
  </si>
  <si>
    <t>alpha</t>
  </si>
  <si>
    <t>beta</t>
  </si>
  <si>
    <t>gamma</t>
  </si>
  <si>
    <t>Err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</si>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</sst>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00"/>
    <numFmt numFmtId="166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5" fillId="0" borderId="0"/>
    <xf numFmtId="0" fontId="3" fillId="0" borderId="0"/>
    <xf numFmtId="0" fontId="1" fillId="0" borderId="0"/>
    <xf numFmtId="0" fontId="5" fillId="0" borderId="0"/>
  </cellStyleXfs>
  <cellXfs count="41">
    <xf numFmtId="0" fontId="0" fillId="0" borderId="0" xfId="0"/>
    <xf numFmtId="0" fontId="3" fillId="0" borderId="1" xfId="1" applyBorder="1" applyAlignment="1">
      <alignment horizontal="center" wrapText="1"/>
    </xf>
    <xf numFmtId="0" fontId="3" fillId="0" borderId="1" xfId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2" xfId="1" applyNumberFormat="1" applyFont="1" applyBorder="1" applyAlignment="1">
      <alignment horizontal="center" wrapText="1"/>
    </xf>
    <xf numFmtId="0" fontId="3" fillId="0" borderId="1" xfId="1" applyNumberFormat="1" applyFont="1" applyBorder="1" applyAlignment="1">
      <alignment horizontal="center" wrapText="1"/>
    </xf>
    <xf numFmtId="0" fontId="3" fillId="0" borderId="3" xfId="1" applyNumberFormat="1" applyFont="1" applyBorder="1" applyAlignment="1">
      <alignment horizontal="center" wrapText="1"/>
    </xf>
    <xf numFmtId="15" fontId="3" fillId="0" borderId="1" xfId="1" applyNumberFormat="1" applyBorder="1"/>
    <xf numFmtId="0" fontId="3" fillId="0" borderId="4" xfId="1" applyBorder="1" applyAlignment="1">
      <alignment horizontal="center"/>
    </xf>
    <xf numFmtId="3" fontId="4" fillId="0" borderId="5" xfId="1" applyNumberFormat="1" applyFont="1" applyBorder="1" applyAlignment="1">
      <alignment horizontal="center"/>
    </xf>
    <xf numFmtId="0" fontId="6" fillId="0" borderId="6" xfId="2" applyNumberFormat="1" applyFont="1" applyBorder="1" applyAlignment="1">
      <alignment horizontal="center"/>
    </xf>
    <xf numFmtId="0" fontId="6" fillId="0" borderId="7" xfId="2" applyNumberFormat="1" applyFont="1" applyBorder="1" applyAlignment="1">
      <alignment horizontal="center"/>
    </xf>
    <xf numFmtId="0" fontId="5" fillId="0" borderId="8" xfId="2" applyNumberFormat="1" applyFont="1" applyBorder="1" applyAlignment="1">
      <alignment horizontal="center"/>
    </xf>
    <xf numFmtId="3" fontId="4" fillId="0" borderId="9" xfId="1" applyNumberFormat="1" applyFont="1" applyBorder="1" applyAlignment="1">
      <alignment horizontal="center"/>
    </xf>
    <xf numFmtId="0" fontId="6" fillId="0" borderId="2" xfId="2" applyNumberFormat="1" applyFont="1" applyBorder="1" applyAlignment="1">
      <alignment horizontal="center"/>
    </xf>
    <xf numFmtId="0" fontId="6" fillId="0" borderId="1" xfId="2" applyNumberFormat="1" applyFont="1" applyBorder="1" applyAlignment="1">
      <alignment horizontal="center"/>
    </xf>
    <xf numFmtId="0" fontId="5" fillId="0" borderId="3" xfId="2" applyNumberFormat="1" applyFont="1" applyBorder="1" applyAlignment="1">
      <alignment horizontal="center"/>
    </xf>
    <xf numFmtId="15" fontId="7" fillId="0" borderId="1" xfId="1" applyNumberFormat="1" applyFont="1" applyBorder="1"/>
    <xf numFmtId="3" fontId="8" fillId="0" borderId="10" xfId="1" applyNumberFormat="1" applyFont="1" applyBorder="1" applyAlignment="1">
      <alignment horizontal="center"/>
    </xf>
    <xf numFmtId="0" fontId="6" fillId="0" borderId="11" xfId="1" applyNumberFormat="1" applyFont="1" applyBorder="1"/>
    <xf numFmtId="0" fontId="6" fillId="0" borderId="12" xfId="1" applyNumberFormat="1" applyFont="1" applyBorder="1"/>
    <xf numFmtId="0" fontId="6" fillId="0" borderId="13" xfId="1" applyNumberFormat="1" applyFont="1" applyBorder="1"/>
    <xf numFmtId="0" fontId="0" fillId="0" borderId="0" xfId="0" applyNumberFormat="1"/>
    <xf numFmtId="0" fontId="3" fillId="0" borderId="0" xfId="1" applyBorder="1" applyAlignment="1">
      <alignment horizontal="center"/>
    </xf>
    <xf numFmtId="0" fontId="9" fillId="0" borderId="0" xfId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horizontal="center"/>
    </xf>
    <xf numFmtId="0" fontId="2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4" fontId="0" fillId="0" borderId="0" xfId="0" applyNumberFormat="1"/>
    <xf numFmtId="164" fontId="2" fillId="0" borderId="0" xfId="0" applyNumberFormat="1" applyFont="1"/>
    <xf numFmtId="4" fontId="0" fillId="0" borderId="0" xfId="0" applyNumberFormat="1"/>
    <xf numFmtId="4" fontId="2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166" fontId="2" fillId="0" borderId="0" xfId="0" applyNumberFormat="1" applyFont="1"/>
    <xf numFmtId="166" fontId="0" fillId="0" borderId="0" xfId="0" applyNumberFormat="1"/>
    <xf numFmtId="164" fontId="5" fillId="0" borderId="0" xfId="2" applyNumberFormat="1" applyFont="1" applyBorder="1" applyAlignment="1">
      <alignment horizontal="center"/>
    </xf>
    <xf numFmtId="164" fontId="6" fillId="0" borderId="0" xfId="1" applyNumberFormat="1" applyFont="1" applyBorder="1"/>
    <xf numFmtId="3" fontId="2" fillId="0" borderId="0" xfId="0" applyNumberFormat="1" applyFont="1"/>
    <xf numFmtId="0" fontId="2" fillId="0" borderId="0" xfId="0" applyFont="1" applyAlignment="1">
      <alignment horizontal="center"/>
    </xf>
  </cellXfs>
  <cellStyles count="6">
    <cellStyle name="Normal" xfId="0" builtinId="0"/>
    <cellStyle name="Normal 2" xfId="1"/>
    <cellStyle name="Normal 3" xfId="3"/>
    <cellStyle name="Normal 4" xfId="4"/>
    <cellStyle name="Normal 5" xfId="5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6" sqref="B26"/>
    </sheetView>
  </sheetViews>
  <sheetFormatPr defaultRowHeight="15" x14ac:dyDescent="0.25"/>
  <cols>
    <col min="1" max="1" width="9.7109375" bestFit="1" customWidth="1"/>
    <col min="3" max="3" width="9.28515625" bestFit="1" customWidth="1"/>
    <col min="5" max="5" width="9.28515625" style="22" bestFit="1" customWidth="1"/>
    <col min="6" max="6" width="14.140625" style="22" bestFit="1" customWidth="1"/>
    <col min="7" max="7" width="9.7109375" style="22" bestFit="1" customWidth="1"/>
  </cols>
  <sheetData>
    <row r="1" spans="1:7" ht="14.25" customHeight="1" thickBot="1" x14ac:dyDescent="0.35">
      <c r="A1" s="1"/>
      <c r="B1" s="2" t="s">
        <v>0</v>
      </c>
      <c r="C1" s="1"/>
      <c r="D1" s="3" t="s">
        <v>1</v>
      </c>
      <c r="E1" s="4" t="s">
        <v>2</v>
      </c>
      <c r="F1" s="5" t="s">
        <v>3</v>
      </c>
      <c r="G1" s="6" t="s">
        <v>4</v>
      </c>
    </row>
    <row r="2" spans="1:7" ht="14.45" x14ac:dyDescent="0.3">
      <c r="A2" s="7">
        <v>39629</v>
      </c>
      <c r="B2" s="8" t="s">
        <v>5</v>
      </c>
      <c r="C2" s="7">
        <v>39644</v>
      </c>
      <c r="D2" s="9">
        <v>460</v>
      </c>
      <c r="E2" s="10">
        <v>427.96499999999997</v>
      </c>
      <c r="F2" s="11">
        <v>248.86500000000001</v>
      </c>
      <c r="G2" s="12">
        <v>676.82999999999993</v>
      </c>
    </row>
    <row r="3" spans="1:7" ht="14.45" x14ac:dyDescent="0.3">
      <c r="A3" s="7">
        <v>39721</v>
      </c>
      <c r="B3" s="8" t="s">
        <v>6</v>
      </c>
      <c r="C3" s="7">
        <v>39736</v>
      </c>
      <c r="D3" s="13">
        <v>599</v>
      </c>
      <c r="E3" s="14">
        <v>429.30299999999994</v>
      </c>
      <c r="F3" s="15">
        <v>242.92499999999995</v>
      </c>
      <c r="G3" s="16">
        <v>672.22799999999984</v>
      </c>
    </row>
    <row r="4" spans="1:7" ht="14.45" x14ac:dyDescent="0.3">
      <c r="A4" s="7">
        <v>39813</v>
      </c>
      <c r="B4" s="8" t="s">
        <v>7</v>
      </c>
      <c r="C4" s="7">
        <v>39828</v>
      </c>
      <c r="D4" s="13">
        <v>897</v>
      </c>
      <c r="E4" s="14">
        <v>410.53699999999998</v>
      </c>
      <c r="F4" s="15">
        <v>235.03899999999999</v>
      </c>
      <c r="G4" s="16">
        <v>645.57600000000002</v>
      </c>
    </row>
    <row r="5" spans="1:7" ht="14.45" x14ac:dyDescent="0.3">
      <c r="A5" s="7">
        <v>39903</v>
      </c>
      <c r="B5" s="8" t="s">
        <v>8</v>
      </c>
      <c r="C5" s="7">
        <v>39918</v>
      </c>
      <c r="D5" s="13">
        <v>1142</v>
      </c>
      <c r="E5" s="14">
        <v>412.33800000000002</v>
      </c>
      <c r="F5" s="15">
        <v>229.173</v>
      </c>
      <c r="G5" s="16">
        <v>641.51099999999997</v>
      </c>
    </row>
    <row r="6" spans="1:7" ht="14.45" x14ac:dyDescent="0.3">
      <c r="A6" s="7">
        <v>39994</v>
      </c>
      <c r="B6" s="8" t="s">
        <v>9</v>
      </c>
      <c r="C6" s="7">
        <v>40009</v>
      </c>
      <c r="D6" s="13">
        <v>1140</v>
      </c>
      <c r="E6" s="14">
        <v>434.73200000000003</v>
      </c>
      <c r="F6" s="15">
        <v>238.60499999999999</v>
      </c>
      <c r="G6" s="16">
        <v>673.33699999999999</v>
      </c>
    </row>
    <row r="7" spans="1:7" ht="14.45" x14ac:dyDescent="0.3">
      <c r="A7" s="7">
        <v>40086</v>
      </c>
      <c r="B7" s="8" t="s">
        <v>10</v>
      </c>
      <c r="C7" s="7">
        <v>40101</v>
      </c>
      <c r="D7" s="13">
        <v>910</v>
      </c>
      <c r="E7" s="14">
        <v>438.04500000000013</v>
      </c>
      <c r="F7" s="15">
        <v>238.13099999999997</v>
      </c>
      <c r="G7" s="16">
        <v>676.17600000000016</v>
      </c>
    </row>
    <row r="8" spans="1:7" ht="14.45" x14ac:dyDescent="0.3">
      <c r="A8" s="7">
        <v>40178</v>
      </c>
      <c r="B8" s="8" t="s">
        <v>11</v>
      </c>
      <c r="C8" s="7">
        <v>40193</v>
      </c>
      <c r="D8" s="13">
        <v>852</v>
      </c>
      <c r="E8" s="14">
        <v>438.315</v>
      </c>
      <c r="F8" s="15">
        <v>266.536</v>
      </c>
      <c r="G8" s="16">
        <v>704.851</v>
      </c>
    </row>
    <row r="9" spans="1:7" ht="14.45" x14ac:dyDescent="0.3">
      <c r="A9" s="7">
        <v>40268</v>
      </c>
      <c r="B9" s="8" t="s">
        <v>12</v>
      </c>
      <c r="C9" s="7">
        <v>40283</v>
      </c>
      <c r="D9" s="13">
        <v>1032</v>
      </c>
      <c r="E9" s="14">
        <v>454.63400000000001</v>
      </c>
      <c r="F9" s="15">
        <v>266.83300000000003</v>
      </c>
      <c r="G9" s="16">
        <v>721.4670000000001</v>
      </c>
    </row>
    <row r="10" spans="1:7" ht="14.45" x14ac:dyDescent="0.3">
      <c r="A10" s="7">
        <v>40359</v>
      </c>
      <c r="B10" s="8" t="s">
        <v>13</v>
      </c>
      <c r="C10" s="7">
        <v>40374</v>
      </c>
      <c r="D10" s="13">
        <v>1181</v>
      </c>
      <c r="E10" s="14">
        <v>467.428</v>
      </c>
      <c r="F10" s="15">
        <v>275.54700000000003</v>
      </c>
      <c r="G10" s="16">
        <v>742.97500000000002</v>
      </c>
    </row>
    <row r="11" spans="1:7" ht="14.45" x14ac:dyDescent="0.3">
      <c r="A11" s="7">
        <v>40451</v>
      </c>
      <c r="B11" s="8" t="s">
        <v>14</v>
      </c>
      <c r="C11" s="7">
        <v>40466</v>
      </c>
      <c r="D11" s="13">
        <v>1330</v>
      </c>
      <c r="E11" s="14">
        <v>474.25399999999996</v>
      </c>
      <c r="F11" s="15">
        <v>272.54299999999995</v>
      </c>
      <c r="G11" s="16">
        <v>746.79699999999991</v>
      </c>
    </row>
    <row r="12" spans="1:7" ht="14.45" x14ac:dyDescent="0.3">
      <c r="A12" s="7">
        <v>40543</v>
      </c>
      <c r="B12" s="8" t="s">
        <v>15</v>
      </c>
      <c r="C12" s="7">
        <v>40558</v>
      </c>
      <c r="D12" s="13">
        <v>1405</v>
      </c>
      <c r="E12" s="14">
        <v>481.00599999999997</v>
      </c>
      <c r="F12" s="15">
        <v>312.55799999999999</v>
      </c>
      <c r="G12" s="16">
        <v>793.56399999999996</v>
      </c>
    </row>
    <row r="13" spans="1:7" ht="14.45" x14ac:dyDescent="0.3">
      <c r="A13" s="7">
        <v>40633</v>
      </c>
      <c r="B13" s="8" t="s">
        <v>16</v>
      </c>
      <c r="C13" s="7">
        <v>40648</v>
      </c>
      <c r="D13" s="13">
        <v>1390</v>
      </c>
      <c r="E13" s="14">
        <v>490.84500000000003</v>
      </c>
      <c r="F13" s="15">
        <v>310.95999999999998</v>
      </c>
      <c r="G13" s="16">
        <v>801.80500000000006</v>
      </c>
    </row>
    <row r="14" spans="1:7" ht="14.45" x14ac:dyDescent="0.3">
      <c r="A14" s="7">
        <v>40724</v>
      </c>
      <c r="B14" s="8" t="s">
        <v>17</v>
      </c>
      <c r="C14" s="7">
        <v>40739</v>
      </c>
      <c r="D14" s="13">
        <v>1215</v>
      </c>
      <c r="E14" s="14">
        <v>517.18899999999996</v>
      </c>
      <c r="F14" s="15">
        <v>319.387</v>
      </c>
      <c r="G14" s="16">
        <v>836.57600000000002</v>
      </c>
    </row>
    <row r="15" spans="1:7" ht="14.45" x14ac:dyDescent="0.3">
      <c r="A15" s="7">
        <v>40816</v>
      </c>
      <c r="B15" s="8" t="s">
        <v>18</v>
      </c>
      <c r="C15" s="7">
        <v>40831</v>
      </c>
      <c r="D15" s="13">
        <v>1069</v>
      </c>
      <c r="E15" s="14">
        <v>523.36699999999985</v>
      </c>
      <c r="F15" s="15">
        <v>313.81899999999996</v>
      </c>
      <c r="G15" s="16">
        <v>837.18599999999981</v>
      </c>
    </row>
    <row r="16" spans="1:7" ht="14.45" x14ac:dyDescent="0.3">
      <c r="A16" s="7">
        <v>40908</v>
      </c>
      <c r="B16" s="8" t="s">
        <v>19</v>
      </c>
      <c r="C16" s="7">
        <v>40923</v>
      </c>
      <c r="D16" s="13">
        <v>973</v>
      </c>
      <c r="E16" s="14">
        <v>536.35799999999995</v>
      </c>
      <c r="F16" s="15">
        <v>328.45699999999999</v>
      </c>
      <c r="G16" s="16">
        <v>864.81499999999994</v>
      </c>
    </row>
    <row r="17" spans="1:7" ht="14.45" x14ac:dyDescent="0.3">
      <c r="A17" s="7">
        <v>40999</v>
      </c>
      <c r="B17" s="8" t="s">
        <v>20</v>
      </c>
      <c r="C17" s="7">
        <v>41014</v>
      </c>
      <c r="D17" s="13">
        <v>1142</v>
      </c>
      <c r="E17" s="14">
        <v>553.97299999999996</v>
      </c>
      <c r="F17" s="15">
        <v>335.30799999999999</v>
      </c>
      <c r="G17" s="16">
        <v>889.28099999999995</v>
      </c>
    </row>
    <row r="18" spans="1:7" ht="14.45" x14ac:dyDescent="0.3">
      <c r="A18" s="7">
        <v>41090</v>
      </c>
      <c r="B18" s="8" t="s">
        <v>21</v>
      </c>
      <c r="C18" s="7">
        <v>41105</v>
      </c>
      <c r="D18" s="13">
        <v>1133</v>
      </c>
      <c r="E18" s="14">
        <v>553.41899999999998</v>
      </c>
      <c r="F18" s="15">
        <v>333.572</v>
      </c>
      <c r="G18" s="16">
        <v>886.99099999999999</v>
      </c>
    </row>
    <row r="19" spans="1:7" ht="14.45" x14ac:dyDescent="0.3">
      <c r="A19" s="7">
        <v>41182</v>
      </c>
      <c r="B19" s="8" t="s">
        <v>22</v>
      </c>
      <c r="C19" s="7">
        <v>41197</v>
      </c>
      <c r="D19" s="13">
        <v>1034</v>
      </c>
      <c r="E19" s="14">
        <v>554.71800000000007</v>
      </c>
      <c r="F19" s="15">
        <v>327.83899999999994</v>
      </c>
      <c r="G19" s="16">
        <v>882.55700000000002</v>
      </c>
    </row>
    <row r="20" spans="1:7" ht="14.45" x14ac:dyDescent="0.3">
      <c r="A20" s="7">
        <v>41274</v>
      </c>
      <c r="B20" s="8" t="s">
        <v>23</v>
      </c>
      <c r="C20" s="7">
        <v>41289</v>
      </c>
      <c r="D20" s="13">
        <v>919</v>
      </c>
      <c r="E20" s="14">
        <v>558.81600000000003</v>
      </c>
      <c r="F20" s="15">
        <v>346.625</v>
      </c>
      <c r="G20" s="16">
        <v>905.44100000000003</v>
      </c>
    </row>
    <row r="21" spans="1:7" thickBot="1" x14ac:dyDescent="0.35">
      <c r="A21" s="7">
        <v>41364</v>
      </c>
      <c r="B21" s="8" t="s">
        <v>24</v>
      </c>
      <c r="C21" s="17">
        <v>41379</v>
      </c>
      <c r="D21" s="18">
        <v>1073</v>
      </c>
      <c r="E21" s="19"/>
      <c r="F21" s="20"/>
      <c r="G21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F15" sqref="F15"/>
    </sheetView>
  </sheetViews>
  <sheetFormatPr defaultRowHeight="15" x14ac:dyDescent="0.25"/>
  <cols>
    <col min="1" max="1" width="13.5703125" bestFit="1" customWidth="1"/>
    <col min="2" max="2" width="13.140625" customWidth="1"/>
    <col min="3" max="3" width="6.42578125" customWidth="1"/>
    <col min="4" max="4" width="2" bestFit="1" customWidth="1"/>
    <col min="5" max="5" width="9.28515625" style="22" customWidth="1"/>
    <col min="6" max="6" width="6.28515625" customWidth="1"/>
    <col min="7" max="7" width="7" customWidth="1"/>
    <col min="8" max="8" width="7.28515625" customWidth="1"/>
    <col min="9" max="9" width="11.7109375" customWidth="1"/>
    <col min="10" max="10" width="3" bestFit="1" customWidth="1"/>
    <col min="11" max="11" width="7.7109375" customWidth="1"/>
    <col min="12" max="12" width="6.7109375" customWidth="1"/>
    <col min="13" max="13" width="6.5703125" customWidth="1"/>
    <col min="14" max="14" width="6.7109375" customWidth="1"/>
    <col min="15" max="15" width="5.7109375" customWidth="1"/>
    <col min="16" max="17" width="6.7109375" customWidth="1"/>
  </cols>
  <sheetData>
    <row r="1" spans="1:18" ht="14.45" x14ac:dyDescent="0.3">
      <c r="C1" s="24" t="s">
        <v>0</v>
      </c>
      <c r="D1" s="24"/>
      <c r="E1" s="25" t="s">
        <v>4</v>
      </c>
      <c r="F1" s="26" t="s">
        <v>34</v>
      </c>
      <c r="G1" s="26" t="s">
        <v>35</v>
      </c>
      <c r="H1" s="26" t="s">
        <v>38</v>
      </c>
      <c r="I1" s="26" t="s">
        <v>39</v>
      </c>
      <c r="M1" s="40" t="s">
        <v>46</v>
      </c>
      <c r="N1" s="40" t="s">
        <v>47</v>
      </c>
      <c r="O1" s="40" t="s">
        <v>48</v>
      </c>
      <c r="P1" s="40" t="s">
        <v>49</v>
      </c>
      <c r="Q1" s="40" t="s">
        <v>53</v>
      </c>
      <c r="R1" s="26" t="s">
        <v>54</v>
      </c>
    </row>
    <row r="2" spans="1:18" ht="14.45" x14ac:dyDescent="0.3">
      <c r="A2" s="26" t="s">
        <v>25</v>
      </c>
      <c r="B2">
        <v>4</v>
      </c>
      <c r="C2" s="23" t="s">
        <v>5</v>
      </c>
      <c r="E2" s="37">
        <v>676.82999999999993</v>
      </c>
      <c r="H2" s="33">
        <f>AVERAGE(G2,G6)</f>
        <v>1.0101680739243972</v>
      </c>
      <c r="I2" s="34">
        <f>H2/AVERAGE($H$2:$H$5)</f>
        <v>1.0221846590996877</v>
      </c>
      <c r="J2" s="26" t="s">
        <v>40</v>
      </c>
      <c r="K2" s="26" t="s">
        <v>44</v>
      </c>
      <c r="L2" s="35">
        <f>INTERCEPT($F$4:$F$7,$D$4:$D$7)</f>
        <v>645.94624999999974</v>
      </c>
      <c r="R2" s="39">
        <f>SUMSQ(Q6:Q20)</f>
        <v>4071.8901357617983</v>
      </c>
    </row>
    <row r="3" spans="1:18" ht="14.45" x14ac:dyDescent="0.3">
      <c r="A3" s="26" t="s">
        <v>26</v>
      </c>
      <c r="B3">
        <v>2008</v>
      </c>
      <c r="C3" s="23" t="s">
        <v>6</v>
      </c>
      <c r="E3" s="37">
        <v>672.22799999999984</v>
      </c>
      <c r="H3" s="33">
        <f t="shared" ref="H3:H5" si="0">AVERAGE(G3,G7)</f>
        <v>0.98861451985907156</v>
      </c>
      <c r="I3" s="34">
        <f t="shared" ref="I3:I5" si="1">H3/AVERAGE($H$2:$H$5)</f>
        <v>1.0003747119400426</v>
      </c>
      <c r="J3" s="26" t="s">
        <v>41</v>
      </c>
      <c r="K3" s="26" t="s">
        <v>45</v>
      </c>
      <c r="L3" s="32">
        <f>SLOPE($F$4:$F$7,$D$4:$D$7)</f>
        <v>8.3993750000000436</v>
      </c>
    </row>
    <row r="4" spans="1:18" ht="14.45" x14ac:dyDescent="0.3">
      <c r="A4" s="26" t="s">
        <v>28</v>
      </c>
      <c r="B4">
        <v>0</v>
      </c>
      <c r="C4" s="23" t="s">
        <v>7</v>
      </c>
      <c r="D4" s="23">
        <v>1</v>
      </c>
      <c r="E4" s="37">
        <v>645.57600000000002</v>
      </c>
      <c r="F4" s="36">
        <f>$B$11*E2+$B$12*E3+$B$13*E4+$B$14*E5+$B$15*E6</f>
        <v>658.59962499999983</v>
      </c>
      <c r="G4" s="33">
        <f>E4/F4</f>
        <v>0.98022527723121644</v>
      </c>
      <c r="H4" s="33">
        <f t="shared" si="0"/>
        <v>0.98022527723121644</v>
      </c>
      <c r="I4" s="34">
        <f t="shared" si="1"/>
        <v>0.99188567398980887</v>
      </c>
      <c r="J4" s="26" t="s">
        <v>42</v>
      </c>
      <c r="K4" s="26" t="s">
        <v>50</v>
      </c>
      <c r="L4" s="32">
        <v>0.3184843705858702</v>
      </c>
    </row>
    <row r="5" spans="1:18" ht="14.45" x14ac:dyDescent="0.3">
      <c r="A5" s="26" t="s">
        <v>27</v>
      </c>
      <c r="B5">
        <f>B4*B2+1</f>
        <v>1</v>
      </c>
      <c r="C5" s="23" t="s">
        <v>8</v>
      </c>
      <c r="D5" s="23">
        <v>2</v>
      </c>
      <c r="E5" s="37">
        <v>641.51099999999997</v>
      </c>
      <c r="F5" s="36">
        <f t="shared" ref="F5:F7" si="2">$B$11*E3+$B$12*E4+$B$13*E5+$B$14*E6+$B$15*E7</f>
        <v>658.65650000000005</v>
      </c>
      <c r="G5" s="33">
        <f t="shared" ref="G5:G7" si="3">E5/F5</f>
        <v>0.97396898079651517</v>
      </c>
      <c r="H5" s="33">
        <f t="shared" si="0"/>
        <v>0.97396898079651517</v>
      </c>
      <c r="I5" s="34">
        <f t="shared" si="1"/>
        <v>0.98555495497046053</v>
      </c>
      <c r="J5" s="26" t="s">
        <v>43</v>
      </c>
      <c r="K5" s="26" t="s">
        <v>51</v>
      </c>
      <c r="L5" s="32">
        <v>0.8428734079875031</v>
      </c>
    </row>
    <row r="6" spans="1:18" ht="14.45" x14ac:dyDescent="0.3">
      <c r="A6" s="26" t="s">
        <v>29</v>
      </c>
      <c r="B6" t="s">
        <v>30</v>
      </c>
      <c r="C6" s="23" t="s">
        <v>9</v>
      </c>
      <c r="D6" s="23">
        <v>3</v>
      </c>
      <c r="E6" s="37">
        <v>673.33699999999999</v>
      </c>
      <c r="F6" s="36">
        <f t="shared" si="2"/>
        <v>666.55937499999993</v>
      </c>
      <c r="G6" s="33">
        <f t="shared" si="3"/>
        <v>1.0101680739243972</v>
      </c>
      <c r="K6" s="26" t="s">
        <v>52</v>
      </c>
      <c r="L6" s="32">
        <v>0.70238120312557772</v>
      </c>
      <c r="M6" s="29">
        <f>(N6+O6)*P6</f>
        <v>668.86205962399686</v>
      </c>
      <c r="N6" s="29">
        <f>$L$2</f>
        <v>645.94624999999974</v>
      </c>
      <c r="O6" s="31">
        <f>$L$3</f>
        <v>8.3993750000000436</v>
      </c>
      <c r="P6" s="31">
        <f>$I$2</f>
        <v>1.0221846590996877</v>
      </c>
      <c r="Q6" s="31">
        <f>E6-M6</f>
        <v>4.4749403760031328</v>
      </c>
    </row>
    <row r="7" spans="1:18" ht="14.45" x14ac:dyDescent="0.3">
      <c r="A7" s="26" t="s">
        <v>31</v>
      </c>
      <c r="B7">
        <v>8</v>
      </c>
      <c r="C7" s="23" t="s">
        <v>10</v>
      </c>
      <c r="D7" s="23">
        <v>4</v>
      </c>
      <c r="E7" s="37">
        <v>676.17600000000016</v>
      </c>
      <c r="F7" s="36">
        <f t="shared" si="2"/>
        <v>683.96325000000002</v>
      </c>
      <c r="G7" s="33">
        <f t="shared" si="3"/>
        <v>0.98861451985907156</v>
      </c>
      <c r="M7" s="29">
        <f t="shared" ref="M7:M20" si="4">(N7+O7)*P7</f>
        <v>665.56375926564169</v>
      </c>
      <c r="N7" s="29">
        <f>$L$4*(E6/P6)+(1-$L$4)*(N6+O6)</f>
        <v>655.73989222595878</v>
      </c>
      <c r="O7" s="31">
        <f>$L$5*(N7-N6)+(1-$L$5)*O6</f>
        <v>9.574565768389391</v>
      </c>
      <c r="P7" s="31">
        <f>$I$3</f>
        <v>1.0003747119400426</v>
      </c>
      <c r="Q7" s="31">
        <f t="shared" ref="Q7:Q20" si="5">E7-M7</f>
        <v>10.612240734358465</v>
      </c>
    </row>
    <row r="8" spans="1:18" x14ac:dyDescent="0.3">
      <c r="A8" s="28" t="s">
        <v>36</v>
      </c>
      <c r="B8">
        <f>B7/B2</f>
        <v>2</v>
      </c>
      <c r="C8" s="23" t="s">
        <v>11</v>
      </c>
      <c r="D8" s="23"/>
      <c r="E8" s="37">
        <v>704.851</v>
      </c>
      <c r="M8" s="29">
        <f t="shared" si="4"/>
        <v>675.5885031632688</v>
      </c>
      <c r="N8" s="29">
        <f t="shared" ref="N8:N20" si="6">$L$4*(E7/P7)+(1-$L$4)*(N7+O7)</f>
        <v>668.69302481580792</v>
      </c>
      <c r="O8" s="31">
        <f t="shared" ref="O8:O20" si="7">$L$5*(N8-N7)+(1-$L$5)*O7</f>
        <v>12.42226989930667</v>
      </c>
      <c r="P8" s="31">
        <f>$I$4</f>
        <v>0.99188567398980887</v>
      </c>
      <c r="Q8" s="31">
        <f t="shared" si="5"/>
        <v>29.262496836731202</v>
      </c>
    </row>
    <row r="9" spans="1:18" x14ac:dyDescent="0.3">
      <c r="B9" s="27"/>
      <c r="C9" s="23" t="s">
        <v>12</v>
      </c>
      <c r="D9" s="23"/>
      <c r="E9" s="37">
        <v>721.4670000000001</v>
      </c>
      <c r="M9" s="29">
        <f t="shared" si="4"/>
        <v>700.58469537679628</v>
      </c>
      <c r="N9" s="29">
        <f t="shared" si="6"/>
        <v>690.51118391001501</v>
      </c>
      <c r="O9" s="31">
        <f t="shared" si="7"/>
        <v>20.341815046085344</v>
      </c>
      <c r="P9" s="31">
        <f>$I$5</f>
        <v>0.98555495497046053</v>
      </c>
      <c r="Q9" s="31">
        <f t="shared" si="5"/>
        <v>20.882304623203822</v>
      </c>
    </row>
    <row r="10" spans="1:18" x14ac:dyDescent="0.3">
      <c r="A10" s="26" t="s">
        <v>33</v>
      </c>
      <c r="B10" s="27" t="s">
        <v>37</v>
      </c>
      <c r="C10" s="23" t="s">
        <v>13</v>
      </c>
      <c r="D10" s="23"/>
      <c r="E10" s="37">
        <v>742.97500000000002</v>
      </c>
      <c r="M10" s="29">
        <f t="shared" si="4"/>
        <v>762.55721600943571</v>
      </c>
      <c r="N10" s="29">
        <f t="shared" si="6"/>
        <v>717.60116415050379</v>
      </c>
      <c r="O10" s="31">
        <f t="shared" si="7"/>
        <v>26.029664041154824</v>
      </c>
      <c r="P10" s="31">
        <f>$L$6*(E6/N7)+(1-$L$6)*P6</f>
        <v>1.0254513222156239</v>
      </c>
      <c r="Q10" s="31">
        <f t="shared" si="5"/>
        <v>-19.582216009435683</v>
      </c>
    </row>
    <row r="11" spans="1:18" ht="14.45" x14ac:dyDescent="0.3">
      <c r="A11" s="26" t="s">
        <v>32</v>
      </c>
      <c r="B11">
        <v>0.125</v>
      </c>
      <c r="C11" s="23" t="s">
        <v>14</v>
      </c>
      <c r="D11" s="23"/>
      <c r="E11" s="37">
        <v>746.79699999999991</v>
      </c>
      <c r="M11" s="29">
        <f t="shared" si="4"/>
        <v>764.49842323152154</v>
      </c>
      <c r="N11" s="29">
        <f t="shared" si="6"/>
        <v>737.54898929269791</v>
      </c>
      <c r="O11" s="31">
        <f t="shared" si="7"/>
        <v>20.903443761556851</v>
      </c>
      <c r="P11" s="31">
        <f t="shared" ref="P11:P20" si="8">$L$6*(E7/N8)+(1-$L$6)*P7</f>
        <v>1.0079714823419048</v>
      </c>
      <c r="Q11" s="31">
        <f t="shared" si="5"/>
        <v>-17.70142323152163</v>
      </c>
    </row>
    <row r="12" spans="1:18" ht="14.45" x14ac:dyDescent="0.3">
      <c r="B12">
        <v>0.25</v>
      </c>
      <c r="C12" s="23" t="s">
        <v>15</v>
      </c>
      <c r="D12" s="23"/>
      <c r="E12" s="37">
        <v>793.56399999999996</v>
      </c>
      <c r="M12" s="29">
        <f t="shared" si="4"/>
        <v>778.40896422846492</v>
      </c>
      <c r="N12" s="29">
        <f t="shared" si="6"/>
        <v>752.85939125185496</v>
      </c>
      <c r="O12" s="31">
        <f t="shared" si="7"/>
        <v>16.189217556551561</v>
      </c>
      <c r="P12" s="31">
        <f t="shared" si="8"/>
        <v>1.0121713443244658</v>
      </c>
      <c r="Q12" s="31">
        <f t="shared" si="5"/>
        <v>15.15503577153504</v>
      </c>
    </row>
    <row r="13" spans="1:18" ht="14.45" x14ac:dyDescent="0.3">
      <c r="B13">
        <v>0.25</v>
      </c>
      <c r="C13" s="23" t="s">
        <v>16</v>
      </c>
      <c r="D13" s="23"/>
      <c r="E13" s="37">
        <v>801.80500000000006</v>
      </c>
      <c r="M13" s="29">
        <f t="shared" si="4"/>
        <v>793.6166152549448</v>
      </c>
      <c r="N13" s="29">
        <f t="shared" si="6"/>
        <v>773.81721054364436</v>
      </c>
      <c r="O13" s="31">
        <f t="shared" si="7"/>
        <v>20.208545152466606</v>
      </c>
      <c r="P13" s="31">
        <f t="shared" si="8"/>
        <v>0.999484726486224</v>
      </c>
      <c r="Q13" s="31">
        <f t="shared" si="5"/>
        <v>8.1883847450552594</v>
      </c>
    </row>
    <row r="14" spans="1:18" ht="14.45" x14ac:dyDescent="0.3">
      <c r="B14">
        <v>0.25</v>
      </c>
      <c r="C14" s="23" t="s">
        <v>17</v>
      </c>
      <c r="D14" s="23"/>
      <c r="E14" s="37">
        <v>836.57600000000002</v>
      </c>
      <c r="M14" s="29">
        <f t="shared" si="4"/>
        <v>829.47906564374955</v>
      </c>
      <c r="N14" s="29">
        <f t="shared" si="6"/>
        <v>796.63497271817801</v>
      </c>
      <c r="O14" s="31">
        <f t="shared" si="7"/>
        <v>22.407784796035251</v>
      </c>
      <c r="P14" s="31">
        <f t="shared" si="8"/>
        <v>1.0127420797434439</v>
      </c>
      <c r="Q14" s="31">
        <f t="shared" si="5"/>
        <v>7.0969343562504719</v>
      </c>
    </row>
    <row r="15" spans="1:18" ht="14.45" x14ac:dyDescent="0.3">
      <c r="B15">
        <v>0.125</v>
      </c>
      <c r="C15" s="23" t="s">
        <v>18</v>
      </c>
      <c r="D15" s="23"/>
      <c r="E15" s="37">
        <v>837.18599999999981</v>
      </c>
      <c r="M15" s="29">
        <f t="shared" si="4"/>
        <v>842.7871442160266</v>
      </c>
      <c r="N15" s="29">
        <f t="shared" si="6"/>
        <v>821.2745820989212</v>
      </c>
      <c r="O15" s="31">
        <f t="shared" si="7"/>
        <v>24.288930389778329</v>
      </c>
      <c r="P15" s="31">
        <f t="shared" si="8"/>
        <v>0.99671654673875243</v>
      </c>
      <c r="Q15" s="31">
        <f t="shared" si="5"/>
        <v>-5.6011442160267961</v>
      </c>
    </row>
    <row r="16" spans="1:18" ht="14.45" x14ac:dyDescent="0.3">
      <c r="C16" s="23" t="s">
        <v>19</v>
      </c>
      <c r="D16" s="23"/>
      <c r="E16" s="37">
        <v>864.81499999999994</v>
      </c>
      <c r="M16" s="29">
        <f t="shared" si="4"/>
        <v>885.2251532681853</v>
      </c>
      <c r="N16" s="29">
        <f t="shared" si="6"/>
        <v>843.77375902665585</v>
      </c>
      <c r="O16" s="31">
        <f t="shared" si="7"/>
        <v>22.780394789768142</v>
      </c>
      <c r="P16" s="31">
        <f t="shared" si="8"/>
        <v>1.0215462580953905</v>
      </c>
      <c r="Q16" s="31">
        <f t="shared" si="5"/>
        <v>-20.410153268185354</v>
      </c>
    </row>
    <row r="17" spans="3:17" ht="14.45" x14ac:dyDescent="0.3">
      <c r="C17" s="23" t="s">
        <v>20</v>
      </c>
      <c r="D17" s="23"/>
      <c r="E17" s="37">
        <v>889.28099999999995</v>
      </c>
      <c r="M17" s="29">
        <f t="shared" si="4"/>
        <v>881.47380190261333</v>
      </c>
      <c r="N17" s="29">
        <f t="shared" si="6"/>
        <v>860.19094239484957</v>
      </c>
      <c r="O17" s="31">
        <f t="shared" si="7"/>
        <v>17.417013093120701</v>
      </c>
      <c r="P17" s="31">
        <f t="shared" si="8"/>
        <v>1.0044049810515832</v>
      </c>
      <c r="Q17" s="31">
        <f t="shared" si="5"/>
        <v>7.8071980973866175</v>
      </c>
    </row>
    <row r="18" spans="3:17" ht="14.45" x14ac:dyDescent="0.3">
      <c r="C18" s="23" t="s">
        <v>21</v>
      </c>
      <c r="D18" s="23"/>
      <c r="E18" s="37">
        <v>886.99099999999999</v>
      </c>
      <c r="M18" s="29">
        <f t="shared" si="4"/>
        <v>914.77085939935205</v>
      </c>
      <c r="N18" s="29">
        <f t="shared" si="6"/>
        <v>880.08352123982672</v>
      </c>
      <c r="O18" s="31">
        <f t="shared" si="7"/>
        <v>19.503601635085094</v>
      </c>
      <c r="P18" s="31">
        <f t="shared" si="8"/>
        <v>1.0168785614404037</v>
      </c>
      <c r="Q18" s="31">
        <f t="shared" si="5"/>
        <v>-27.779859399352063</v>
      </c>
    </row>
    <row r="19" spans="3:17" ht="14.45" x14ac:dyDescent="0.3">
      <c r="C19" s="23" t="s">
        <v>22</v>
      </c>
      <c r="D19" s="23"/>
      <c r="E19" s="37">
        <v>882.55700000000002</v>
      </c>
      <c r="M19" s="29">
        <f t="shared" si="4"/>
        <v>897.22192644089853</v>
      </c>
      <c r="N19" s="29">
        <f t="shared" si="6"/>
        <v>890.88652540805765</v>
      </c>
      <c r="O19" s="31">
        <f t="shared" si="7"/>
        <v>12.170099396670285</v>
      </c>
      <c r="P19" s="31">
        <f t="shared" si="8"/>
        <v>0.9935389451740182</v>
      </c>
      <c r="Q19" s="31">
        <f t="shared" si="5"/>
        <v>-14.664926440898512</v>
      </c>
    </row>
    <row r="20" spans="3:17" ht="14.45" x14ac:dyDescent="0.3">
      <c r="C20" s="23" t="s">
        <v>23</v>
      </c>
      <c r="D20" s="23"/>
      <c r="E20" s="37">
        <v>905.44100000000003</v>
      </c>
      <c r="M20" s="29">
        <f t="shared" si="4"/>
        <v>915.79986350662057</v>
      </c>
      <c r="N20" s="29">
        <f t="shared" si="6"/>
        <v>898.35570201765017</v>
      </c>
      <c r="O20" s="31">
        <f t="shared" si="7"/>
        <v>8.2078165864399413</v>
      </c>
      <c r="P20" s="31">
        <f t="shared" si="8"/>
        <v>1.0101883041982016</v>
      </c>
      <c r="Q20" s="31">
        <f t="shared" si="5"/>
        <v>-10.358863506620537</v>
      </c>
    </row>
    <row r="21" spans="3:17" ht="14.45" x14ac:dyDescent="0.3">
      <c r="C21" s="23" t="s">
        <v>24</v>
      </c>
      <c r="D21" s="23"/>
      <c r="E21" s="38"/>
      <c r="M21" s="30">
        <f t="shared" ref="M21" si="9">(N21+O21)*P21</f>
        <v>916.61472252213923</v>
      </c>
      <c r="N21" s="30">
        <f t="shared" ref="N21" si="10">$L$4*(E20/P20)+(1-$L$4)*(N20+O20)</f>
        <v>903.29765608105322</v>
      </c>
      <c r="O21" s="32">
        <f t="shared" ref="O21" si="11">$L$5*(N21-N20)+(1-$L$5)*O20</f>
        <v>5.4551079116291676</v>
      </c>
      <c r="P21" s="32">
        <f t="shared" ref="P21" si="12">$L$6*(E17/N18)+(1-$L$6)*P17</f>
        <v>1.0086513723434685</v>
      </c>
      <c r="Q21" s="31"/>
    </row>
    <row r="22" spans="3:17" ht="14.45" x14ac:dyDescent="0.3">
      <c r="D2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HW</vt:lpstr>
    </vt:vector>
  </TitlesOfParts>
  <Company>D.E. Shaw &amp; Co. L.P.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Maggon, Ravi</dc:creator>
  <cp:lastModifiedBy>Maggon, Ravi</cp:lastModifiedBy>
  <dcterms:created xsi:type="dcterms:W3CDTF">2013-05-14T10:45:37Z</dcterms:created>
  <dcterms:modified xsi:type="dcterms:W3CDTF">2014-06-06T17:41:48Z</dcterms:modified>
</cp:coreProperties>
</file>