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mc:AlternateContent xmlns:mc="http://schemas.openxmlformats.org/markup-compatibility/2006">
    <mc:Choice Requires="x15">
      <x15ac:absPath xmlns:x15ac="http://schemas.microsoft.com/office/spreadsheetml/2010/11/ac" url="C:\AW\webperso\jspec\import\"/>
    </mc:Choice>
  </mc:AlternateContent>
  <bookViews>
    <workbookView xWindow="0" yWindow="0" windowWidth="11265" windowHeight="4845" activeTab="3" xr2:uid="{00000000-000D-0000-FFFF-FFFF00000000}"/>
  </bookViews>
  <sheets>
    <sheet name="Tableau de bord" sheetId="1" r:id="rId1"/>
    <sheet name="Plan de tests" sheetId="2" r:id="rId2"/>
    <sheet name="Règles Métiers" sheetId="4" r:id="rId3"/>
    <sheet name="User Story" sheetId="3" r:id="rId4"/>
    <sheet name="Paramétrages" sheetId="5" r:id="rId5"/>
    <sheet name="Feuil1" sheetId="6" r:id="rId6"/>
  </sheets>
  <definedNames>
    <definedName name="A409UC_EC_NGP_50">'Plan de tests'!$A$503</definedName>
    <definedName name="RM_AA_AC_10">'Règles Métiers'!$A$188</definedName>
    <definedName name="RM_AA_CD_10">'Règles Métiers'!$A$161</definedName>
    <definedName name="RM_AA_CD_20">'Règles Métiers'!$A$162</definedName>
    <definedName name="RM_AA_CD_30">'Règles Métiers'!$A$163</definedName>
    <definedName name="RM_AA_CD_40">'Règles Métiers'!$A$164</definedName>
    <definedName name="RM_AA_CM_10">'Règles Métiers'!$A$170</definedName>
    <definedName name="RM_AA_CM_20">'Règles Métiers'!#REF!</definedName>
    <definedName name="RM_AA_CM_30">'Règles Métiers'!$A$171</definedName>
    <definedName name="RM_AA_CM_40">'Règles Métiers'!$A$172</definedName>
    <definedName name="RM_AA_DE_10">'Règles Métiers'!#REF!</definedName>
    <definedName name="RM_AA_DE_20">'Règles Métiers'!#REF!</definedName>
    <definedName name="RM_AA_EF_10">'Règles Métiers'!$A$230</definedName>
    <definedName name="RM_AA_EF_20">'Règles Métiers'!$A$231</definedName>
    <definedName name="RM_AA_EF_30">'Règles Métiers'!$A$232</definedName>
    <definedName name="RM_AA_EF_40">'Règles Métiers'!$A$233</definedName>
    <definedName name="RM_AA_EF_50">'Règles Métiers'!$A$234</definedName>
    <definedName name="RM_AA_EF_60">'Règles Métiers'!$A$235</definedName>
    <definedName name="RM_AA_EF_65">'Règles Métiers'!$A$236</definedName>
    <definedName name="RM_AA_EF_70">'Règles Métiers'!$A$237</definedName>
    <definedName name="RM_AA_EF_75">'Règles Métiers'!#REF!</definedName>
    <definedName name="RM_AA_EF_80">'Règles Métiers'!$A$238</definedName>
    <definedName name="RM_AA_MF_10">'Règles Métiers'!$A$207</definedName>
    <definedName name="RM_AA_MF_20">'Règles Métiers'!$A$208</definedName>
    <definedName name="RM_AA_MF_30">'Règles Métiers'!$A$209</definedName>
    <definedName name="RM_AA_MF_40">'Règles Métiers'!$A$210</definedName>
    <definedName name="RM_AA_MF_50">'Règles Métiers'!$A$211</definedName>
    <definedName name="RM_AA_MF_60">'Règles Métiers'!$A$212</definedName>
    <definedName name="RM_AA_MR_10">'Règles Métiers'!$A$218</definedName>
    <definedName name="RM_AA_MR_20">'Règles Métiers'!$A$219</definedName>
    <definedName name="RM_AA_MR_30">'Règles Métiers'!$A$220</definedName>
    <definedName name="RM_AA_MR_40">'Règles Métiers'!$A$221</definedName>
    <definedName name="RM_AA_MR_50">'Règles Métiers'!$A$222</definedName>
    <definedName name="RM_AA_MR_60">'Règles Métiers'!$A$223</definedName>
    <definedName name="RM_AA_MR_70">'Règles Métiers'!$A$224</definedName>
    <definedName name="RM_AA_RF_10">'Règles Métiers'!$A$178</definedName>
    <definedName name="RM_AA_RF_20">'Règles Métiers'!$A$179</definedName>
    <definedName name="RM_AA_RF_30">'Règles Métiers'!$A$180</definedName>
    <definedName name="RM_AA_RF_40">'Règles Métiers'!$A$181</definedName>
    <definedName name="RM_AA_RF_50">'Règles Métiers'!$A$182</definedName>
    <definedName name="RM_AA_RR_10">'Règles Métiers'!$A$194</definedName>
    <definedName name="RM_AA_RR_20">'Règles Métiers'!$A$195</definedName>
    <definedName name="RM_AA_RR_30">'Règles Métiers'!$A$196</definedName>
    <definedName name="RM_AA_RR_40">'Règles Métiers'!$A$197</definedName>
    <definedName name="RM_AA_RR_50">'Règles Métiers'!$A$198</definedName>
    <definedName name="RM_AA_RR_60">'Règles Métiers'!$A$199</definedName>
    <definedName name="RM_AA_RR_70">'Règles Métiers'!$A$200</definedName>
    <definedName name="RM_AA_RR_80">'Règles Métiers'!$A$201</definedName>
    <definedName name="RM_AD_CB_10">'Règles Métiers'!$A$346</definedName>
    <definedName name="RM_AD_CB_20">'Règles Métiers'!$A$347</definedName>
    <definedName name="RM_AD_CB_30">'Règles Métiers'!$A$348</definedName>
    <definedName name="RM_AD_CB_40">'Règles Métiers'!$A$349</definedName>
    <definedName name="RM_AD_CB_50">'Règles Métiers'!$A$350</definedName>
    <definedName name="RM_AD_CB_60">'Règles Métiers'!$A$351</definedName>
    <definedName name="RM_AD_CB_70">'Règles Métiers'!$A$352</definedName>
    <definedName name="RM_AD_CB_80">'Règles Métiers'!$A$353</definedName>
    <definedName name="RM_AD_CB_90">'Règles Métiers'!$A$354</definedName>
    <definedName name="RM_AD_TR_10">'Règles Métiers'!$A$360</definedName>
    <definedName name="RM_AD_TR_20">'Règles Métiers'!$A$361</definedName>
    <definedName name="RM_AD_TR_30">'Règles Métiers'!$A$362</definedName>
    <definedName name="RM_AD_TR_40">'Règles Métiers'!$A$363</definedName>
    <definedName name="RM_AD_TR_50">'Règles Métiers'!$A$364</definedName>
    <definedName name="RM_AD_TR_60">'Règles Métiers'!$A$365</definedName>
    <definedName name="RM_AD_TR_70">'Règles Métiers'!$A$366</definedName>
    <definedName name="RM_AD_TR_80">'Règles Métiers'!$A$367</definedName>
    <definedName name="RM_AD_TR_980">'Règles Métiers'!$A$368</definedName>
    <definedName name="RM_AT_AT_10">'Règles Métiers'!#REF!</definedName>
    <definedName name="RM_AT_AT_20">'Règles Métiers'!#REF!</definedName>
    <definedName name="RM_AT_AT_30">'Règles Métiers'!#REF!</definedName>
    <definedName name="RM_AT_AT_40">'Règles Métiers'!#REF!</definedName>
    <definedName name="RM_AT_AT_50">'Règles Métiers'!#REF!</definedName>
    <definedName name="RM_AU_CO_10">'Règles Métiers'!$A$122</definedName>
    <definedName name="RM_AU_CO_20">'Règles Métiers'!$A$123</definedName>
    <definedName name="RM_AU_MO_10">'Règles Métiers'!$A$114</definedName>
    <definedName name="RM_AU_MO_120">'Règles Métiers'!#REF!</definedName>
    <definedName name="RM_AU_MO_15">'Règles Métiers'!$A$115</definedName>
    <definedName name="RM_AU_MO_20">'Règles Métiers'!$A$116</definedName>
    <definedName name="RM_AU_PC_10">'Règles Métiers'!$A$107</definedName>
    <definedName name="RM_AU_PC_20">'Règles Métiers'!$A$108</definedName>
    <definedName name="RM_AU_RC_10">'Règles Métiers'!$A$128</definedName>
    <definedName name="RM_AU_RC_20">'Règles Métiers'!$A$129</definedName>
    <definedName name="RM_CO_CO_10">'Règles Métiers'!$A$287</definedName>
    <definedName name="RM_CO_CO_20">'Règles Métiers'!$A$288</definedName>
    <definedName name="RM_EC_LF_10">'Règles Métiers'!$A$249</definedName>
    <definedName name="RM_EC_LF_20">'Règles Métiers'!$A$250</definedName>
    <definedName name="RM_EC_NGP_10">'Règles Métiers'!$A$270</definedName>
    <definedName name="RM_EC_NGP_20">'Règles Métiers'!$A$271</definedName>
    <definedName name="RM_EC_OE_10">'Règles Métiers'!$A$256</definedName>
    <definedName name="RM_EC_OE_20">'Règles Métiers'!$A$257</definedName>
    <definedName name="RM_EC_OS_10">'Règles Métiers'!$A$263</definedName>
    <definedName name="RM_EC_OS_20">'Règles Métiers'!$A$264</definedName>
    <definedName name="RM_GM_RG_10">'Règles Métiers'!$A$287</definedName>
    <definedName name="RM_GM_RG_20">'Règles Métiers'!$A$288</definedName>
    <definedName name="RM_GR_AR_10">'Règles Métiers'!$A$62</definedName>
    <definedName name="RM_GR_AR_20">'Règles Métiers'!$A$62</definedName>
    <definedName name="RM_GR_MR_10">'Règles Métiers'!$A$68</definedName>
    <definedName name="RM_GR_MR_20">'Règles Métiers'!$A$69</definedName>
    <definedName name="RM_GR_SR_10">'Règles Métiers'!$A$75</definedName>
    <definedName name="RM_GU_AU_10">'Règles Métiers'!$A$12</definedName>
    <definedName name="RM_GU_AU_100">'Règles Métiers'!#REF!</definedName>
    <definedName name="RM_GU_AU_110">'Règles Métiers'!#REF!</definedName>
    <definedName name="RM_GU_AU_120">'Règles Métiers'!#REF!</definedName>
    <definedName name="RM_GU_AU_130">'Règles Métiers'!$A$16</definedName>
    <definedName name="RM_GU_AU_140">'Règles Métiers'!$A$17</definedName>
    <definedName name="RM_GU_AU_20">'Règles Métiers'!$A$13</definedName>
    <definedName name="RM_GU_AU_30">'Règles Métiers'!$A$14</definedName>
    <definedName name="RM_GU_AU_40">'Règles Métiers'!$A$15</definedName>
    <definedName name="RM_GU_AU_50">'Règles Métiers'!$A$16</definedName>
    <definedName name="RM_GU_AU_60">'Règles Métiers'!#REF!</definedName>
    <definedName name="RM_GU_AU_70">'Règles Métiers'!#REF!</definedName>
    <definedName name="RM_GU_AU_80">'Règles Métiers'!#REF!</definedName>
    <definedName name="RM_GU_AU_90">'Règles Métiers'!#REF!</definedName>
    <definedName name="RM_GU_MU_05">'Règles Métiers'!$A$24</definedName>
    <definedName name="RM_GU_MU_10">'Règles Métiers'!$A$25</definedName>
    <definedName name="RM_GU_MU_20">'Règles Métiers'!$A$26</definedName>
    <definedName name="RM_GU_MU_30">'Règles Métiers'!$A$27</definedName>
    <definedName name="RM_GU_MU_40">'Règles Métiers'!#REF!</definedName>
    <definedName name="RM_GU_MU_50">'Règles Métiers'!#REF!</definedName>
    <definedName name="RM_GU_MU_60">'Règles Métiers'!#REF!</definedName>
    <definedName name="RM_GU_MU_70">'Règles Métiers'!#REF!</definedName>
    <definedName name="RM_GU_MU_80">'Règles Métiers'!#REF!</definedName>
    <definedName name="RM_GU_PR_10">'Règles Métiers'!$A$33</definedName>
    <definedName name="RM_GU_PR_100">'Règles Métiers'!$A$42</definedName>
    <definedName name="RM_GU_PR_110">'Règles Métiers'!$A$43</definedName>
    <definedName name="RM_GU_PR_120">'Règles Métiers'!$A$44</definedName>
    <definedName name="RM_GU_PR_20">'Règles Métiers'!$A$34</definedName>
    <definedName name="RM_GU_PR_30">'Règles Métiers'!$A$35</definedName>
    <definedName name="RM_GU_PR_40">'Règles Métiers'!$A$36</definedName>
    <definedName name="RM_GU_PR_50">'Règles Métiers'!$A$37</definedName>
    <definedName name="RM_GU_PR_60">'Règles Métiers'!$A$38</definedName>
    <definedName name="RM_GU_PR_70">'Règles Métiers'!$A$39</definedName>
    <definedName name="RM_GU_PR_80">'Règles Métiers'!$A$40</definedName>
    <definedName name="RM_GU_PR_90">'Règles Métiers'!$A$41</definedName>
    <definedName name="RM_GU_SU_10">'Règles Métiers'!$A$50</definedName>
    <definedName name="RM_IT_PT_10">'Règles Métiers'!$A$318</definedName>
    <definedName name="RM_IT_PT_100">'Règles Métiers'!$A$327</definedName>
    <definedName name="RM_IT_PT_110">'Règles Métiers'!$A$328</definedName>
    <definedName name="RM_IT_PT_120">'Règles Métiers'!$A$329</definedName>
    <definedName name="RM_IT_PT_130">'Règles Métiers'!$A$330</definedName>
    <definedName name="RM_IT_PT_140">'Règles Métiers'!$A$331</definedName>
    <definedName name="RM_IT_PT_150">'Règles Métiers'!$A$332</definedName>
    <definedName name="RM_IT_PT_160">'Règles Métiers'!$A$333</definedName>
    <definedName name="RM_IT_PT_170">'Règles Métiers'!$A$334</definedName>
    <definedName name="RM_IT_PT_180">'Règles Métiers'!$A$335</definedName>
    <definedName name="RM_IT_PT_190">'Règles Métiers'!$A$336</definedName>
    <definedName name="RM_IT_PT_20">'Règles Métiers'!$A$319</definedName>
    <definedName name="RM_IT_PT_200">'Règles Métiers'!$A$337</definedName>
    <definedName name="RM_IT_PT_30">'Règles Métiers'!$A$320</definedName>
    <definedName name="RM_IT_PT_40">'Règles Métiers'!$A$321</definedName>
    <definedName name="RM_IT_PT_50">'Règles Métiers'!$A$322</definedName>
    <definedName name="RM_IT_PT_60">'Règles Métiers'!$A$323</definedName>
    <definedName name="RM_IT_PT_70">'Règles Métiers'!$A$324</definedName>
    <definedName name="RM_IT_PT_80">'Règles Métiers'!$A$325</definedName>
    <definedName name="RM_IT_PT_90">'Règles Métiers'!$A$326</definedName>
    <definedName name="RM_IT_TS_10">'Règles Métiers'!$A$296</definedName>
    <definedName name="RM_IT_TS_100">'Règles Métiers'!$A$312</definedName>
    <definedName name="RM_IT_TS_20">'Règles Métiers'!$A$297</definedName>
    <definedName name="RM_IT_TS_30">'Règles Métiers'!$A$298</definedName>
    <definedName name="RM_IT_TS_40">'Règles Métiers'!$A$299</definedName>
    <definedName name="RM_IT_TS_50">'Règles Métiers'!$A$300</definedName>
    <definedName name="RM_IT_TS_51">'Règles Métiers'!$A$302</definedName>
    <definedName name="RM_IT_TS_55">'Règles Métiers'!$A$301</definedName>
    <definedName name="RM_IT_TS_60">'Règles Métiers'!$A$303</definedName>
    <definedName name="RM_IT_TS_603">'Règles Métiers'!#REF!</definedName>
    <definedName name="RM_IT_TS_70">'Règles Métiers'!$A$304</definedName>
    <definedName name="RM_IT_TS_75">'Règles Métiers'!$A$305</definedName>
    <definedName name="RM_IT_TS_80">'Règles Métiers'!$A$306</definedName>
    <definedName name="RM_IT_TS_85">'Règles Métiers'!$A$307</definedName>
    <definedName name="RM_IT_TS_86">'Règles Métiers'!$A$308</definedName>
    <definedName name="RM_IT_TS_90">'Règles Métiers'!$A$309</definedName>
    <definedName name="RM_IT_TS_95">'Règles Métiers'!$A$310</definedName>
    <definedName name="RM_IT_TS_96">'Règles Métiers'!$A$311</definedName>
    <definedName name="RM_OA_OA_10">'Règles Métiers'!$A$376</definedName>
    <definedName name="RM_OA_OA_100">'Règles Métiers'!$A$387</definedName>
    <definedName name="RM_OA_OA_110">'Règles Métiers'!$A$388</definedName>
    <definedName name="RM_OA_OA_120">'Règles Métiers'!$A$389</definedName>
    <definedName name="RM_OA_OA_130">'Règles Métiers'!$A$390</definedName>
    <definedName name="RM_OA_OA_20">'Règles Métiers'!$A$377</definedName>
    <definedName name="RM_OA_OA_30">'Règles Métiers'!$A$378</definedName>
    <definedName name="RM_OA_OA_40">'Règles Métiers'!$A$379</definedName>
    <definedName name="RM_OA_OA_50">'Règles Métiers'!$A$380</definedName>
    <definedName name="RM_OA_OA_60">'Règles Métiers'!$A$381</definedName>
    <definedName name="RM_OA_OA_70">'Règles Métiers'!$A$382</definedName>
    <definedName name="RM_OA_OA_80">'Règles Métiers'!$A$383</definedName>
    <definedName name="RM_OA_OA_90">'Règles Métiers'!$A$384</definedName>
    <definedName name="RM_OA_OA_95">'Règles Métiers'!$A$385</definedName>
    <definedName name="RM_OA_OA_96">'Règles Métiers'!$A$386</definedName>
    <definedName name="RM_PF_CA_10">'Règles Métiers'!$A$138</definedName>
    <definedName name="RM_PF_CA_11">'Règles Métiers'!$A$139</definedName>
    <definedName name="RM_PF_CA_15">'Règles Métiers'!$A$140</definedName>
    <definedName name="RM_PF_CA_20">'Règles Métiers'!$A$141</definedName>
    <definedName name="RM_RE_AR_10">'Règles Métiers'!$A$84</definedName>
    <definedName name="RM_RE_AR_20">'Règles Métiers'!$A$85</definedName>
    <definedName name="RM_RE_MR_10">'Règles Métiers'!$A$91</definedName>
    <definedName name="RM_RE_MR_20">'Règles Métiers'!$A$92</definedName>
    <definedName name="RM_RE_SR_10">'Règles Métiers'!$A$98</definedName>
    <definedName name="UC_AA_AC_10">'Plan de tests'!$A$394</definedName>
    <definedName name="UC_AA_AC_20">'Plan de tests'!$A$395</definedName>
    <definedName name="UC_AA_AC_30">'Plan de tests'!$A$396</definedName>
    <definedName name="UC_AA_AC_40">'Plan de tests'!$A$397</definedName>
    <definedName name="UC_AA_AC_50">'Plan de tests'!$A$398</definedName>
    <definedName name="UC_AA_AC_60">'Plan de tests'!$A$399</definedName>
    <definedName name="UC_AA_AC_70">'Plan de tests'!$A$400</definedName>
    <definedName name="UC_AA_CD_10">'Plan de tests'!$A$356</definedName>
    <definedName name="UC_AA_CD_20">'Plan de tests'!$A$357</definedName>
    <definedName name="UC_AA_CD_30">'Plan de tests'!$A$358</definedName>
    <definedName name="UC_AA_CD_40">'Plan de tests'!$A$359</definedName>
    <definedName name="UC_AA_CD_50">'Plan de tests'!$A$360</definedName>
    <definedName name="UC_AA_CD_60">'Plan de tests'!$A$362</definedName>
    <definedName name="UC_AA_CD_70">'Plan de tests'!$A$363</definedName>
    <definedName name="UC_AA_CD_80">'Plan de tests'!$A$364</definedName>
    <definedName name="UC_AA_CM_10">'Plan de tests'!$A$370</definedName>
    <definedName name="UC_AA_CM_20">'Plan de tests'!$A$371</definedName>
    <definedName name="UC_AA_CM_30">'Plan de tests'!#REF!</definedName>
    <definedName name="UC_AA_CM_40">'Plan de tests'!$A$373</definedName>
    <definedName name="UC_AA_CM_50">'Plan de tests'!#REF!</definedName>
    <definedName name="UC_AA_CM_60">'Plan de tests'!#REF!</definedName>
    <definedName name="UC_AA_CM_70">'Plan de tests'!$A$374</definedName>
    <definedName name="UC_AA_CM_80">'Plan de tests'!$A$375</definedName>
    <definedName name="UC_AA_DE_10">'Plan de tests'!#REF!</definedName>
    <definedName name="UC_AA_DE_20">'Plan de tests'!#REF!</definedName>
    <definedName name="UC_AA_DE_30">'Plan de tests'!#REF!</definedName>
    <definedName name="UC_AA_DE_40">'Plan de tests'!#REF!</definedName>
    <definedName name="UC_AA_DE_50">'Plan de tests'!#REF!</definedName>
    <definedName name="UC_AA_DE_60">'Plan de tests'!#REF!</definedName>
    <definedName name="UC_AA_DE_70">'Plan de tests'!#REF!</definedName>
    <definedName name="UC_AA_EF_10">'Plan de tests'!$A$448</definedName>
    <definedName name="UC_AA_EF_100">'Plan de tests'!$A$458</definedName>
    <definedName name="UC_AA_EF_110">'Plan de tests'!$A$459</definedName>
    <definedName name="UC_AA_EF_20">'Plan de tests'!$A$449</definedName>
    <definedName name="UC_AA_EF_30">'Plan de tests'!$A$450</definedName>
    <definedName name="UC_AA_EF_40">'Plan de tests'!$A$451</definedName>
    <definedName name="UC_AA_EF_50">'Plan de tests'!$A$452</definedName>
    <definedName name="UC_AA_EF_60">'Plan de tests'!$A$453</definedName>
    <definedName name="UC_AA_EF_70">'Plan de tests'!$A$454</definedName>
    <definedName name="UC_AA_EF_75">'Plan de tests'!$A$455</definedName>
    <definedName name="UC_AA_EF_80">'Plan de tests'!$A$456</definedName>
    <definedName name="UC_AA_EF_90">'Plan de tests'!$A$457</definedName>
    <definedName name="UC_AA_MF_10">'Plan de tests'!$A$422</definedName>
    <definedName name="UC_AA_MF_20">'Plan de tests'!$A$423</definedName>
    <definedName name="UC_AA_MF_30">'Plan de tests'!$A$424</definedName>
    <definedName name="UC_AA_MF_40">'Plan de tests'!$A$425</definedName>
    <definedName name="UC_AA_MF_50">'Plan de tests'!$A$426</definedName>
    <definedName name="UC_AA_MF_60">'Plan de tests'!$A$427</definedName>
    <definedName name="UC_AA_MF_70">'Plan de tests'!$A$428</definedName>
    <definedName name="UC_AA_MF_80">'Plan de tests'!$A$429</definedName>
    <definedName name="UC_AA_MR_10">'Plan de tests'!$A$435</definedName>
    <definedName name="UC_AA_MR_20">'Plan de tests'!$A$436</definedName>
    <definedName name="UC_AA_MR_30">'Plan de tests'!$A$437</definedName>
    <definedName name="UC_AA_MR_40">'Plan de tests'!$A$438</definedName>
    <definedName name="UC_AA_MR_50">'Plan de tests'!$A$439</definedName>
    <definedName name="UC_AA_MR_60">'Plan de tests'!$A$440</definedName>
    <definedName name="UC_AA_MR_70">'Plan de tests'!$A$441</definedName>
    <definedName name="UC_AA_MR_80">'Plan de tests'!$A$442</definedName>
    <definedName name="UC_AA_RF_10">'Plan de tests'!$A$382</definedName>
    <definedName name="UC_AA_RF_20">'Plan de tests'!$A$383</definedName>
    <definedName name="UC_AA_RF_30">'Plan de tests'!$A$384</definedName>
    <definedName name="UC_AA_RF_40">'Plan de tests'!$A$385</definedName>
    <definedName name="UC_AA_RF_50">'Plan de tests'!$A$386</definedName>
    <definedName name="UC_AA_RF_60">'Plan de tests'!$A$387</definedName>
    <definedName name="UC_AA_RF_70">'Plan de tests'!$A$388</definedName>
    <definedName name="UC_AA_RR_10">'Plan de tests'!$A$406</definedName>
    <definedName name="UC_AA_RR_100">'Plan de tests'!$A$415</definedName>
    <definedName name="UC_AA_RR_110">'Plan de tests'!$A$416</definedName>
    <definedName name="UC_AA_RR_20">'Plan de tests'!$A$407</definedName>
    <definedName name="UC_AA_RR_30">'Plan de tests'!$A$408</definedName>
    <definedName name="UC_AA_RR_40">'Plan de tests'!$A$409</definedName>
    <definedName name="UC_AA_RR_50">'Plan de tests'!$A$410</definedName>
    <definedName name="UC_AA_RR_60">'Plan de tests'!$A$411</definedName>
    <definedName name="UC_AA_RR_70">'Plan de tests'!$A$412</definedName>
    <definedName name="UC_AA_RR_80">'Plan de tests'!$A$413</definedName>
    <definedName name="UC_AA_RR_90">'Plan de tests'!$A$414</definedName>
    <definedName name="UC_AD_CB_10">'Plan de tests'!$A$660</definedName>
    <definedName name="UC_AD_CB_100">'Plan de tests'!$A$669</definedName>
    <definedName name="UC_AD_CB_110">'Plan de tests'!$A$670</definedName>
    <definedName name="UC_AD_CB_120">'Plan de tests'!$A$671</definedName>
    <definedName name="UC_AD_CB_130">'Plan de tests'!$A$672</definedName>
    <definedName name="UC_AD_CB_20">'Plan de tests'!$A$661</definedName>
    <definedName name="UC_AD_CB_30">'Plan de tests'!$A$662</definedName>
    <definedName name="UC_AD_CB_40">'Plan de tests'!$A$663</definedName>
    <definedName name="UC_AD_CB_50">'Plan de tests'!$A$664</definedName>
    <definedName name="UC_AD_CB_60">'Plan de tests'!$A$665</definedName>
    <definedName name="UC_AD_CB_70">'Plan de tests'!$A$666</definedName>
    <definedName name="UC_AD_CB_80">'Plan de tests'!$A$667</definedName>
    <definedName name="UC_AD_CB_90">'Plan de tests'!$A$668</definedName>
    <definedName name="UC_AD_TR_">'Plan de tests'!#REF!</definedName>
    <definedName name="UC_AD_TR_10">'Plan de tests'!$A$679</definedName>
    <definedName name="UC_AD_TR_100">'Plan de tests'!$A$688</definedName>
    <definedName name="UC_AD_TR_110">'Plan de tests'!$A$689</definedName>
    <definedName name="UC_AD_TR_120">'Plan de tests'!$A$690</definedName>
    <definedName name="UC_AD_TR_130">'Plan de tests'!$A$691</definedName>
    <definedName name="UC_AD_TR_140">'Plan de tests'!$A$692</definedName>
    <definedName name="UC_AD_TR_150">'Plan de tests'!$A$693</definedName>
    <definedName name="UC_AD_TR_20">'Plan de tests'!$A$680</definedName>
    <definedName name="UC_AD_TR_30">'Plan de tests'!$A$681</definedName>
    <definedName name="UC_AD_TR_40">'Plan de tests'!$A$682</definedName>
    <definedName name="UC_AD_TR_5">'Plan de tests'!$A$678</definedName>
    <definedName name="UC_AD_TR_50">'Plan de tests'!$A$683</definedName>
    <definedName name="UC_AD_TR_60">'Plan de tests'!$A$684</definedName>
    <definedName name="UC_AD_TR_70">'Plan de tests'!$A$685</definedName>
    <definedName name="UC_AD_TR_80">'Plan de tests'!$A$686</definedName>
    <definedName name="UC_AD_TR_90">'Plan de tests'!$A$687</definedName>
    <definedName name="UC_AF_BC_10">'Plan de tests'!$A$336</definedName>
    <definedName name="UC_AF_BC_20">'Plan de tests'!$A$337</definedName>
    <definedName name="UC_AF_BC_30">'Plan de tests'!$A$338</definedName>
    <definedName name="UC_AF_BC_40">'Plan de tests'!$A$339</definedName>
    <definedName name="UC_AF_BC_50">'Plan de tests'!$A$340</definedName>
    <definedName name="UC_AT_AT_10">'Plan de tests'!#REF!</definedName>
    <definedName name="UC_AT_AT_100">'Plan de tests'!#REF!</definedName>
    <definedName name="UC_AT_AT_110">'Plan de tests'!#REF!</definedName>
    <definedName name="UC_AT_AT_120">'Plan de tests'!#REF!</definedName>
    <definedName name="UC_AT_AT_130">'Plan de tests'!#REF!</definedName>
    <definedName name="UC_AT_AT_150">'Plan de tests'!#REF!</definedName>
    <definedName name="UC_AT_AT_20">'Plan de tests'!#REF!</definedName>
    <definedName name="UC_AT_AT_30">'Plan de tests'!#REF!</definedName>
    <definedName name="UC_AT_AT_40">'Plan de tests'!#REF!</definedName>
    <definedName name="UC_AT_AT_50">'Plan de tests'!#REF!</definedName>
    <definedName name="UC_AT_AT_60">'Plan de tests'!#REF!</definedName>
    <definedName name="UC_AT_AT_610">'Plan de tests'!#REF!</definedName>
    <definedName name="UC_AT_AT_70">'Plan de tests'!#REF!</definedName>
    <definedName name="UC_AT_AT_80">'Plan de tests'!#REF!</definedName>
    <definedName name="UC_AT_AT_90">'Plan de tests'!#REF!</definedName>
    <definedName name="UC_AU_CO_10">'Plan de tests'!$A$265</definedName>
    <definedName name="UC_AU_CO_20">'Plan de tests'!$A$266</definedName>
    <definedName name="UC_AU_MO_10">'Plan de tests'!$A$256</definedName>
    <definedName name="UC_AU_MO_15">'Plan de tests'!$A$257</definedName>
    <definedName name="UC_AU_MO_20">'Plan de tests'!$A$258</definedName>
    <definedName name="UC_AU_MO_30">'Plan de tests'!$A$259</definedName>
    <definedName name="UC_AU_PC_10">'Plan de tests'!$A$249</definedName>
    <definedName name="UC_AU_PC_20">'Plan de tests'!$A$250</definedName>
    <definedName name="UC_AU_RC_10">'Plan de tests'!$A$272</definedName>
    <definedName name="UC_AU_RC_20">'Plan de tests'!$A$273</definedName>
    <definedName name="UC_AU_RC_30">'Plan de tests'!$A$274</definedName>
    <definedName name="UC_CO_CO_10">'Plan de tests'!$A$532</definedName>
    <definedName name="UC_CO_CO_20">'Plan de tests'!$A$533</definedName>
    <definedName name="UC_CO_CO_30">'Plan de tests'!$A$534</definedName>
    <definedName name="UC_CO_CO_40">'Plan de tests'!$A$535</definedName>
    <definedName name="UC_CO_CO_50">'Plan de tests'!$A$536</definedName>
    <definedName name="UC_CO_CO_60">'Plan de tests'!$A$537</definedName>
    <definedName name="UC_CO_CO_70">'Plan de tests'!$A$538</definedName>
    <definedName name="UC_EC_DE_10">'Plan de tests'!#REF!</definedName>
    <definedName name="UC_EC_DE_20">'Plan de tests'!#REF!</definedName>
    <definedName name="UC_EC_DE_30">'Plan de tests'!#REF!</definedName>
    <definedName name="UC_EC_DE_40">'Plan de tests'!#REF!</definedName>
    <definedName name="UC_EC_DE_50">'Plan de tests'!#REF!</definedName>
    <definedName name="UC_EC_DE_60">'Plan de tests'!#REF!</definedName>
    <definedName name="UC_EC_DE_70">'Plan de tests'!#REF!</definedName>
    <definedName name="UC_EC_LF_10">'Plan de tests'!$A$472</definedName>
    <definedName name="UC_EC_LF_20">'Plan de tests'!$A$473</definedName>
    <definedName name="UC_EC_LF_30">'Plan de tests'!$A$474</definedName>
    <definedName name="UC_EC_LF_40">'Plan de tests'!$A$475</definedName>
    <definedName name="UC_EC_LF_50">'Plan de tests'!$A$476</definedName>
    <definedName name="UC_EC_NGP_10">'Plan de tests'!$A$500</definedName>
    <definedName name="UC_EC_NGP_20">'Plan de tests'!$A$501</definedName>
    <definedName name="UC_EC_NGP_30">'Plan de tests'!$A$502</definedName>
    <definedName name="UC_EC_NGP_40">'Plan de tests'!$A$503</definedName>
    <definedName name="UC_EC_NGP_50">'Plan de tests'!$A$503</definedName>
    <definedName name="UC_EC_OE_10">'Plan de tests'!$A$482</definedName>
    <definedName name="UC_EC_OE_20">'Plan de tests'!$A$483</definedName>
    <definedName name="UC_EC_OE_30">'Plan de tests'!$A$484</definedName>
    <definedName name="UC_EC_OE_40">'Plan de tests'!$A$485</definedName>
    <definedName name="UC_EC_OS_10">'Plan de tests'!$A$491</definedName>
    <definedName name="UC_EC_OS_20">'Plan de tests'!$A$492</definedName>
    <definedName name="UC_EC_OS_30">'Plan de tests'!$A$493</definedName>
    <definedName name="UC_EC_OS_40">'Plan de tests'!$A$494</definedName>
    <definedName name="UC_GM_RG_10">'Plan de tests'!$A$516</definedName>
    <definedName name="UC_GM_RG_20">'Plan de tests'!$A$517</definedName>
    <definedName name="UC_GR_AR_30">'Plan de tests'!$A$167</definedName>
    <definedName name="UC_GR_AR_40">'Plan de tests'!$A$168</definedName>
    <definedName name="UC_GR_LR_10">'Plan de tests'!$A$190</definedName>
    <definedName name="UC_GR_LR_15">'Plan de tests'!$A$191</definedName>
    <definedName name="UC_GR_LR_20">'Plan de tests'!$A$192</definedName>
    <definedName name="UC_GR_MR_10">'Plan de tests'!$A$174</definedName>
    <definedName name="UC_GR_MR_20">'Plan de tests'!$A$175</definedName>
    <definedName name="UC_GR_MR_30">'Plan de tests'!$A$176</definedName>
    <definedName name="UC_GR_MR_40">'Plan de tests'!$A$177</definedName>
    <definedName name="UC_GR_SR_10">'Plan de tests'!$A$183</definedName>
    <definedName name="UC_GR_SR_20">'Plan de tests'!$A$184</definedName>
    <definedName name="UC_GU_AU_30">'Plan de tests'!$A$80</definedName>
    <definedName name="UC_GU_AU_35">'Plan de tests'!$A$81</definedName>
    <definedName name="UC_GU_AU_36">'Plan de tests'!$A$82</definedName>
    <definedName name="UC_GU_AU_40">'Plan de tests'!$A$84</definedName>
    <definedName name="UC_GU_AU_45">'Plan de tests'!$A$85</definedName>
    <definedName name="UC_GU_AU_46">'Plan de tests'!$A$86</definedName>
    <definedName name="UC_GU_AU_47">'Plan de tests'!$A$87</definedName>
    <definedName name="UC_GU_AU_48">'Plan de tests'!$A$88</definedName>
    <definedName name="UC_GU_AU_49">'Plan de tests'!$A$89</definedName>
    <definedName name="UC_GU_AU_49.1">'Plan de tests'!$A$90</definedName>
    <definedName name="UC_GU_AU_49.2">'Plan de tests'!$A$91</definedName>
    <definedName name="UC_GU_AU_49.3">'Plan de tests'!$A$92</definedName>
    <definedName name="UC_GU_AU_49.4">'Plan de tests'!$A$93</definedName>
    <definedName name="UC_GU_AU_50">'Plan de tests'!$A$94</definedName>
    <definedName name="UC_GU_AU_60">'Plan de tests'!$A$95</definedName>
    <definedName name="UC_GU_AU_70">'Plan de tests'!$A$96</definedName>
    <definedName name="UC_GU_AU_80">'Plan de tests'!$A$98</definedName>
    <definedName name="UC_GU_MU_10">'Plan de tests'!$A$104</definedName>
    <definedName name="UC_GU_MU_20">'Plan de tests'!$A$105</definedName>
    <definedName name="UC_GU_MU_30">'Plan de tests'!$A$106</definedName>
    <definedName name="UC_GU_MU_40">'Plan de tests'!$A$107</definedName>
    <definedName name="UC_GU_MU_50">'Plan de tests'!$A$108</definedName>
    <definedName name="UC_GU_MU_60">'Plan de tests'!$A$109</definedName>
    <definedName name="UC_GU_MU_70">'Plan de tests'!#REF!</definedName>
    <definedName name="UC_GU_MU_80">'Plan de tests'!#REF!</definedName>
    <definedName name="UC_GU_MU_90">'Plan de tests'!#REF!</definedName>
    <definedName name="UC_GU_PR_10">'Plan de tests'!$A$115</definedName>
    <definedName name="UC_GU_PR_100">'Plan de tests'!$A$124</definedName>
    <definedName name="UC_GU_PR_110">'Plan de tests'!$A$125</definedName>
    <definedName name="UC_GU_PR_120">'Plan de tests'!$A$126</definedName>
    <definedName name="UC_GU_PR_130">'Plan de tests'!$A$127</definedName>
    <definedName name="UC_GU_PR_140">'Plan de tests'!$A$128</definedName>
    <definedName name="UC_GU_PR_150">'Plan de tests'!$A$129</definedName>
    <definedName name="UC_GU_PR_160">'Plan de tests'!$A$130</definedName>
    <definedName name="UC_GU_PR_20">'Plan de tests'!$A$116</definedName>
    <definedName name="UC_GU_PR_30">'Plan de tests'!$A$117</definedName>
    <definedName name="UC_GU_PR_40">'Plan de tests'!$A$118</definedName>
    <definedName name="UC_GU_PR_50">'Plan de tests'!$A$119</definedName>
    <definedName name="UC_GU_PR_60">'Plan de tests'!$A$120</definedName>
    <definedName name="UC_GU_PR_70">'Plan de tests'!$A$121</definedName>
    <definedName name="UC_GU_PR_80">'Plan de tests'!$A$122</definedName>
    <definedName name="UC_GU_PR_90">'Plan de tests'!$A$123</definedName>
    <definedName name="UC_GU_SU_20">'Plan de tests'!$A$137</definedName>
    <definedName name="UC_IT_CT_10">'Plan de tests'!$A$622</definedName>
    <definedName name="UC_IT_PT_10">'Plan de tests'!$A$590</definedName>
    <definedName name="UC_IT_PT_100">'Plan de tests'!$A$599</definedName>
    <definedName name="UC_IT_PT_110">'Plan de tests'!$A$600</definedName>
    <definedName name="UC_IT_PT_12">'Plan de tests'!#REF!</definedName>
    <definedName name="UC_IT_PT_120">'Plan de tests'!$A$601</definedName>
    <definedName name="UC_IT_PT_130">'Plan de tests'!$A$602</definedName>
    <definedName name="UC_IT_PT_140">'Plan de tests'!$A$603</definedName>
    <definedName name="UC_IT_PT_150">'Plan de tests'!$A$604</definedName>
    <definedName name="UC_IT_PT_160">'Plan de tests'!$A$605</definedName>
    <definedName name="UC_IT_PT_170">'Plan de tests'!$A$606</definedName>
    <definedName name="UC_IT_PT_180">'Plan de tests'!$A$607</definedName>
    <definedName name="UC_IT_PT_190">'Plan de tests'!$A$608</definedName>
    <definedName name="UC_IT_PT_20">'Plan de tests'!$A$591</definedName>
    <definedName name="UC_IT_PT_200">'Plan de tests'!$A$609</definedName>
    <definedName name="UC_IT_PT_210">'Plan de tests'!$A$610</definedName>
    <definedName name="UC_IT_PT_220">'Plan de tests'!$A$611</definedName>
    <definedName name="UC_IT_PT_230">'Plan de tests'!$A$612</definedName>
    <definedName name="UC_IT_PT_240">'Plan de tests'!$A$613</definedName>
    <definedName name="UC_IT_PT_250">'Plan de tests'!$A$614:$A$614</definedName>
    <definedName name="UC_IT_PT_260">'Plan de tests'!$A$615</definedName>
    <definedName name="UC_IT_PT_270">'Plan de tests'!$A$616</definedName>
    <definedName name="UC_IT_PT_30">'Plan de tests'!$A$592</definedName>
    <definedName name="UC_IT_PT_40">'Plan de tests'!$A$593</definedName>
    <definedName name="UC_IT_PT_50">'Plan de tests'!$A$594</definedName>
    <definedName name="UC_IT_PT_60">'Plan de tests'!$A$595</definedName>
    <definedName name="UC_IT_PT_70">'Plan de tests'!$A$596</definedName>
    <definedName name="UC_IT_PT_80">'Plan de tests'!$A$597</definedName>
    <definedName name="UC_IT_PT_90">'Plan de tests'!$A$598</definedName>
    <definedName name="UC_IT_TS_10">'Plan de tests'!$A$563</definedName>
    <definedName name="UC_IT_TS_100">'Plan de tests'!$A$572</definedName>
    <definedName name="UC_IT_TS_110">'Plan de tests'!$A$573</definedName>
    <definedName name="UC_IT_TS_120">'Plan de tests'!$A$574</definedName>
    <definedName name="UC_IT_TS_130">'Plan de tests'!$A$575</definedName>
    <definedName name="UC_IT_TS_140">'Plan de tests'!$A$576</definedName>
    <definedName name="UC_IT_TS_150">'Plan de tests'!$A$577</definedName>
    <definedName name="UC_IT_TS_160">'Plan de tests'!$A$578</definedName>
    <definedName name="UC_IT_TS_170">'Plan de tests'!$A$579</definedName>
    <definedName name="UC_IT_TS_180">'Plan de tests'!$A$580</definedName>
    <definedName name="UC_IT_TS_190">'Plan de tests'!$A$581</definedName>
    <definedName name="UC_IT_TS_20">'Plan de tests'!$A$564</definedName>
    <definedName name="UC_IT_TS_200">'Plan de tests'!$A$582</definedName>
    <definedName name="UC_IT_TS_210">'Plan de tests'!$A$583</definedName>
    <definedName name="UC_IT_TS_220">'Plan de tests'!$A$584</definedName>
    <definedName name="UC_IT_TS_30">'Plan de tests'!$A$565</definedName>
    <definedName name="UC_IT_TS_40">'Plan de tests'!$A$566</definedName>
    <definedName name="UC_IT_TS_50">'Plan de tests'!$A$567</definedName>
    <definedName name="UC_IT_TS_60">'Plan de tests'!$A$568</definedName>
    <definedName name="UC_IT_TS_70">'Plan de tests'!$A$569</definedName>
    <definedName name="UC_IT_TS_80">'Plan de tests'!$A$570</definedName>
    <definedName name="UC_IT_TS_90">'Plan de tests'!$A$571</definedName>
    <definedName name="UC_OA_OA_10">'Plan de tests'!$A$706</definedName>
    <definedName name="UC_OA_OA_100">'Plan de tests'!$A$715</definedName>
    <definedName name="UC_OA_OA_110">'Plan de tests'!$A$716</definedName>
    <definedName name="UC_OA_OA_120">'Plan de tests'!$A$717</definedName>
    <definedName name="UC_OA_OA_130">'Plan de tests'!$A$718</definedName>
    <definedName name="UC_OA_OA_140">'Plan de tests'!$A$719</definedName>
    <definedName name="UC_OA_OA_150">'Plan de tests'!$A$720</definedName>
    <definedName name="UC_OA_OA_160">'Plan de tests'!$A$721</definedName>
    <definedName name="UC_OA_OA_170">'Plan de tests'!$A$722</definedName>
    <definedName name="UC_OA_OA_180">'Plan de tests'!$A$723</definedName>
    <definedName name="UC_OA_OA_190">'Plan de tests'!$A$724</definedName>
    <definedName name="UC_OA_OA_20">'Plan de tests'!$A$707</definedName>
    <definedName name="UC_OA_OA_200">'Plan de tests'!$A$725</definedName>
    <definedName name="UC_OA_OA_210">'Plan de tests'!$A$726</definedName>
    <definedName name="UC_OA_OA_220">'Plan de tests'!$A$727</definedName>
    <definedName name="UC_OA_OA_30">'Plan de tests'!$A$708</definedName>
    <definedName name="UC_OA_OA_40">'Plan de tests'!$A$709</definedName>
    <definedName name="UC_OA_OA_50">'Plan de tests'!$A$710</definedName>
    <definedName name="UC_OA_OA_60">'Plan de tests'!$A$711</definedName>
    <definedName name="UC_OA_OA_70">'Plan de tests'!$A$712</definedName>
    <definedName name="UC_OA_OA_80">'Plan de tests'!$A$713</definedName>
    <definedName name="UC_OA_OA_90">'Plan de tests'!$A$714</definedName>
    <definedName name="UC_PF_AD_10">'Plan de tests'!#REF!</definedName>
    <definedName name="UC_PF_AD_20">'Plan de tests'!#REF!</definedName>
    <definedName name="UC_PF_AD_30">'Plan de tests'!#REF!</definedName>
    <definedName name="UC_PF_AD_40">'Plan de tests'!#REF!</definedName>
    <definedName name="UC_PF_BC_10">'Plan de tests'!$A$303</definedName>
    <definedName name="UC_PF_BC_20">'Plan de tests'!$A$304</definedName>
    <definedName name="UC_PF_BC_30">'Plan de tests'!$A$305</definedName>
    <definedName name="UC_PF_BC_40">'Plan de tests'!$A$306</definedName>
    <definedName name="UC_PF_BC_50">'Plan de tests'!$A$307</definedName>
    <definedName name="UC_PF_BC_60">'Plan de tests'!$A$308</definedName>
    <definedName name="UC_PF_CA_10">'Plan de tests'!$A$289</definedName>
    <definedName name="UC_PF_CA_20">'Plan de tests'!$A$290</definedName>
    <definedName name="UC_PF_CA_30">'Plan de tests'!$A$291</definedName>
    <definedName name="UC_PF_CA_40">'Plan de tests'!$A$292</definedName>
    <definedName name="UC_PF_CA_45">'Plan de tests'!$A$293</definedName>
    <definedName name="UC_PF_CA_50">'Plan de tests'!$A$294</definedName>
    <definedName name="UC_PF_CA_55">'Plan de tests'!$A$295</definedName>
    <definedName name="UC_PF_CA_60">'Plan de tests'!$A$296</definedName>
    <definedName name="UC_PF_CA_70">'Plan de tests'!$A$297</definedName>
    <definedName name="UC_RE_AR_10">'Plan de tests'!$A$207</definedName>
    <definedName name="UC_RE_AR_20">'Plan de tests'!$A$208</definedName>
    <definedName name="UC_RE_AR_30">'Plan de tests'!$A$209</definedName>
    <definedName name="UC_RE_AR_40">'Plan de tests'!$A$210</definedName>
    <definedName name="UC_RE_LR_10">'Plan de tests'!$A$232</definedName>
    <definedName name="UC_RE_LR_20">'Plan de tests'!$A$234</definedName>
    <definedName name="UC_RE_MR_10">'Plan de tests'!$A$216</definedName>
    <definedName name="UC_RE_MR_20">'Plan de tests'!$A$217</definedName>
    <definedName name="UC_RE_MR_30">'Plan de tests'!$A$218</definedName>
    <definedName name="UC_RE_MR_40">'Plan de tests'!$A$219</definedName>
    <definedName name="UC_RE_SR_10">'Plan de tests'!$A$225</definedName>
    <definedName name="UC_RE_SR_20">'Plan de tests'!$A$226</definedName>
  </definedNames>
  <calcPr calcId="171027"/>
  <fileRecoveryPr autoRecover="0"/>
</workbook>
</file>

<file path=xl/calcChain.xml><?xml version="1.0" encoding="utf-8"?>
<calcChain xmlns="http://schemas.openxmlformats.org/spreadsheetml/2006/main">
  <c r="F390" i="4" l="1"/>
  <c r="F389" i="4"/>
  <c r="F388" i="4"/>
  <c r="F387" i="4"/>
  <c r="F386" i="4"/>
  <c r="F385" i="4"/>
  <c r="F384" i="4"/>
  <c r="F383" i="4"/>
  <c r="F382" i="4"/>
  <c r="F381" i="4"/>
  <c r="F380" i="4"/>
  <c r="F379" i="4"/>
  <c r="F378" i="4"/>
  <c r="F377" i="4"/>
  <c r="F376" i="4"/>
  <c r="F367" i="4"/>
  <c r="F366" i="4"/>
  <c r="F365" i="4"/>
  <c r="F364" i="4"/>
  <c r="F363" i="4"/>
  <c r="F362" i="4"/>
  <c r="F361" i="4"/>
  <c r="F360" i="4"/>
  <c r="F354" i="4"/>
  <c r="F353" i="4"/>
  <c r="F352" i="4"/>
  <c r="F351" i="4"/>
  <c r="F350" i="4"/>
  <c r="F349" i="4"/>
  <c r="F348" i="4"/>
  <c r="F347" i="4"/>
  <c r="F346" i="4"/>
  <c r="F337" i="4"/>
  <c r="F336" i="4"/>
  <c r="F335" i="4"/>
  <c r="F334" i="4"/>
  <c r="F333" i="4"/>
  <c r="F332" i="4"/>
  <c r="F331" i="4"/>
  <c r="F330" i="4"/>
  <c r="F329" i="4"/>
  <c r="F328" i="4"/>
  <c r="F327" i="4"/>
  <c r="F326" i="4"/>
  <c r="F325" i="4"/>
  <c r="F324" i="4"/>
  <c r="F323" i="4"/>
  <c r="F322" i="4"/>
  <c r="F321" i="4"/>
  <c r="F320" i="4"/>
  <c r="F319" i="4"/>
  <c r="F318" i="4"/>
  <c r="F288" i="4"/>
  <c r="F287" i="4"/>
  <c r="F278" i="4"/>
  <c r="F277" i="4"/>
  <c r="F271" i="4"/>
  <c r="F270" i="4"/>
  <c r="F264" i="4"/>
  <c r="F263" i="4"/>
  <c r="F257" i="4"/>
  <c r="F256" i="4"/>
  <c r="F250" i="4"/>
  <c r="F249" i="4"/>
  <c r="F238" i="4"/>
  <c r="F237" i="4"/>
  <c r="F236" i="4"/>
  <c r="F235" i="4"/>
  <c r="F234" i="4"/>
  <c r="F233" i="4"/>
  <c r="F232" i="4"/>
  <c r="F231" i="4"/>
  <c r="F230" i="4"/>
  <c r="F224" i="4"/>
  <c r="F223" i="4"/>
  <c r="F222" i="4"/>
  <c r="F221" i="4"/>
  <c r="F220" i="4"/>
  <c r="F219" i="4"/>
  <c r="F218" i="4"/>
  <c r="F212" i="4"/>
  <c r="F211" i="4"/>
  <c r="F210" i="4"/>
  <c r="F209" i="4"/>
  <c r="F208" i="4"/>
  <c r="F207" i="4"/>
  <c r="F201" i="4"/>
  <c r="F200" i="4"/>
  <c r="F199" i="4"/>
  <c r="F198" i="4"/>
  <c r="F197" i="4"/>
  <c r="F196" i="4"/>
  <c r="F195" i="4"/>
  <c r="F194" i="4"/>
  <c r="F188" i="4"/>
  <c r="F181" i="4"/>
  <c r="F180" i="4"/>
  <c r="F179" i="4"/>
  <c r="F178" i="4"/>
  <c r="F172" i="4"/>
  <c r="F171" i="4"/>
  <c r="F170" i="4"/>
  <c r="F164" i="4"/>
  <c r="F163" i="4"/>
  <c r="F162" i="4"/>
  <c r="F161" i="4"/>
  <c r="F147" i="4"/>
  <c r="F146" i="4"/>
  <c r="F141" i="4"/>
  <c r="F140" i="4"/>
  <c r="F139" i="4"/>
  <c r="F138" i="4"/>
  <c r="F129" i="4"/>
  <c r="F128" i="4"/>
  <c r="F123" i="4"/>
  <c r="F122" i="4"/>
  <c r="F115" i="4"/>
  <c r="F114" i="4"/>
  <c r="F108" i="4"/>
  <c r="F107" i="4"/>
  <c r="F98" i="4"/>
  <c r="F92" i="4"/>
  <c r="F91" i="4"/>
  <c r="F85" i="4"/>
  <c r="F84" i="4"/>
  <c r="F75" i="4"/>
  <c r="F69" i="4"/>
  <c r="F68" i="4"/>
  <c r="F62" i="4"/>
  <c r="F61" i="4"/>
  <c r="F50" i="4"/>
  <c r="F34" i="4"/>
  <c r="F35" i="4"/>
  <c r="F36" i="4"/>
  <c r="F37" i="4"/>
  <c r="F38" i="4"/>
  <c r="F39" i="4"/>
  <c r="F40" i="4"/>
  <c r="F41" i="4"/>
  <c r="F42" i="4"/>
  <c r="F43" i="4"/>
  <c r="F44" i="4"/>
  <c r="F33" i="4"/>
  <c r="F25" i="4"/>
  <c r="F26" i="4"/>
  <c r="F27" i="4"/>
  <c r="F24" i="4"/>
  <c r="F13" i="4"/>
  <c r="F14" i="4"/>
  <c r="F15" i="4"/>
  <c r="F16" i="4"/>
  <c r="F17" i="4"/>
  <c r="F12" i="4"/>
  <c r="H17" i="4"/>
  <c r="E700" i="2" l="1"/>
  <c r="F293" i="2"/>
  <c r="H139" i="4"/>
  <c r="F723" i="2"/>
  <c r="F722" i="2"/>
  <c r="H386" i="4"/>
  <c r="H385" i="4"/>
  <c r="F721" i="2"/>
  <c r="F720" i="2"/>
  <c r="F727" i="2"/>
  <c r="F726" i="2"/>
  <c r="H390" i="4"/>
  <c r="H389" i="4"/>
  <c r="H388" i="4"/>
  <c r="H387" i="4"/>
  <c r="H384" i="4"/>
  <c r="H383" i="4"/>
  <c r="H382" i="4"/>
  <c r="H381" i="4"/>
  <c r="H380" i="4"/>
  <c r="H379" i="4"/>
  <c r="F719" i="2"/>
  <c r="F718" i="2"/>
  <c r="F717" i="2"/>
  <c r="F716" i="2"/>
  <c r="F715" i="2"/>
  <c r="F714" i="2"/>
  <c r="C700" i="2"/>
  <c r="F713" i="2"/>
  <c r="H378" i="4"/>
  <c r="H377" i="4"/>
  <c r="H376" i="4"/>
  <c r="F712" i="2"/>
  <c r="F711" i="2"/>
  <c r="A700" i="2"/>
  <c r="A654" i="2" s="1"/>
  <c r="H238" i="4"/>
  <c r="F455" i="2"/>
  <c r="H236" i="4"/>
  <c r="F459" i="2"/>
  <c r="H140" i="4"/>
  <c r="F295" i="2"/>
  <c r="F257" i="2"/>
  <c r="H115" i="4"/>
  <c r="F130" i="2"/>
  <c r="H44" i="4"/>
  <c r="F128" i="2"/>
  <c r="H43" i="4"/>
  <c r="F127" i="2"/>
  <c r="H42" i="4"/>
  <c r="F125" i="2"/>
  <c r="H41" i="4"/>
  <c r="F124" i="2"/>
  <c r="H40" i="4"/>
  <c r="H39" i="4"/>
  <c r="F123" i="2"/>
  <c r="H38" i="4"/>
  <c r="F122" i="2"/>
  <c r="H37" i="4"/>
  <c r="F121" i="2"/>
  <c r="H36" i="4"/>
  <c r="H35" i="4"/>
  <c r="F119" i="2"/>
  <c r="F118" i="2"/>
  <c r="H34" i="4"/>
  <c r="F117" i="2"/>
  <c r="F116" i="2"/>
  <c r="H33" i="4"/>
  <c r="H25" i="4"/>
  <c r="H27" i="4"/>
  <c r="H26" i="4"/>
  <c r="H24" i="4"/>
  <c r="F109" i="2"/>
  <c r="F108" i="2"/>
  <c r="F105" i="2"/>
  <c r="F106" i="2"/>
  <c r="H16" i="4"/>
  <c r="F98" i="2"/>
  <c r="F86" i="2"/>
  <c r="H15" i="4"/>
  <c r="F85" i="2"/>
  <c r="H14" i="4"/>
  <c r="F82" i="2"/>
  <c r="H13" i="4"/>
  <c r="F81" i="2"/>
  <c r="H367" i="4"/>
  <c r="H366" i="4"/>
  <c r="H364" i="4"/>
  <c r="H363" i="4"/>
  <c r="H362" i="4"/>
  <c r="H361" i="4"/>
  <c r="H360" i="4"/>
  <c r="F682" i="2"/>
  <c r="F693" i="2"/>
  <c r="F692" i="2"/>
  <c r="F684" i="2"/>
  <c r="F683" i="2"/>
  <c r="F681" i="2"/>
  <c r="F680" i="2"/>
  <c r="H354" i="4"/>
  <c r="F671" i="2"/>
  <c r="F670" i="2"/>
  <c r="H353" i="4"/>
  <c r="F669" i="2"/>
  <c r="H352" i="4"/>
  <c r="F668" i="2"/>
  <c r="F667" i="2"/>
  <c r="H351" i="4"/>
  <c r="F666" i="2"/>
  <c r="H349" i="4"/>
  <c r="H350" i="4"/>
  <c r="F664" i="2"/>
  <c r="H348" i="4"/>
  <c r="F663" i="2"/>
  <c r="H347" i="4"/>
  <c r="F662" i="2"/>
  <c r="H346" i="4"/>
  <c r="H311" i="4"/>
  <c r="F583" i="2"/>
  <c r="H308" i="4"/>
  <c r="F579" i="2"/>
  <c r="F573" i="2"/>
  <c r="H302" i="4"/>
  <c r="H303" i="4"/>
  <c r="H301" i="4"/>
  <c r="F572" i="2"/>
  <c r="F614" i="2"/>
  <c r="F613" i="2"/>
  <c r="H337" i="4"/>
  <c r="H336" i="4"/>
  <c r="H335" i="4"/>
  <c r="F611" i="2"/>
  <c r="H334" i="4"/>
  <c r="F610" i="2"/>
  <c r="H333" i="4"/>
  <c r="F609" i="2"/>
  <c r="H332" i="4"/>
  <c r="F608" i="2"/>
  <c r="F607" i="2"/>
  <c r="H331" i="4"/>
  <c r="H330" i="4"/>
  <c r="F604" i="2"/>
  <c r="F603" i="2"/>
  <c r="H329" i="4"/>
  <c r="F602" i="2"/>
  <c r="H328" i="4"/>
  <c r="H327" i="4"/>
  <c r="F601" i="2"/>
  <c r="F600" i="2"/>
  <c r="H326" i="4"/>
  <c r="H325" i="4"/>
  <c r="H324" i="4"/>
  <c r="F599" i="2"/>
  <c r="F598" i="2"/>
  <c r="F597" i="2"/>
  <c r="H323" i="4"/>
  <c r="F596" i="2"/>
  <c r="H322" i="4"/>
  <c r="H321" i="4"/>
  <c r="F595" i="2"/>
  <c r="H320" i="4"/>
  <c r="F594" i="2"/>
  <c r="F593" i="2"/>
  <c r="H319" i="4"/>
  <c r="F591" i="2"/>
  <c r="H318" i="4"/>
  <c r="F584" i="2"/>
  <c r="F582" i="2"/>
  <c r="F580" i="2"/>
  <c r="H310" i="4"/>
  <c r="H312" i="4"/>
  <c r="H309" i="4"/>
  <c r="F578" i="2"/>
  <c r="H307" i="4"/>
  <c r="H287" i="4"/>
  <c r="F576" i="2"/>
  <c r="H305" i="4"/>
  <c r="H306" i="4"/>
  <c r="F577" i="2"/>
  <c r="H304" i="4"/>
  <c r="F575" i="2"/>
  <c r="F574" i="2"/>
  <c r="F569" i="2"/>
  <c r="F570" i="2"/>
  <c r="F568" i="2"/>
  <c r="F567" i="2"/>
  <c r="F566" i="2"/>
  <c r="H300" i="4"/>
  <c r="H299" i="4"/>
  <c r="H298" i="4"/>
  <c r="H297" i="4"/>
  <c r="H296" i="4"/>
  <c r="F538" i="2"/>
  <c r="F537" i="2"/>
  <c r="H288" i="4"/>
  <c r="C654" i="2" l="1"/>
  <c r="E654" i="2"/>
  <c r="I700" i="2"/>
  <c r="F700" i="2"/>
  <c r="A557" i="2"/>
  <c r="A544" i="2" s="1"/>
  <c r="A526" i="2" s="1"/>
  <c r="E510" i="2" s="1"/>
  <c r="E557" i="2"/>
  <c r="C557" i="2"/>
  <c r="H278" i="4"/>
  <c r="H277" i="4"/>
  <c r="I654" i="2" l="1"/>
  <c r="F654" i="2"/>
  <c r="I557" i="2"/>
  <c r="C544" i="2"/>
  <c r="E544" i="2"/>
  <c r="F557" i="2"/>
  <c r="E526" i="2"/>
  <c r="C526" i="2"/>
  <c r="A510" i="2"/>
  <c r="C510" i="2"/>
  <c r="F375" i="2"/>
  <c r="F373" i="2"/>
  <c r="H172" i="4"/>
  <c r="H164" i="4"/>
  <c r="H171" i="4"/>
  <c r="F364" i="2"/>
  <c r="H163" i="4"/>
  <c r="F359" i="2"/>
  <c r="F358" i="2"/>
  <c r="H162" i="4"/>
  <c r="F503" i="2"/>
  <c r="F502" i="2"/>
  <c r="H271" i="4"/>
  <c r="H270" i="4"/>
  <c r="H264" i="4"/>
  <c r="H263" i="4"/>
  <c r="F494" i="2"/>
  <c r="F493" i="2"/>
  <c r="H257" i="4"/>
  <c r="F485" i="2"/>
  <c r="F484" i="2"/>
  <c r="H256" i="4"/>
  <c r="H250" i="4"/>
  <c r="H249" i="4"/>
  <c r="F476" i="2"/>
  <c r="F474" i="2"/>
  <c r="H237" i="4"/>
  <c r="H235" i="4"/>
  <c r="H234" i="4"/>
  <c r="H233" i="4"/>
  <c r="H232" i="4"/>
  <c r="H231" i="4"/>
  <c r="H230" i="4"/>
  <c r="F458" i="2"/>
  <c r="F454" i="2"/>
  <c r="F453" i="2"/>
  <c r="F451" i="2"/>
  <c r="F450" i="2"/>
  <c r="F449" i="2"/>
  <c r="F452" i="2"/>
  <c r="F442" i="2"/>
  <c r="F441" i="2"/>
  <c r="F440" i="2"/>
  <c r="F439" i="2"/>
  <c r="F438" i="2"/>
  <c r="F437" i="2"/>
  <c r="F436" i="2"/>
  <c r="H224" i="4"/>
  <c r="H223" i="4"/>
  <c r="H222" i="4"/>
  <c r="H221" i="4"/>
  <c r="H220" i="4"/>
  <c r="H219" i="4"/>
  <c r="H218" i="4"/>
  <c r="H212" i="4"/>
  <c r="H211" i="4"/>
  <c r="H210" i="4"/>
  <c r="H209" i="4"/>
  <c r="H208" i="4"/>
  <c r="H207" i="4"/>
  <c r="F429" i="2"/>
  <c r="F428" i="2"/>
  <c r="F427" i="2"/>
  <c r="F426" i="2"/>
  <c r="F425" i="2"/>
  <c r="F423" i="2"/>
  <c r="F416" i="2"/>
  <c r="F415" i="2"/>
  <c r="F412" i="2"/>
  <c r="F411" i="2"/>
  <c r="F410" i="2"/>
  <c r="F409" i="2"/>
  <c r="F408" i="2"/>
  <c r="F407" i="2"/>
  <c r="H201" i="4"/>
  <c r="H200" i="4"/>
  <c r="H199" i="4"/>
  <c r="H198" i="4"/>
  <c r="H197" i="4"/>
  <c r="H196" i="4"/>
  <c r="H195" i="4"/>
  <c r="H194" i="4"/>
  <c r="F397" i="2"/>
  <c r="H188" i="4"/>
  <c r="H182" i="4"/>
  <c r="H181" i="4"/>
  <c r="H180" i="4"/>
  <c r="H179" i="4"/>
  <c r="H178" i="4"/>
  <c r="F383" i="2"/>
  <c r="F385" i="2"/>
  <c r="F386" i="2"/>
  <c r="F387" i="2"/>
  <c r="F388" i="2"/>
  <c r="F371" i="2"/>
  <c r="H170" i="4"/>
  <c r="H161" i="4"/>
  <c r="F357" i="2"/>
  <c r="F297" i="2"/>
  <c r="F292" i="2"/>
  <c r="H141" i="4"/>
  <c r="H138" i="4"/>
  <c r="F274" i="2"/>
  <c r="F272" i="2"/>
  <c r="H129" i="4"/>
  <c r="H128" i="4"/>
  <c r="H123" i="4"/>
  <c r="H122" i="4"/>
  <c r="F266" i="2"/>
  <c r="F265" i="2"/>
  <c r="H116" i="4"/>
  <c r="H114" i="4"/>
  <c r="F259" i="2"/>
  <c r="F256" i="2"/>
  <c r="F250" i="2"/>
  <c r="F249" i="2"/>
  <c r="H108" i="4"/>
  <c r="F226" i="2"/>
  <c r="H98" i="4"/>
  <c r="F218" i="2"/>
  <c r="H92" i="4"/>
  <c r="H91" i="4"/>
  <c r="F219" i="2"/>
  <c r="F209" i="2"/>
  <c r="F210" i="2"/>
  <c r="H85" i="4"/>
  <c r="H84" i="4"/>
  <c r="F184" i="2"/>
  <c r="H75" i="4"/>
  <c r="F177" i="2"/>
  <c r="F176" i="2"/>
  <c r="H69" i="4"/>
  <c r="H68" i="4"/>
  <c r="H62" i="4"/>
  <c r="I544" i="2" l="1"/>
  <c r="F544" i="2"/>
  <c r="I526" i="2"/>
  <c r="F526" i="2"/>
  <c r="E466" i="2"/>
  <c r="I510" i="2"/>
  <c r="F510" i="2"/>
  <c r="H61" i="4"/>
  <c r="F167" i="2"/>
  <c r="F168" i="2"/>
  <c r="C466" i="2" l="1"/>
  <c r="H50" i="4"/>
  <c r="F137" i="2"/>
  <c r="H12" i="4"/>
  <c r="F80" i="2"/>
  <c r="F18" i="3" l="1"/>
  <c r="F22" i="3"/>
  <c r="F30" i="3"/>
  <c r="F41" i="3"/>
  <c r="F45" i="3"/>
  <c r="F49" i="3"/>
  <c r="F53" i="3"/>
  <c r="F57" i="3"/>
  <c r="F61" i="3"/>
  <c r="F65" i="3"/>
  <c r="F82" i="3"/>
  <c r="F92" i="3"/>
  <c r="F93" i="3"/>
  <c r="F19" i="3"/>
  <c r="F23" i="3"/>
  <c r="F38" i="3"/>
  <c r="F42" i="3"/>
  <c r="F46" i="3"/>
  <c r="F50" i="3"/>
  <c r="F54" i="3"/>
  <c r="F58" i="3"/>
  <c r="F62" i="3"/>
  <c r="F66" i="3"/>
  <c r="F83" i="3"/>
  <c r="F20" i="3"/>
  <c r="F24" i="3"/>
  <c r="F39" i="3"/>
  <c r="F43" i="3"/>
  <c r="F47" i="3"/>
  <c r="F51" i="3"/>
  <c r="F55" i="3"/>
  <c r="F59" i="3"/>
  <c r="F63" i="3"/>
  <c r="F67" i="3"/>
  <c r="F84" i="3"/>
  <c r="F90" i="3"/>
  <c r="F17" i="3"/>
  <c r="F21" i="3"/>
  <c r="F31" i="3"/>
  <c r="F40" i="3"/>
  <c r="F44" i="3"/>
  <c r="F48" i="3"/>
  <c r="F52" i="3"/>
  <c r="F56" i="3"/>
  <c r="F60" i="3"/>
  <c r="F64" i="3"/>
  <c r="F37" i="3"/>
  <c r="F91" i="3"/>
  <c r="A466" i="2"/>
  <c r="F466" i="2" l="1"/>
  <c r="I466" i="2"/>
  <c r="E349" i="2"/>
  <c r="C349" i="2"/>
  <c r="A349" i="2"/>
  <c r="I349" i="2" l="1"/>
  <c r="F349" i="2"/>
  <c r="E75" i="3"/>
  <c r="C75" i="3"/>
  <c r="A75" i="3"/>
  <c r="E10" i="3" s="1"/>
  <c r="I75" i="3" l="1"/>
  <c r="F75" i="3"/>
  <c r="C10" i="3"/>
  <c r="E329" i="2"/>
  <c r="C329" i="2"/>
  <c r="A329" i="2"/>
  <c r="E282" i="2" s="1"/>
  <c r="I329" i="2" l="1"/>
  <c r="A282" i="2"/>
  <c r="C282" i="2"/>
  <c r="F329" i="2"/>
  <c r="I282" i="2" l="1"/>
  <c r="A242" i="2"/>
  <c r="E242" i="2"/>
  <c r="C242" i="2"/>
  <c r="F282" i="2"/>
  <c r="F242" i="2" l="1"/>
  <c r="I242" i="2"/>
  <c r="C200" i="2"/>
  <c r="A200" i="2"/>
  <c r="E200" i="2"/>
  <c r="F200" i="2" l="1"/>
  <c r="I200" i="2"/>
  <c r="C158" i="2"/>
  <c r="E158" i="2"/>
  <c r="A158" i="2"/>
  <c r="I158" i="2" l="1"/>
  <c r="F158" i="2"/>
  <c r="E71" i="2"/>
  <c r="C71" i="2"/>
  <c r="A71" i="2"/>
  <c r="E26" i="2" l="1"/>
  <c r="A26" i="2"/>
  <c r="H31" i="1" s="1"/>
  <c r="C26" i="2"/>
  <c r="F71" i="2"/>
  <c r="I71" i="2"/>
  <c r="F45" i="1" l="1"/>
  <c r="G45" i="1"/>
  <c r="E41" i="1"/>
  <c r="F33" i="1"/>
  <c r="F40" i="1"/>
  <c r="G48" i="1"/>
  <c r="H38" i="1"/>
  <c r="E46" i="1"/>
  <c r="F35" i="1"/>
  <c r="F46" i="1"/>
  <c r="H30" i="1"/>
  <c r="F37" i="1"/>
  <c r="G33" i="1"/>
  <c r="G41" i="1"/>
  <c r="G38" i="1"/>
  <c r="H54" i="1"/>
  <c r="H53" i="1" s="1"/>
  <c r="E50" i="1"/>
  <c r="G50" i="1"/>
  <c r="E38" i="1"/>
  <c r="F30" i="1"/>
  <c r="G52" i="1"/>
  <c r="H57" i="1"/>
  <c r="G54" i="1"/>
  <c r="G53" i="1" s="1"/>
  <c r="E35" i="1"/>
  <c r="F29" i="1"/>
  <c r="G35" i="1"/>
  <c r="H29" i="1"/>
  <c r="H46" i="1"/>
  <c r="F52" i="1"/>
  <c r="E56" i="1"/>
  <c r="G42" i="1"/>
  <c r="F56" i="1"/>
  <c r="E43" i="1"/>
  <c r="F43" i="1"/>
  <c r="E29" i="1"/>
  <c r="H35" i="1"/>
  <c r="H51" i="1"/>
  <c r="H52" i="1"/>
  <c r="G46" i="1"/>
  <c r="E47" i="1"/>
  <c r="E42" i="1"/>
  <c r="H72" i="1"/>
  <c r="F51" i="1"/>
  <c r="F48" i="1"/>
  <c r="H37" i="1"/>
  <c r="H56" i="1"/>
  <c r="E66" i="1"/>
  <c r="G57" i="1"/>
  <c r="E70" i="1"/>
  <c r="E69" i="1" s="1"/>
  <c r="G32" i="1"/>
  <c r="E54" i="1"/>
  <c r="E53" i="1" s="1"/>
  <c r="H48" i="1"/>
  <c r="E36" i="1"/>
  <c r="G29" i="1"/>
  <c r="F50" i="1"/>
  <c r="G51" i="1"/>
  <c r="H42" i="1"/>
  <c r="G36" i="1"/>
  <c r="E48" i="1"/>
  <c r="H40" i="1"/>
  <c r="H43" i="1"/>
  <c r="G47" i="1"/>
  <c r="E61" i="1"/>
  <c r="G65" i="1"/>
  <c r="H80" i="1"/>
  <c r="F36" i="1"/>
  <c r="E40" i="1"/>
  <c r="E45" i="1"/>
  <c r="H45" i="1"/>
  <c r="H41" i="1"/>
  <c r="G40" i="1"/>
  <c r="F47" i="1"/>
  <c r="E30" i="1"/>
  <c r="E51" i="1"/>
  <c r="F41" i="1"/>
  <c r="H50" i="1"/>
  <c r="G43" i="1"/>
  <c r="E32" i="1"/>
  <c r="F32" i="1"/>
  <c r="E59" i="1"/>
  <c r="H60" i="1"/>
  <c r="G60" i="1"/>
  <c r="F63" i="1"/>
  <c r="G68" i="1"/>
  <c r="H70" i="1"/>
  <c r="H69" i="1" s="1"/>
  <c r="H76" i="1"/>
  <c r="F77" i="1"/>
  <c r="F81" i="1"/>
  <c r="E62" i="1"/>
  <c r="H59" i="1"/>
  <c r="G63" i="1"/>
  <c r="E65" i="1"/>
  <c r="F67" i="1"/>
  <c r="G72" i="1"/>
  <c r="E74" i="1"/>
  <c r="E73" i="1" s="1"/>
  <c r="H78" i="1"/>
  <c r="H61" i="1"/>
  <c r="F57" i="1"/>
  <c r="G58" i="1"/>
  <c r="F68" i="1"/>
  <c r="G66" i="1"/>
  <c r="F72" i="1"/>
  <c r="F71" i="1" s="1"/>
  <c r="H77" i="1"/>
  <c r="E80" i="1"/>
  <c r="H36" i="1"/>
  <c r="G30" i="1"/>
  <c r="E33" i="1"/>
  <c r="F38" i="1"/>
  <c r="H32" i="1"/>
  <c r="E52" i="1"/>
  <c r="H47" i="1"/>
  <c r="J11" i="1"/>
  <c r="E60" i="1"/>
  <c r="E57" i="1"/>
  <c r="H62" i="1"/>
  <c r="G59" i="1"/>
  <c r="F60" i="1"/>
  <c r="E68" i="1"/>
  <c r="G67" i="1"/>
  <c r="G70" i="1"/>
  <c r="G69" i="1" s="1"/>
  <c r="H74" i="1"/>
  <c r="H73" i="1" s="1"/>
  <c r="E76" i="1"/>
  <c r="G78" i="1"/>
  <c r="F31" i="1"/>
  <c r="H33" i="1"/>
  <c r="F54" i="1"/>
  <c r="F53" i="1" s="1"/>
  <c r="G37" i="1"/>
  <c r="E37" i="1"/>
  <c r="F42" i="1"/>
  <c r="H58" i="1"/>
  <c r="E63" i="1"/>
  <c r="E58" i="1"/>
  <c r="H63" i="1"/>
  <c r="F58" i="1"/>
  <c r="G56" i="1"/>
  <c r="F59" i="1"/>
  <c r="H65" i="1"/>
  <c r="E67" i="1"/>
  <c r="F66" i="1"/>
  <c r="G74" i="1"/>
  <c r="G73" i="1" s="1"/>
  <c r="E72" i="1"/>
  <c r="E71" i="1" s="1"/>
  <c r="G77" i="1"/>
  <c r="E77" i="1"/>
  <c r="E81" i="1"/>
  <c r="G31" i="1"/>
  <c r="G81" i="1"/>
  <c r="G80" i="1"/>
  <c r="G44" i="1"/>
  <c r="F49" i="1"/>
  <c r="G61" i="1"/>
  <c r="G55" i="1" s="1"/>
  <c r="G62" i="1"/>
  <c r="F61" i="1"/>
  <c r="F62" i="1"/>
  <c r="F65" i="1"/>
  <c r="F64" i="1" s="1"/>
  <c r="H68" i="1"/>
  <c r="H67" i="1"/>
  <c r="H66" i="1"/>
  <c r="F70" i="1"/>
  <c r="F69" i="1" s="1"/>
  <c r="F74" i="1"/>
  <c r="F73" i="1" s="1"/>
  <c r="G76" i="1"/>
  <c r="F76" i="1"/>
  <c r="F78" i="1"/>
  <c r="E78" i="1"/>
  <c r="E75" i="1" s="1"/>
  <c r="H81" i="1"/>
  <c r="F80" i="1"/>
  <c r="E79" i="1"/>
  <c r="F25" i="1"/>
  <c r="H83" i="1"/>
  <c r="H82" i="1" s="1"/>
  <c r="G83" i="1"/>
  <c r="G82" i="1" s="1"/>
  <c r="G79" i="1" s="1"/>
  <c r="F83" i="1"/>
  <c r="F82" i="1" s="1"/>
  <c r="E83" i="1"/>
  <c r="E82" i="1" s="1"/>
  <c r="H25" i="1"/>
  <c r="G26" i="1"/>
  <c r="E31" i="1"/>
  <c r="E28" i="1" s="1"/>
  <c r="G25" i="1"/>
  <c r="H27" i="1"/>
  <c r="E26" i="1"/>
  <c r="G27" i="1"/>
  <c r="H26" i="1"/>
  <c r="E25" i="1"/>
  <c r="E27" i="1"/>
  <c r="F27" i="1"/>
  <c r="F26" i="1"/>
  <c r="I26" i="2"/>
  <c r="F26" i="2"/>
  <c r="H79" i="1"/>
  <c r="H75" i="1" s="1"/>
  <c r="H71" i="1" s="1"/>
  <c r="I69" i="1"/>
  <c r="I73" i="1"/>
  <c r="K73" i="1"/>
  <c r="K69" i="1"/>
  <c r="E49" i="1"/>
  <c r="F55" i="1"/>
  <c r="H55" i="1"/>
  <c r="E55" i="1"/>
  <c r="H64" i="1"/>
  <c r="G64" i="1"/>
  <c r="E64" i="1"/>
  <c r="F34" i="1"/>
  <c r="G39" i="1"/>
  <c r="F28" i="1"/>
  <c r="H39" i="1"/>
  <c r="H34" i="1"/>
  <c r="F44" i="1"/>
  <c r="E34" i="1"/>
  <c r="G28" i="1"/>
  <c r="F39" i="1"/>
  <c r="G49" i="1"/>
  <c r="G34" i="1"/>
  <c r="H44" i="1"/>
  <c r="H28" i="1"/>
  <c r="K53" i="1"/>
  <c r="E39" i="1"/>
  <c r="E44" i="1"/>
  <c r="K44" i="1" s="1"/>
  <c r="H49" i="1"/>
  <c r="I53" i="1" s="1"/>
  <c r="H24" i="1" l="1"/>
  <c r="F79" i="1"/>
  <c r="F75" i="1" s="1"/>
  <c r="F24" i="1"/>
  <c r="G24" i="1"/>
  <c r="E24" i="1"/>
  <c r="K82" i="1"/>
  <c r="I82" i="1"/>
  <c r="I79" i="1"/>
  <c r="K79" i="1"/>
  <c r="G75" i="1"/>
  <c r="G71" i="1" s="1"/>
  <c r="I71" i="1" s="1"/>
  <c r="K49" i="1"/>
  <c r="K55" i="1"/>
  <c r="I55" i="1"/>
  <c r="K39" i="1"/>
  <c r="I44" i="1"/>
  <c r="I28" i="1"/>
  <c r="K28" i="1"/>
  <c r="I39" i="1"/>
  <c r="I49" i="1"/>
  <c r="K34" i="1"/>
  <c r="I34" i="1"/>
  <c r="J14" i="1"/>
  <c r="J12" i="1"/>
  <c r="J13" i="1"/>
  <c r="I24" i="1" l="1"/>
  <c r="K24" i="1"/>
  <c r="K71" i="1"/>
  <c r="K75" i="1"/>
  <c r="I75" i="1"/>
  <c r="J15" i="1"/>
  <c r="J17" i="1"/>
  <c r="A10" i="3"/>
  <c r="F10" i="3" l="1"/>
  <c r="I10" i="3"/>
  <c r="K64" i="1"/>
  <c r="I64" i="1"/>
</calcChain>
</file>

<file path=xl/sharedStrings.xml><?xml version="1.0" encoding="utf-8"?>
<sst xmlns="http://schemas.openxmlformats.org/spreadsheetml/2006/main" count="4700" uniqueCount="1713">
  <si>
    <t>TAGERIM</t>
  </si>
  <si>
    <t>Version :</t>
  </si>
  <si>
    <t>User Story Lot1</t>
  </si>
  <si>
    <t>Plan de tests  Lot1</t>
  </si>
  <si>
    <t>Tableau de bord  Lot1</t>
  </si>
  <si>
    <t>Vision d'ensemble</t>
  </si>
  <si>
    <t>1. GESTION DES UTILISATEURS</t>
  </si>
  <si>
    <t>A tester</t>
  </si>
  <si>
    <t>Recette</t>
  </si>
  <si>
    <t>Indicateurs</t>
  </si>
  <si>
    <t>Total</t>
  </si>
  <si>
    <t>1. PORTEFEUILLE</t>
  </si>
  <si>
    <t>Succès</t>
  </si>
  <si>
    <t>Echec</t>
  </si>
  <si>
    <t>Avancement</t>
  </si>
  <si>
    <t>Validité</t>
  </si>
  <si>
    <t>Nbr de tests</t>
  </si>
  <si>
    <t>ID</t>
  </si>
  <si>
    <t>1.1. CREATION D'UNE AFFAIRE DE TYPE DIFFUS</t>
  </si>
  <si>
    <t>Sprint</t>
  </si>
  <si>
    <t>En tant que</t>
  </si>
  <si>
    <t>Je peux</t>
  </si>
  <si>
    <t xml:space="preserve">Afin de </t>
  </si>
  <si>
    <t>Règles Métiers</t>
  </si>
  <si>
    <t>Automatisé</t>
  </si>
  <si>
    <t>Statut</t>
  </si>
  <si>
    <t>Date d'éxécution</t>
  </si>
  <si>
    <t>Ticket</t>
  </si>
  <si>
    <t>UC_GU_AU_10</t>
  </si>
  <si>
    <t>S1</t>
  </si>
  <si>
    <t>Administrateur</t>
  </si>
  <si>
    <t>administrer les utilisateurs qui peuvent se connecter à l'application</t>
  </si>
  <si>
    <t>US_PF_CA_10</t>
  </si>
  <si>
    <t xml:space="preserve">cliquer sur le bouton "ajouter" </t>
  </si>
  <si>
    <t>pouvoir accéder au formulaire d'ajout d'un utilisateur</t>
  </si>
  <si>
    <t>N</t>
  </si>
  <si>
    <t>UC_GU_AU_20</t>
  </si>
  <si>
    <t>rentrer le mail de mon utilisateur qui sera également son login</t>
  </si>
  <si>
    <t>attribuer un login</t>
  </si>
  <si>
    <t>Développeur Foncier</t>
  </si>
  <si>
    <t xml:space="preserve">
me connecter via mon mobile ou mon PC
</t>
  </si>
  <si>
    <t>UC_GU_AU_30</t>
  </si>
  <si>
    <t>pouvoir accéder à mon portefeuille (page d’accueil)</t>
  </si>
  <si>
    <t>US_PF_CA_20</t>
  </si>
  <si>
    <t>UC_GU_AU_40</t>
  </si>
  <si>
    <t>lui donner une localisation de travail</t>
  </si>
  <si>
    <t>UC_GU_AU_50</t>
  </si>
  <si>
    <t>attribuer un rôle à mon utilisateur que je suis en train de crée</t>
  </si>
  <si>
    <t>lui donner certains accès, droits possible selon le rôle attribué</t>
  </si>
  <si>
    <t>UC_GU_AU_60</t>
  </si>
  <si>
    <t>donner une date de début (non obligatoire) et une date de fin (non obligatoire)</t>
  </si>
  <si>
    <t>UC_GU_AU_70</t>
  </si>
  <si>
    <t>confirmer l'ajout de mon utilisateur</t>
  </si>
  <si>
    <t>1.2. MODIFICATION DES UTILISATEURS</t>
  </si>
  <si>
    <t>naviguer vers “Origine et type d’affaire</t>
  </si>
  <si>
    <t>UC_GU_MU_10</t>
  </si>
  <si>
    <t>voir la page de la création d'une affaire</t>
  </si>
  <si>
    <t>Synthèse détaillée</t>
  </si>
  <si>
    <t>N°</t>
  </si>
  <si>
    <t xml:space="preserve">cliquer sur le bouton "modifier" </t>
  </si>
  <si>
    <t>pouvoir modfier des données concernant un utilisateur</t>
  </si>
  <si>
    <t>Titre</t>
  </si>
  <si>
    <t>Lien</t>
  </si>
  <si>
    <t>Nbr de test</t>
  </si>
  <si>
    <t>US_PF_CA_30</t>
  </si>
  <si>
    <t>créer une nouvelle affaire de type Diffus</t>
  </si>
  <si>
    <t>pouvoir créer une nouvelle affaire</t>
  </si>
  <si>
    <t>US_PF_CA_30.01</t>
  </si>
  <si>
    <t>ajouter des commentaires lors de la création d’affaire, dans le dernier écran</t>
  </si>
  <si>
    <t>renseigner des informations intéressantes</t>
  </si>
  <si>
    <t>1.</t>
  </si>
  <si>
    <t>UC_GU_MU_20</t>
  </si>
  <si>
    <t>Gestion des utilisateurs</t>
  </si>
  <si>
    <t>Voir le détail</t>
  </si>
  <si>
    <t>UC_GU</t>
  </si>
  <si>
    <t>US_PF_CA_30.02</t>
  </si>
  <si>
    <t>uploader une photo (non obligatoire)</t>
  </si>
  <si>
    <t>donner des informations sur l’affaire</t>
  </si>
  <si>
    <t>UC_GU_MU_30</t>
  </si>
  <si>
    <t>UC_GU_MU_40</t>
  </si>
  <si>
    <t>US_PF_CA_40</t>
  </si>
  <si>
    <t>UC_GU_MU_50</t>
  </si>
  <si>
    <t>UC_GU_MU_60</t>
  </si>
  <si>
    <t>1.1</t>
  </si>
  <si>
    <t>renseigner l’adresse avec ou sans la géolocalisation</t>
  </si>
  <si>
    <t>Ajout des utilisateurs</t>
  </si>
  <si>
    <t>localiser l'affaire</t>
  </si>
  <si>
    <t>US_PF_CA_50</t>
  </si>
  <si>
    <t>saisir d'autres informations optionnelles avant de valider la création de l'affaire</t>
  </si>
  <si>
    <t>renseigner des informations intéressantes à propos de l'affaire</t>
  </si>
  <si>
    <t>UC_GU_AU</t>
  </si>
  <si>
    <t>1.3. SUPPRESSION DES UTILISATEURS</t>
  </si>
  <si>
    <t>UC_GU_SU_10</t>
  </si>
  <si>
    <t>US_PF_CA_70</t>
  </si>
  <si>
    <t>voir : 
• le nom du Développeur Foncier
• le type de l'affaire
• la région
• le département
• la ville
• le n° et rue du foncier au moment de la création
• la référence de l'affaire
• les coordonnées longitude et altitude (modifiable)
• l'apporteur interne
• la zone de commentaire (modifiable)
• l'origine (modifiable)
• la surface approxiamtive du terrain lors de la créationd de l'affaire 
• le nombre de lot approximative lors de la création de l'affaire (pas forcément renseigné)</t>
  </si>
  <si>
    <t>de rappeler les différentes informations de l'affaire</t>
  </si>
  <si>
    <t>UC_GU_SU_20</t>
  </si>
  <si>
    <t>supprimer un utilisateur</t>
  </si>
  <si>
    <t>de maintenir à jour la liste des utilisateurs</t>
  </si>
  <si>
    <t>1.2</t>
  </si>
  <si>
    <t>Modification des utilisateurs</t>
  </si>
  <si>
    <t>1.2. RESUME D'UNE AFFAIRE</t>
  </si>
  <si>
    <t>UC_GU_MU</t>
  </si>
  <si>
    <t>US_PF_RA_10</t>
  </si>
  <si>
    <t>voir la liste des affaires</t>
  </si>
  <si>
    <t xml:space="preserve">visualiser toutes les affaires en cours. </t>
  </si>
  <si>
    <t>US_PF_RA_20</t>
  </si>
  <si>
    <t>1.4. LISTING DES UTILISATEURS</t>
  </si>
  <si>
    <t>voir la liste d'une affaire</t>
  </si>
  <si>
    <t>voir :
• les différentes actions possibles 
• les actions en cours
• les historiques des actions
• les dates clés
• les différentes progressions</t>
  </si>
  <si>
    <t>UC_GU_LU_10</t>
  </si>
  <si>
    <t>1.3. LES ACTIONS D'UNE AFFAIRE  DE TYPE DIFFUS</t>
  </si>
  <si>
    <t>1.3</t>
  </si>
  <si>
    <t>Suppression des utilisateurs</t>
  </si>
  <si>
    <t>UC_GU_SU</t>
  </si>
  <si>
    <t>UC_GU_LU_11</t>
  </si>
  <si>
    <t>US_PF_AA_10</t>
  </si>
  <si>
    <t>de lister les utilisateurs</t>
  </si>
  <si>
    <t>faire l'action "charger un document"</t>
  </si>
  <si>
    <t>spécifier des données ainsi que le document à charger</t>
  </si>
  <si>
    <t>1.4</t>
  </si>
  <si>
    <t>Listing des utilisateurs</t>
  </si>
  <si>
    <t>UC_GU_LU_20</t>
  </si>
  <si>
    <t>UC_GU_LU</t>
  </si>
  <si>
    <t xml:space="preserve">trier le tableau des utilisateurs par colonne dans un ordre alphabétique puis inverse si je reclique sur le titre de la colonne
</t>
  </si>
  <si>
    <t>afin de rechercher un utilisateur en particulier</t>
  </si>
  <si>
    <t>UC_GU_LU_30</t>
  </si>
  <si>
    <t>US_PF_AA_20</t>
  </si>
  <si>
    <t xml:space="preserve"> voir que la case ETAT affichera ACTIF  si j'ai renseigné pour un utilisateur une date de début et que cette date de début est supérieure à maintenant</t>
  </si>
  <si>
    <t>UC_GU_LU_40</t>
  </si>
  <si>
    <t>voir que la case ETAT affichera NON  ACTIF  si j'ai renseigné pour un utilisateur une date de fin et que cette date de fin est inférieure à maintenant</t>
  </si>
  <si>
    <t>UC_GU_LU_50</t>
  </si>
  <si>
    <t>faire l'action "charger une photo"</t>
  </si>
  <si>
    <t>spécifier des données ainsi que la photo à charger</t>
  </si>
  <si>
    <t>voir que la case ETAT affichera ACTIF si j'ai renseigné pour un utilisateur une date de fin et que cette date de fin est supérieure à maintenant</t>
  </si>
  <si>
    <t>UC_GU_LU_60</t>
  </si>
  <si>
    <t>voir que la case ETAT affichera NON ACTIF si j'ai renseigné pour un utilisateur une date de début, que cette date de début est supérieure à maintenant, et une date de fin, que cette date de fin est inférieure à maintenant</t>
  </si>
  <si>
    <t>UC_GU_LU_70</t>
  </si>
  <si>
    <t>voir que la case ETAT affichera ACTIF si j'ai renseigné pour un utilisateur une date de début, que cette date de début est inférieure à maintenant, et une date de fin, que cette date de fin est supérieure à maintenant</t>
  </si>
  <si>
    <t>US_PF_AA_30</t>
  </si>
  <si>
    <t>Directeur Régional</t>
  </si>
  <si>
    <t>faire l'action "demande d'étude"</t>
  </si>
  <si>
    <t>2.</t>
  </si>
  <si>
    <t>Gestion des rôles</t>
  </si>
  <si>
    <t>UC_GR</t>
  </si>
  <si>
    <t>US_PF_AA_40</t>
  </si>
  <si>
    <t>faire l'action "RDV passée"</t>
  </si>
  <si>
    <t>indiquer comment le rendez-vous s'est passé entre les différents participants</t>
  </si>
  <si>
    <t>US_PF_AA_50</t>
  </si>
  <si>
    <t>faire l'action "RDV plannifié"</t>
  </si>
  <si>
    <t>soit
• modifier la date du rendez-vous et changer les participants
• abandonner
• clôturer l'action lorsque le rendez-vous aura eu lieu</t>
  </si>
  <si>
    <t>US_PF_AA_60</t>
  </si>
  <si>
    <t>2.1</t>
  </si>
  <si>
    <t>Ajout des rôles</t>
  </si>
  <si>
    <t>faire l'action "demande de RDV"</t>
  </si>
  <si>
    <t>UC_GR_AR</t>
  </si>
  <si>
    <t>mettre en action un suivi pour obtenir un rendez-vous avec quelqu'un</t>
  </si>
  <si>
    <t>2. GESTION DES ROLES</t>
  </si>
  <si>
    <t>US_PF_AA_70</t>
  </si>
  <si>
    <t>faire l'action "lancement faisa"</t>
  </si>
  <si>
    <t>• saisir la date de l'événement
• générer une demande d'étude de faisabilité
• changer de sous-phase</t>
  </si>
  <si>
    <t>US_PF_AA_80</t>
  </si>
  <si>
    <t>faire l'action "offres émises"</t>
  </si>
  <si>
    <t>• saisir la date de l'événement
• charger des offres</t>
  </si>
  <si>
    <t>US_PF_AA_90</t>
  </si>
  <si>
    <t>faire l'action "offres signées"</t>
  </si>
  <si>
    <t>2.2</t>
  </si>
  <si>
    <t>• saisir la date de l'événement
• charger des offres signées</t>
  </si>
  <si>
    <t>Modification des rôles</t>
  </si>
  <si>
    <t>UC_GR_MR</t>
  </si>
  <si>
    <t>US_PF_AA_100</t>
  </si>
  <si>
    <t>faire l'action "GO/NO GO Promesse"</t>
  </si>
  <si>
    <t>• saisir la date de l'événement
• charger des documents indispensables pour demander un GO promesse</t>
  </si>
  <si>
    <t>US_PF_AA_110</t>
  </si>
  <si>
    <t>faire l'action "GO promesse"</t>
  </si>
  <si>
    <t xml:space="preserve">saisir la date de l'événement
</t>
  </si>
  <si>
    <t>US_PF_AA_120</t>
  </si>
  <si>
    <t>faire l'action "Promesses signées"</t>
  </si>
  <si>
    <t>• saisir la date de l'événement
• charger des promesses signées</t>
  </si>
  <si>
    <t>US_PF_AA_130</t>
  </si>
  <si>
    <t>US_PF_AA_140</t>
  </si>
  <si>
    <t>faire l'action "GO/NO GO PC"</t>
  </si>
  <si>
    <t>• saisir la date de l'événement</t>
  </si>
  <si>
    <t>US_PF_AA_150</t>
  </si>
  <si>
    <t>faire l'action "PC déposé"</t>
  </si>
  <si>
    <t>• saisir la date de l'événement
• charger des document PC</t>
  </si>
  <si>
    <t>2.3</t>
  </si>
  <si>
    <t>Suppression des rôles</t>
  </si>
  <si>
    <t>US_PF_AA_160</t>
  </si>
  <si>
    <t>UC_GR_SR</t>
  </si>
  <si>
    <t>US_PF_AA_170</t>
  </si>
  <si>
    <t>2.1. AJOUT DES ROLES</t>
  </si>
  <si>
    <t>US_PF_AA_180</t>
  </si>
  <si>
    <t>faire l'action "PC obtenu"</t>
  </si>
  <si>
    <t>• saisir la date de l'événement
• charger la réponse PC</t>
  </si>
  <si>
    <t>UC_GR_AR_10</t>
  </si>
  <si>
    <t>administrer les rôles de l'application</t>
  </si>
  <si>
    <t>UC_GR_AR_20</t>
  </si>
  <si>
    <t>pouvoir accéder au formulaire d'ajout d'un role</t>
  </si>
  <si>
    <t>US_PF_AA_190</t>
  </si>
  <si>
    <t>faire l'action "PC purgé"</t>
  </si>
  <si>
    <t>2.4</t>
  </si>
  <si>
    <t>Listing des rôles</t>
  </si>
  <si>
    <t>UC_GR_LR</t>
  </si>
  <si>
    <t>US_PF_AA_200</t>
  </si>
  <si>
    <t>faire l'action "GO/NO GO Lancement commercial"</t>
  </si>
  <si>
    <t>UC_GR_AR_30</t>
  </si>
  <si>
    <t>ajouter un rôle via le formulaire dédié</t>
  </si>
  <si>
    <t>compléter la liste des rôles</t>
  </si>
  <si>
    <t>US_PF_AA_210</t>
  </si>
  <si>
    <t>faire l'action "GO commercialisation"</t>
  </si>
  <si>
    <t>US_PF_AA_220</t>
  </si>
  <si>
    <t>faire l'action "AO lancé"</t>
  </si>
  <si>
    <t>US_PF_AA_230</t>
  </si>
  <si>
    <t>faire l'action "GO/NO GO Achat terrain"</t>
  </si>
  <si>
    <t>UC_GR_AR_40</t>
  </si>
  <si>
    <t xml:space="preserve">cliquer sur le bouton "Valider" </t>
  </si>
  <si>
    <t>confirmer l'ajout du rôle</t>
  </si>
  <si>
    <t>US_PF_AA_240</t>
  </si>
  <si>
    <t>faire l'action "GO Achat terrain"</t>
  </si>
  <si>
    <t>Gestion des régions</t>
  </si>
  <si>
    <t>US_PF_AA_250</t>
  </si>
  <si>
    <t>faire l'action "Terrain acheté"</t>
  </si>
  <si>
    <t>UC_RE</t>
  </si>
  <si>
    <t>• saisir la date de l'événement
• charger l'attestation notaire</t>
  </si>
  <si>
    <t>US_PF_AA_260</t>
  </si>
  <si>
    <t>faire l'action "GO/NO GO Lancement travaux"</t>
  </si>
  <si>
    <t>2.2. MODIFICATION DES ROLES</t>
  </si>
  <si>
    <t>US_PF_AA_270</t>
  </si>
  <si>
    <t>faire l'action "GO travaux"</t>
  </si>
  <si>
    <t>US_PF_AA_280</t>
  </si>
  <si>
    <t>faire l'action "DROC"</t>
  </si>
  <si>
    <t>UC_GR_MR_10</t>
  </si>
  <si>
    <t>3.1</t>
  </si>
  <si>
    <t>Ajout des régions</t>
  </si>
  <si>
    <t>UC_RE_AR</t>
  </si>
  <si>
    <t>US_PF_AA_290</t>
  </si>
  <si>
    <t>faire l'action "Lots vendus"</t>
  </si>
  <si>
    <t>UC_GR_MR_20</t>
  </si>
  <si>
    <t>pouvoir accéder au formulaire de modification d'un role</t>
  </si>
  <si>
    <t>US_PF_AA_300</t>
  </si>
  <si>
    <t>faire l'action "DAT"</t>
  </si>
  <si>
    <t>UC_GR_MR_30</t>
  </si>
  <si>
    <t>• saisir la date de l'événement
• charger l'attestation d'achèvement des travaux</t>
  </si>
  <si>
    <t>modifier le nom de role</t>
  </si>
  <si>
    <t>maintenir à jour la liste des rôles</t>
  </si>
  <si>
    <t>US_PF_AA_310</t>
  </si>
  <si>
    <t>faire l'action "Levée des réserves"</t>
  </si>
  <si>
    <t>• saisir la date de l'événement
• charger l'attestation de levée des réserves</t>
  </si>
  <si>
    <t>UC_GR_MR_40</t>
  </si>
  <si>
    <t>confirmer la modification du rôle</t>
  </si>
  <si>
    <t>2. FONCTIONNALITE BACKEND</t>
  </si>
  <si>
    <t>3.2</t>
  </si>
  <si>
    <t>Modification des régions</t>
  </si>
  <si>
    <t>UC_RE_MR</t>
  </si>
  <si>
    <t>2.3. SUPPRESSION DES ROLES</t>
  </si>
  <si>
    <t>UC_GR_SR_10</t>
  </si>
  <si>
    <t>UC_GR_SR_20</t>
  </si>
  <si>
    <t xml:space="preserve">cliquer sur le bouton "supprimer" </t>
  </si>
  <si>
    <t>pouvoir supprimer un rôle</t>
  </si>
  <si>
    <t>3.3</t>
  </si>
  <si>
    <t>Suppression des régions</t>
  </si>
  <si>
    <t>UC_RE_SR</t>
  </si>
  <si>
    <t>2.4. LISTING DES ROLES</t>
  </si>
  <si>
    <t>UC_GR_LR_10</t>
  </si>
  <si>
    <t>avoir une liste des roles avec les colonnes suivantes: 
• ordre alphabétique
• ordre inverse alphabétique
• date d'ajout (par défaut)</t>
  </si>
  <si>
    <t>de lister les rôles</t>
  </si>
  <si>
    <t>3.4</t>
  </si>
  <si>
    <t>UC_GR_LR_20</t>
  </si>
  <si>
    <t>Listing des régions</t>
  </si>
  <si>
    <t>UC_RE_LR</t>
  </si>
  <si>
    <t>2.1. ACTIONS CRUD ROLES</t>
  </si>
  <si>
    <t>afin de rechercher un rôle en particulier</t>
  </si>
  <si>
    <t>3. GESTION DES REGIONS</t>
  </si>
  <si>
    <t>US_FB_AR_10</t>
  </si>
  <si>
    <t>4.</t>
  </si>
  <si>
    <t xml:space="preserve">créer un nouveau rôle </t>
  </si>
  <si>
    <t>Authentification</t>
  </si>
  <si>
    <t>UC_AU</t>
  </si>
  <si>
    <t>3.1 AJOUT DES REGIONS</t>
  </si>
  <si>
    <t>mieux distribuer les rôles aux différents utilisateurs</t>
  </si>
  <si>
    <t>UC_RE_AR_10</t>
  </si>
  <si>
    <t>accéder à la liste des regions depuis le menu utilisateur &gt; Admin &gt; Gestion des régions</t>
  </si>
  <si>
    <t>administrer les régions de l'application</t>
  </si>
  <si>
    <t>UC_RE_AR_20</t>
  </si>
  <si>
    <t>pouvoir accéder au formulaire d'ajout d'une région</t>
  </si>
  <si>
    <t>UC_RE_AR_30</t>
  </si>
  <si>
    <t>compléter la liste des régions</t>
  </si>
  <si>
    <t>US_FB_AR_20</t>
  </si>
  <si>
    <t>UC_RE_AR_40</t>
  </si>
  <si>
    <t>confirmer l'ajout d'une région</t>
  </si>
  <si>
    <t xml:space="preserve">modifier un rôle </t>
  </si>
  <si>
    <t>4.1</t>
  </si>
  <si>
    <t>Première connexion</t>
  </si>
  <si>
    <t>UC_AU_PC</t>
  </si>
  <si>
    <t>mieux lister les rôles</t>
  </si>
  <si>
    <t>3.2. MODIFICATION DES REGIONS</t>
  </si>
  <si>
    <t>US_FB_AR_30</t>
  </si>
  <si>
    <t>Supprimer un rôle</t>
  </si>
  <si>
    <t>lister les rôles</t>
  </si>
  <si>
    <t>UC_RE_MR_10</t>
  </si>
  <si>
    <t>UC_RE_MR_20</t>
  </si>
  <si>
    <t>4.2</t>
  </si>
  <si>
    <t>Mot de passe oublié</t>
  </si>
  <si>
    <t>UC_RE_MR_30</t>
  </si>
  <si>
    <t>UC_AU_MO</t>
  </si>
  <si>
    <t>modifier le nom d'une région</t>
  </si>
  <si>
    <t>maintenir à jour la liste des régions</t>
  </si>
  <si>
    <t>2.2. ACTIONS CRUD USERS</t>
  </si>
  <si>
    <t>UC_RE_MR_40</t>
  </si>
  <si>
    <t>3.3. SUPPRESSION DES REGIONS</t>
  </si>
  <si>
    <t>US_FB_AU_10</t>
  </si>
  <si>
    <t>créer un nouveau utilisateur</t>
  </si>
  <si>
    <t xml:space="preserve">donner accès à la plateforme </t>
  </si>
  <si>
    <t>UC_RE_SR_10</t>
  </si>
  <si>
    <t>4.3</t>
  </si>
  <si>
    <t>Connexion</t>
  </si>
  <si>
    <t>UC_AU_CO</t>
  </si>
  <si>
    <t>UC_RE_SR_20</t>
  </si>
  <si>
    <t>US_FB_AU_20</t>
  </si>
  <si>
    <t>modifier chez l'utilisateur son mail</t>
  </si>
  <si>
    <t>mieux filtrer les informations des utilisateurs</t>
  </si>
  <si>
    <t>3.4. LISTING DES REGIONS</t>
  </si>
  <si>
    <t>US_FB_AU_30</t>
  </si>
  <si>
    <t xml:space="preserve">lister tous mes utilisateurs </t>
  </si>
  <si>
    <t>UC_RE_LR_10</t>
  </si>
  <si>
    <t>avoir toute la liste des utilisateurs</t>
  </si>
  <si>
    <t>4.4</t>
  </si>
  <si>
    <t>Réinitialisation du compte</t>
  </si>
  <si>
    <t>UC_AU_RC</t>
  </si>
  <si>
    <t>UC_RE_LR_20</t>
  </si>
  <si>
    <t>US_FB_AU_40</t>
  </si>
  <si>
    <t>effectuer une recherche</t>
  </si>
  <si>
    <t>rechercher un utilisateur en particulier</t>
  </si>
  <si>
    <t>4. AUTHENTIFICATION</t>
  </si>
  <si>
    <t>5.</t>
  </si>
  <si>
    <t>Portefeuille</t>
  </si>
  <si>
    <t>UC_PF</t>
  </si>
  <si>
    <t>5.1</t>
  </si>
  <si>
    <t>UC_PF_CA</t>
  </si>
  <si>
    <t>5.2</t>
  </si>
  <si>
    <t>UC_PF_BC</t>
  </si>
  <si>
    <t>4.1. PREMIERE CONNEXION</t>
  </si>
  <si>
    <t>UC_AU_PC_10</t>
  </si>
  <si>
    <t>Utilisateur</t>
  </si>
  <si>
    <t>5.3</t>
  </si>
  <si>
    <t>cliquer sur le lien reçu par mail</t>
  </si>
  <si>
    <t>UC_AU_PC_20</t>
  </si>
  <si>
    <t>Affaire</t>
  </si>
  <si>
    <t>UC_AF</t>
  </si>
  <si>
    <t>initialiser mon mot de passe</t>
  </si>
  <si>
    <t>avoir mon propre mot de passe</t>
  </si>
  <si>
    <t>6.1</t>
  </si>
  <si>
    <t>Base documentaire</t>
  </si>
  <si>
    <t>UC_AF_BC</t>
  </si>
  <si>
    <t>4.2. MOT DE PASSE OUBLIE</t>
  </si>
  <si>
    <t>UC_AU_MO_10</t>
  </si>
  <si>
    <t>réinitialiser mon mot de passe</t>
  </si>
  <si>
    <t>UC_AU_MO_20</t>
  </si>
  <si>
    <t>UC_AU_MO_30</t>
  </si>
  <si>
    <t>renseigner mon nouveau mot de passe</t>
  </si>
  <si>
    <t>Si</t>
  </si>
  <si>
    <t>Alors</t>
  </si>
  <si>
    <t>Référence User Case</t>
  </si>
  <si>
    <t>Référence User Story</t>
  </si>
  <si>
    <t>Commentaire</t>
  </si>
  <si>
    <t>RM_GU_AU_10</t>
  </si>
  <si>
    <t>Il faut afficher un  message d'erreur notifiant que le champs mail est obligatoire à entrer et qu'il doit être de forme type mail et vérifier que le mail entré est unique dans la base de données</t>
  </si>
  <si>
    <t>RM_GU_AU_20</t>
  </si>
  <si>
    <t>4.3. CONNEXION</t>
  </si>
  <si>
    <t>RM_GU_AU_30</t>
  </si>
  <si>
    <t>UC_AU_CO_10</t>
  </si>
  <si>
    <t>aucune région n'a été attribué à un utilisateur</t>
  </si>
  <si>
    <t>me connecter en renseignant mon login ainsi que mon mot de passe</t>
  </si>
  <si>
    <t>il faut afficher un message d'erreur qui notifie qu'un utilisateur doit avoir obligatoirement au moins une région</t>
  </si>
  <si>
    <t>pouvoir accéder à l'application</t>
  </si>
  <si>
    <t>UC_AU_CO_20</t>
  </si>
  <si>
    <t>NE PEUX PAS me connecter si mon accès a été limité par une date de début ou une date de fin</t>
  </si>
  <si>
    <t>RM_GU_AU_40</t>
  </si>
  <si>
    <t>4.4. REINITIALISATION DU COMPTE</t>
  </si>
  <si>
    <t>UC_AU_RC_10</t>
  </si>
  <si>
    <t>réinitialiser le compte d'un utilisateur</t>
  </si>
  <si>
    <t>pouvoir donner la possibilité à un utilisateur de réinitialiser son mot de passe</t>
  </si>
  <si>
    <t>UC_AU_RC_20</t>
  </si>
  <si>
    <t>UC_AU_RC_30</t>
  </si>
  <si>
    <t>RM_GU_MU_10</t>
  </si>
  <si>
    <t>un mail a été modifié</t>
  </si>
  <si>
    <t>il faut vérifier que l'utilisateur ne s'est pas encore authentifié et vérifier que le noveau mail entré est unique dans la base de donénes sinon il faut afficher un message d'erreur</t>
  </si>
  <si>
    <t>5. PORTEFEUILLE</t>
  </si>
  <si>
    <t>RM_GU_MU_20</t>
  </si>
  <si>
    <t>certaines informations doivent être modifiées</t>
  </si>
  <si>
    <t>il faut pré-remplir le champ mot de passe sans donner le droit de modification</t>
  </si>
  <si>
    <t>RM_GU_MU_30</t>
  </si>
  <si>
    <t>il faut afficher un message de confirmation</t>
  </si>
  <si>
    <t>RM_GU_SU_10</t>
  </si>
  <si>
    <t>un utilisateur doit être supprimé</t>
  </si>
  <si>
    <t>RM_GR_AR_10</t>
  </si>
  <si>
    <t>un rôle a été crée</t>
  </si>
  <si>
    <t>il faut vérifier que le rôle n'existe pas encore. Dans le cas contraire, il faut afficher un message d'erreur</t>
  </si>
  <si>
    <t>5.1 CREATION D'UNE AFFAIRE DE TYPE DIFFUS</t>
  </si>
  <si>
    <t>UC_PF_CA_10</t>
  </si>
  <si>
    <t>RM_GR_AR_20</t>
  </si>
  <si>
    <t>de choisir le type d'affaire que je vais créer</t>
  </si>
  <si>
    <t>UC_PF_CA_20</t>
  </si>
  <si>
    <t>je peux choisir le type Diffus</t>
  </si>
  <si>
    <t>créer une affaire de type Diffus</t>
  </si>
  <si>
    <t>le formulaire d'ajout de rôle a été validé</t>
  </si>
  <si>
    <t>UC_PF_CA_30</t>
  </si>
  <si>
    <t>upload une photo</t>
  </si>
  <si>
    <t>donner des informations utiles à l'affaire</t>
  </si>
  <si>
    <t>UC_PF_CA_40</t>
  </si>
  <si>
    <t>saisir l'adresse soit
• avec la géolocalisation
• manuellement</t>
  </si>
  <si>
    <t>UC_PF_CA_50</t>
  </si>
  <si>
    <t>voir la référence de l'affaire</t>
  </si>
  <si>
    <t>vérifer que les informations entrées ne soient pas erronées</t>
  </si>
  <si>
    <t>RM_GR_MR_10</t>
  </si>
  <si>
    <t>un rôle a été modifié</t>
  </si>
  <si>
    <t>il faut vérifier que le nouveau nom du rôle n'est pas existant dans la base de données</t>
  </si>
  <si>
    <t>UC_PF_CA_60</t>
  </si>
  <si>
    <t>ajouter des commentaires optionnels avant d'enregistrer la nouvelle affaire</t>
  </si>
  <si>
    <t>saisir des informations en plus</t>
  </si>
  <si>
    <t>RM_GR_MR_20</t>
  </si>
  <si>
    <t>le formulaire de modification de rôle a été validé</t>
  </si>
  <si>
    <t>UC_PF_CA_70</t>
  </si>
  <si>
    <t>voir un récapitulatif de l'affaire qui veint d'être enregistrée</t>
  </si>
  <si>
    <t>avoir la confirmation que l'affaire a bien été créée</t>
  </si>
  <si>
    <t>5.2 BASE DOCUMENTAIRE</t>
  </si>
  <si>
    <t>RM_GR_SR_10</t>
  </si>
  <si>
    <t>un rôle a été supprimé</t>
  </si>
  <si>
    <t>il faut vérifier que le rôle n'est pas lié à un utilisateur et il faut afficher un message de confirmation</t>
  </si>
  <si>
    <t>UC_PF_BC_10</t>
  </si>
  <si>
    <t>accéder à la base documentaire depuis le menu utilisateur</t>
  </si>
  <si>
    <t>voir la liste des différents documents de toutes mes affaires</t>
  </si>
  <si>
    <t>UC_PF_BC_20</t>
  </si>
  <si>
    <t>filtrer la liste de la base documentaire</t>
  </si>
  <si>
    <t>limiter le nombre d'affaires</t>
  </si>
  <si>
    <t>3.1. AJOUT DES REGIONS</t>
  </si>
  <si>
    <t>UC_PF_BC_30</t>
  </si>
  <si>
    <t>faire une recherche multi-critère</t>
  </si>
  <si>
    <t>limiter et cibler la liste des documents souhaitée</t>
  </si>
  <si>
    <t>UC_PF_BC_40</t>
  </si>
  <si>
    <t>RM_RE_AR_10</t>
  </si>
  <si>
    <t xml:space="preserve">trier la liste des documents avec les colonnes suivantes :
• le nom de l'affaire
• la priorité de l'affaire
• le nom de l'action
• l'objectif de date
• le demandeur
</t>
  </si>
  <si>
    <t>une région a été crée</t>
  </si>
  <si>
    <t>faciliter la recherche d'un document</t>
  </si>
  <si>
    <t>UC_PF_BC_50</t>
  </si>
  <si>
    <t>il faut vérifier que la région n'existe pas encore. Dans le cas contraire, il faut afficher un message d'erreur</t>
  </si>
  <si>
    <t>afin de rechercher un document en particulier</t>
  </si>
  <si>
    <t>UC_PF_BC_60</t>
  </si>
  <si>
    <t>cliquer sur la flèche en haut du tableau afin d'aggrandir ou réduire la taille du tableau</t>
  </si>
  <si>
    <t>mieux me retrouver dans ma page</t>
  </si>
  <si>
    <t xml:space="preserve"> </t>
  </si>
  <si>
    <t>RM_RE_MR_10</t>
  </si>
  <si>
    <t>une région a été modifiée</t>
  </si>
  <si>
    <t>il faut vérifier que la nouvelle région n'est pas existante dans la base de données</t>
  </si>
  <si>
    <t>RM_RE_MR_20</t>
  </si>
  <si>
    <t>RM_RE_SR_10</t>
  </si>
  <si>
    <t>une région a été supprimée</t>
  </si>
  <si>
    <t>il faut vérifier que la région n'est pas liée à un utilisateur et il faut afficher un message de confirmation</t>
  </si>
  <si>
    <t>6. AFFAIRE</t>
  </si>
  <si>
    <t>4.1 PREMIERE CONNEXION</t>
  </si>
  <si>
    <t>RM_AU_PC_10</t>
  </si>
  <si>
    <t>un utilisateur vient de cliquer sur le mail reçu lors de sa création de compte</t>
  </si>
  <si>
    <t>il faut le rediriger vers la page d'initialisation de nouveau mot de passe</t>
  </si>
  <si>
    <t>RM_AU_PC_20</t>
  </si>
  <si>
    <t>utilisateur vient d'initialiser son mot de passe lors de sa première authentification</t>
  </si>
  <si>
    <t>il faut vérifier la force du mot de passe et le redirigier vers la page de connexion à la validation du mot de passe</t>
  </si>
  <si>
    <t>RM_AU_MO_10</t>
  </si>
  <si>
    <t>un utilisateur clique sur "mot de passe oublié" sur la page de connexion</t>
  </si>
  <si>
    <t>RM_AU_MO_20</t>
  </si>
  <si>
    <t>utilisateur vient de modifier son mot de passe lors de sa première authentification</t>
  </si>
  <si>
    <t>6.1 BASE DOCUMENTAIRE</t>
  </si>
  <si>
    <t>UC_AF_BC_10</t>
  </si>
  <si>
    <t>accéder aux documents liés à l'affaire</t>
  </si>
  <si>
    <t>UC_AF_BC_20</t>
  </si>
  <si>
    <t>UC_AF_BC_30</t>
  </si>
  <si>
    <t>RM_AU_CO_10</t>
  </si>
  <si>
    <t>un utilisateur entre de mauvais identifiants</t>
  </si>
  <si>
    <t>il faut afficher un message d'erreur</t>
  </si>
  <si>
    <t>UC_AF_BC_40</t>
  </si>
  <si>
    <t xml:space="preserve">trier la liste des documents avec les colonnes suivanter :
• le nom de l'action
• l'objectif de date
• le demandeur
</t>
  </si>
  <si>
    <t>UC_AF_BC_50</t>
  </si>
  <si>
    <t>RM_AU_CO_20</t>
  </si>
  <si>
    <t>un utilisateur entre les bons identifiants mais que sa date d'accès n'est pas encore atteinte</t>
  </si>
  <si>
    <t>il faut afficher un message d'erreur notifiant qu'il n'a pas encore accès à l'application</t>
  </si>
  <si>
    <t>RM_AU_RC_10</t>
  </si>
  <si>
    <t>un administrateur réinitialise le compte d'un utilisateur</t>
  </si>
  <si>
    <t>il faut afficher un message de confirmation et renvoyer un mail contenant un lien unique (token) à l'utilisateur dont le tompte a été réinitialisé</t>
  </si>
  <si>
    <t>RM_AU_RC_20</t>
  </si>
  <si>
    <t>RM_PF_CA_10</t>
  </si>
  <si>
    <t xml:space="preserve">l'adresse est renseignée via la géolocalisation ou saisie manuellement </t>
  </si>
  <si>
    <t>il faut :
• vérifier que l'adresse entrée manuellement ou via la géolocalisation est unique dans la base de donnée. Sinon il faut afficher un message d'erreur
• générer la référence de l'affaire à partir de l'adresse.</t>
  </si>
  <si>
    <t>RM_PF_CA_20</t>
  </si>
  <si>
    <t>la référence de l'adresse est générée</t>
  </si>
  <si>
    <t>UC_GU_AU_80</t>
  </si>
  <si>
    <t>il faut le rediriger vers le formualaire permettant de renseigner son mail et renvoyer un mail contenant un lien unique le redirigeant vers un formulaire de réinitialisation de mot de passe</t>
  </si>
  <si>
    <t>atterir sur la page de réinitialisation de mot de passe</t>
  </si>
  <si>
    <t>0. SYNTHESE</t>
  </si>
  <si>
    <t>7. ACTIONS AFFAIRE</t>
  </si>
  <si>
    <t>7.1 CHARGEMENT D'UN DOCUMENT</t>
  </si>
  <si>
    <t>UC_AA_CD_10</t>
  </si>
  <si>
    <t>accéder au formulaire d'upload d'un document</t>
  </si>
  <si>
    <t>UC_AA_CD_20</t>
  </si>
  <si>
    <t>UC_AA_CM_10</t>
  </si>
  <si>
    <t>UC_AA_CM_20</t>
  </si>
  <si>
    <t>accéder au formulaire d'upload d'un média</t>
  </si>
  <si>
    <t>7.2 CHARGEMENT D'UN MEDIA</t>
  </si>
  <si>
    <t>accéder au formulaire d'un rendez-vous</t>
  </si>
  <si>
    <t>remplir le champs "nom du rendez-vous"</t>
  </si>
  <si>
    <t>NE PEUX PAS modifier le nom du demandeur</t>
  </si>
  <si>
    <t>remplir le nom du destinataire</t>
  </si>
  <si>
    <t>donner une date de rendez-vous</t>
  </si>
  <si>
    <t>donner un identifiant au rendez-vous</t>
  </si>
  <si>
    <t>connaître la date de rendez-vous</t>
  </si>
  <si>
    <t>clôturer un rendez-vous</t>
  </si>
  <si>
    <t>valider la création du rendez-vous en cliquant sur le bouton "Planifier le rendez-vous"</t>
  </si>
  <si>
    <t>pouvoir créer la rendez-vous</t>
  </si>
  <si>
    <t>choisir l'action "Prise de Rendez-vous" en passant par le protefeuille d'une affaire</t>
  </si>
  <si>
    <t>planifier le rendez-vous avec le destinataire</t>
  </si>
  <si>
    <t>modifier un rendez-vous en passant par le portefeuille de l'affaire et en cliquant sur l'action "Rendez-vous" puis en choisissant le rendez-vous que je souhaite modifier</t>
  </si>
  <si>
    <t>modifier le champs "nom du rendez-vous"</t>
  </si>
  <si>
    <t>mettre à jour un identifiant au rendez-vous</t>
  </si>
  <si>
    <t>mettre à jour le destinataire</t>
  </si>
  <si>
    <t>modifier le nom du destinataire</t>
  </si>
  <si>
    <t>modifier une date de rendez-vous</t>
  </si>
  <si>
    <t>mettre à jour la date de rendez-vous</t>
  </si>
  <si>
    <t>valider la mise à jour du rendez-vous en cliquant sur le bouton "Planifier le rendez-vous"</t>
  </si>
  <si>
    <t>mettre à jour la rendez-vous</t>
  </si>
  <si>
    <t xml:space="preserve">terminer le rednez-vous et de le rendre non modifiable </t>
  </si>
  <si>
    <t>UC_AA</t>
  </si>
  <si>
    <t>UC_AA_MR_10</t>
  </si>
  <si>
    <t>UC_AA_MR_20</t>
  </si>
  <si>
    <t>UC_AA_MR_30</t>
  </si>
  <si>
    <t>UC_AA_MR_40</t>
  </si>
  <si>
    <t>UC_AA_MR_50</t>
  </si>
  <si>
    <t>UC_AA_MR_60</t>
  </si>
  <si>
    <t>UC_AA_MR_70</t>
  </si>
  <si>
    <t>UC_AA_MR_80</t>
  </si>
  <si>
    <t xml:space="preserve"> modifier le nom du demandeur</t>
  </si>
  <si>
    <t>mettre à jour le demandeur</t>
  </si>
  <si>
    <t>modifier l'horaire de rendez-vous</t>
  </si>
  <si>
    <t>mettre à jour l'horaire de rendez-vous</t>
  </si>
  <si>
    <t>connaître l'horaire de rendez-vous</t>
  </si>
  <si>
    <t>donner l'horaire de rendez-vous</t>
  </si>
  <si>
    <t>7.3 CREATION DE RENDEZ-VOUS PAR UN DEVELOPPEUR FONCIER</t>
  </si>
  <si>
    <t xml:space="preserve">terminer le rendez-vous et de le rendre non modifiable </t>
  </si>
  <si>
    <t>UC_AA_EF_10</t>
  </si>
  <si>
    <t>UC_AA_EF_20</t>
  </si>
  <si>
    <t>UC_AA_EF_30</t>
  </si>
  <si>
    <t>UC_AA_EF_40</t>
  </si>
  <si>
    <t>UC_AA_EF_50</t>
  </si>
  <si>
    <t>UC_AA_EF_60</t>
  </si>
  <si>
    <t>UC_AA_EF_70</t>
  </si>
  <si>
    <t>UC_AA_EF_80</t>
  </si>
  <si>
    <t>UC_AA_EF_90</t>
  </si>
  <si>
    <t>se rappeler du nom du destinataire</t>
  </si>
  <si>
    <t>pouvoir créer le rendez-vous</t>
  </si>
  <si>
    <t>7.4 AJOUT DE COMMENTAIRE SUR UN RENDEZ-VOUS</t>
  </si>
  <si>
    <t>UC_AA_AC_10</t>
  </si>
  <si>
    <t>UC_AA_AC_20</t>
  </si>
  <si>
    <t>UC_AA_AC_30</t>
  </si>
  <si>
    <t>UC_AA_AC_40</t>
  </si>
  <si>
    <t>UC_AA_AC_50</t>
  </si>
  <si>
    <t>UC_AA_AC_60</t>
  </si>
  <si>
    <t>UC_AA_AC_70</t>
  </si>
  <si>
    <t>voir tous les rendez-vous en cours, passés</t>
  </si>
  <si>
    <t>voir rapidement les commentaires concernant le rendez-vous</t>
  </si>
  <si>
    <t>être redirigé vers une nouvelle page me montrant le commentaire en entier</t>
  </si>
  <si>
    <t xml:space="preserve">cliquer sur le bouton '+' </t>
  </si>
  <si>
    <t>pouvoir accéder au formulaire d'ajout de commentaire</t>
  </si>
  <si>
    <t>écrire un commentaire et valider le formulaire</t>
  </si>
  <si>
    <t>ajouter un commentaire qui sera visible dans le portefeuille de l'affaire</t>
  </si>
  <si>
    <t>voir les différents commentaires en passant par le portefeuille de l'affaire</t>
  </si>
  <si>
    <t>voir ou revoir les commentaires existants</t>
  </si>
  <si>
    <t>cliquer sur le début de commentaire existant</t>
  </si>
  <si>
    <t>7.5 PRISE DE RENDEZ-VOUS PAR UN DIRECTEUR REGIONAL</t>
  </si>
  <si>
    <t>7.6 MODIFICATION DE RENDEZ-VOUS PAR UN DEVELOPPEUR FONCIER</t>
  </si>
  <si>
    <t>7.7 MODIFICATION DE RENDEZ-VOUS PAR UN DIRECTEUR REGIONAL</t>
  </si>
  <si>
    <t>voir la liste des rendez-vous en passant par le portefeuille de l'affaire et en cliquant sur l'action "Rendez-vous"</t>
  </si>
  <si>
    <t>UC_AA_RF_10</t>
  </si>
  <si>
    <t>UC_AA_RF_20</t>
  </si>
  <si>
    <t>UC_AA_RF_30</t>
  </si>
  <si>
    <t>UC_AA_RF_40</t>
  </si>
  <si>
    <t>UC_AA_RF_50</t>
  </si>
  <si>
    <t>UC_AA_RF_60</t>
  </si>
  <si>
    <t>UC_AA_RF_70</t>
  </si>
  <si>
    <t>UC_AA_RR_10</t>
  </si>
  <si>
    <t>UC_AA_RR_20</t>
  </si>
  <si>
    <t>UC_AA_RR_30</t>
  </si>
  <si>
    <t>UC_AA_RR_40</t>
  </si>
  <si>
    <t>UC_AA_RR_50</t>
  </si>
  <si>
    <t>UC_AA_RR_60</t>
  </si>
  <si>
    <t>UC_AA_RR_70</t>
  </si>
  <si>
    <t>UC_AA_MF_10</t>
  </si>
  <si>
    <t>UC_AA_MF_20</t>
  </si>
  <si>
    <t>UC_AA_MF_30</t>
  </si>
  <si>
    <t>UC_AA_MF_40</t>
  </si>
  <si>
    <t>UC_AA_MF_50</t>
  </si>
  <si>
    <t>UC_AA_MF_60</t>
  </si>
  <si>
    <t>UC_AA_MF_70</t>
  </si>
  <si>
    <t>UC_AA_MF_80</t>
  </si>
  <si>
    <t>choisir l'action "Etude de faisabilité" en passant par le protefeuille d'une affaire</t>
  </si>
  <si>
    <t>pouvoir accéder au formulaire d'étude de faisabilité</t>
  </si>
  <si>
    <t>donner une deadline à mon destinaire</t>
  </si>
  <si>
    <t>définir une priorité</t>
  </si>
  <si>
    <t>valider le formulaire de damande d'étude de faisabilité</t>
  </si>
  <si>
    <t>créer la demande</t>
  </si>
  <si>
    <t>accéder à la demande en passant par le protefeuille de l'affaire</t>
  </si>
  <si>
    <t>voir la demande faite par le Directeur Régionnal</t>
  </si>
  <si>
    <t>UC_AA_EF_100</t>
  </si>
  <si>
    <t>UC_AA_EF_110</t>
  </si>
  <si>
    <t>fermer la demande</t>
  </si>
  <si>
    <t>informer l'état d'importance de l'étude</t>
  </si>
  <si>
    <t>UC_AA_RR_80</t>
  </si>
  <si>
    <t>UC_AA_RR_90</t>
  </si>
  <si>
    <t>UC_AA_RR_100</t>
  </si>
  <si>
    <t>UC_AA_RR_110</t>
  </si>
  <si>
    <t>accéder à la prise de rendez-vous en passant par le portefeuille de l'affaire et en cliquant sur "rendez-vous"</t>
  </si>
  <si>
    <t>accéder à la liste des rendez-vous</t>
  </si>
  <si>
    <t>cliquer sur "demande de rendez-vous" dans la liste</t>
  </si>
  <si>
    <t>voir 2 actions possibles :
• Abandonner
• clôturer</t>
  </si>
  <si>
    <t>cliquer sur "Abandonner"</t>
  </si>
  <si>
    <t>abandonner le rendez-vous</t>
  </si>
  <si>
    <t xml:space="preserve">cliquer sur clôturer </t>
  </si>
  <si>
    <t>terminer le rendez-vous</t>
  </si>
  <si>
    <t>7.8 ETUDE DE FAISABILITE</t>
  </si>
  <si>
    <t>j'upload un document</t>
  </si>
  <si>
    <t>RM_AA_CD_10</t>
  </si>
  <si>
    <t>RM_AA_CM_10</t>
  </si>
  <si>
    <t>RM_AA_RF_20</t>
  </si>
  <si>
    <t>RM_AA_RF_10</t>
  </si>
  <si>
    <t>la date de rendez-vous n'est pas renseignée</t>
  </si>
  <si>
    <t>aucun nom de rendez-vous a été renseigné</t>
  </si>
  <si>
    <t>si l'heure de rendez-vous n'est pas renseigné</t>
  </si>
  <si>
    <t>RM_AA_RF_30</t>
  </si>
  <si>
    <t>RM_AA_RF_40</t>
  </si>
  <si>
    <t>RM_AA_RF_50</t>
  </si>
  <si>
    <t>le formulaire a été validé</t>
  </si>
  <si>
    <t>RM_AA_AC_10</t>
  </si>
  <si>
    <t>le nom du demandeur n'est pas renseigné</t>
  </si>
  <si>
    <t>le nom du destinataire n'est pas renseigné</t>
  </si>
  <si>
    <t>si l'heure de rendez-vous n'est pas renseignée</t>
  </si>
  <si>
    <t>RM_AA_RR_10</t>
  </si>
  <si>
    <t>RM_AA_RR_20</t>
  </si>
  <si>
    <t>RM_AA_RR_30</t>
  </si>
  <si>
    <t>RM_AA_RR_40</t>
  </si>
  <si>
    <t>RM_AA_RR_50</t>
  </si>
  <si>
    <t>RM_AA_RR_60</t>
  </si>
  <si>
    <t>RM_AA_RR_70</t>
  </si>
  <si>
    <t>remplir le champs du demadeur</t>
  </si>
  <si>
    <t>planifier le rendez-vous avec le demandeur qui est le Développeur Foncier</t>
  </si>
  <si>
    <t>RM_AA_RR_80</t>
  </si>
  <si>
    <t>le bouton "abandonner" a été cliqué</t>
  </si>
  <si>
    <t>le bouton "clôturer" a été cliqué</t>
  </si>
  <si>
    <t>Actions Affaire</t>
  </si>
  <si>
    <t>UC_AA_CD</t>
  </si>
  <si>
    <t>Chargement d'un média</t>
  </si>
  <si>
    <t>Chargement d'un document</t>
  </si>
  <si>
    <t>UC_AA_CM</t>
  </si>
  <si>
    <t>7.3</t>
  </si>
  <si>
    <t>Création de rendez-vous par un développeur foncier</t>
  </si>
  <si>
    <t>UC_AA_RF</t>
  </si>
  <si>
    <t>7.4</t>
  </si>
  <si>
    <t>Ajout de commentaire sur un rendez-vous</t>
  </si>
  <si>
    <t>UC_AA_AC</t>
  </si>
  <si>
    <t>Prise de rendez-vous par un Directeur Régional</t>
  </si>
  <si>
    <t>UC_AA_RR</t>
  </si>
  <si>
    <t>7.1</t>
  </si>
  <si>
    <t>7.2</t>
  </si>
  <si>
    <t>7.5</t>
  </si>
  <si>
    <t>7.6</t>
  </si>
  <si>
    <t>UC_AA_MF</t>
  </si>
  <si>
    <t>7.7</t>
  </si>
  <si>
    <t>7.8</t>
  </si>
  <si>
    <t>Modification de rendez-vous par un Directeur Régional</t>
  </si>
  <si>
    <t>Modification de rendez-vous par un Développeur Foncier</t>
  </si>
  <si>
    <t>UC_AA_MR</t>
  </si>
  <si>
    <t>Etude de faisabilité</t>
  </si>
  <si>
    <t>UC_AA_EF</t>
  </si>
  <si>
    <t xml:space="preserve">Date : 
MàJ : </t>
  </si>
  <si>
    <t>Date : 
MàJ :</t>
  </si>
  <si>
    <t>Date : 
MàJ ;</t>
  </si>
  <si>
    <t>Règles Métiers  Lot1</t>
  </si>
  <si>
    <t>RM_AA_MF_10</t>
  </si>
  <si>
    <t>RM_AA_MF_20</t>
  </si>
  <si>
    <t>RM_AA_MF_30</t>
  </si>
  <si>
    <t>RM_AA_MF_40</t>
  </si>
  <si>
    <t>RM_AA_MF_50</t>
  </si>
  <si>
    <t>RM_AA_MF_60</t>
  </si>
  <si>
    <t>RM_AA_MR_10</t>
  </si>
  <si>
    <t>RM_AA_MR_20</t>
  </si>
  <si>
    <t>RM_AA_MR_30</t>
  </si>
  <si>
    <t>RM_AA_MR_40</t>
  </si>
  <si>
    <t>RM_AA_MR_50</t>
  </si>
  <si>
    <t>RM_AA_MR_60</t>
  </si>
  <si>
    <t>RM_AA_MR_70</t>
  </si>
  <si>
    <t>RM_AA_EF_10</t>
  </si>
  <si>
    <t>RM_AA_EF_20</t>
  </si>
  <si>
    <t>RM_AA_EF_30</t>
  </si>
  <si>
    <t>RM_AA_EF_40</t>
  </si>
  <si>
    <t>RM_AA_EF_50</t>
  </si>
  <si>
    <t>RM_AA_EF_60</t>
  </si>
  <si>
    <t>RM_AA_EF_70</t>
  </si>
  <si>
    <t>aucun titre d'étude n'a été renseigné</t>
  </si>
  <si>
    <t>aucun destinataire n'a été renseigné</t>
  </si>
  <si>
    <t>aucune date de début n'a été renseignée</t>
  </si>
  <si>
    <t>aucune date de fin n'a été renseignée</t>
  </si>
  <si>
    <t>aucune priorité n'a été choisie</t>
  </si>
  <si>
    <t>la priorité par défaut sera "A définir"</t>
  </si>
  <si>
    <t>RM_AA_EF_80</t>
  </si>
  <si>
    <t>cliquer sur l'icône '+' concernant un rendez-vous</t>
  </si>
  <si>
    <t>8. EVENEMENTS CLES</t>
  </si>
  <si>
    <t>8.1 LANCEMENT DE FAISA</t>
  </si>
  <si>
    <t>8.1 LANCEMENT FAISA</t>
  </si>
  <si>
    <t>UC_EC_LF_10</t>
  </si>
  <si>
    <t>UC_EC_LF_20</t>
  </si>
  <si>
    <t>accéder au formulaire permettant de choisir l'événement clé</t>
  </si>
  <si>
    <t>choisir "lancement faisa"</t>
  </si>
  <si>
    <t>initier l'action de lancement de faisa</t>
  </si>
  <si>
    <t>UC_EC_LF_30</t>
  </si>
  <si>
    <t>UC_EC_LF_40</t>
  </si>
  <si>
    <t>UC_EC_LF_50</t>
  </si>
  <si>
    <t>entrer une date clé</t>
  </si>
  <si>
    <t>situer l'action dans le temps</t>
  </si>
  <si>
    <t>si besoin sur le bouton "étude de faisabilité"</t>
  </si>
  <si>
    <t>être redirigé vers le formulaire de demande de faisabilité</t>
  </si>
  <si>
    <t>valider le formulaire</t>
  </si>
  <si>
    <t>soumettre l'événement clé</t>
  </si>
  <si>
    <t>RM_EC_LF_10</t>
  </si>
  <si>
    <t>la date entrée est passée</t>
  </si>
  <si>
    <t>il faut faire apparaître une checkbox permettant de clôturer l'action si besoin</t>
  </si>
  <si>
    <t>RM_EC_LF_20</t>
  </si>
  <si>
    <t>il faut faire apparaître un message de confirmation et rediriger vers le portefeuille</t>
  </si>
  <si>
    <t>8.2 OFFRES EMISES</t>
  </si>
  <si>
    <t>UC_EC_OE_10</t>
  </si>
  <si>
    <t>UC_EC_OE_20</t>
  </si>
  <si>
    <t>UC_EC_OE_30</t>
  </si>
  <si>
    <t>choisir "offres émises"</t>
  </si>
  <si>
    <t>initier l'action d'offres émises</t>
  </si>
  <si>
    <t>RM_EC_OE_10</t>
  </si>
  <si>
    <t>RM_EC_OE_20</t>
  </si>
  <si>
    <t>8.3 OFFRES SIGNEES</t>
  </si>
  <si>
    <t>UC_EC_OS_10</t>
  </si>
  <si>
    <t>UC_EC_OS_20</t>
  </si>
  <si>
    <t>UC_EC_OS_30</t>
  </si>
  <si>
    <t>RM_EC_OS_10</t>
  </si>
  <si>
    <t>RM_EC_OS_20</t>
  </si>
  <si>
    <t>cliquer sur  "offres signées" en passant par le portefeuille de l'affaire</t>
  </si>
  <si>
    <t>choisir "offres signées"</t>
  </si>
  <si>
    <t>initier l'action d'offres signées</t>
  </si>
  <si>
    <t>cliquer sur  aux "événements clés" en passant par le portefeuille de l'affaire</t>
  </si>
  <si>
    <t>cliquer sur aux "événements clés" en passant par le portefeuille de l'affaire</t>
  </si>
  <si>
    <t>8.4 GO/NO GO PROMESSE</t>
  </si>
  <si>
    <t>UC_EC_NGP_10</t>
  </si>
  <si>
    <t>UC_EC_NGP_20</t>
  </si>
  <si>
    <t>UC_EC_NGP_30</t>
  </si>
  <si>
    <t>cliquer sur  "GO/NO GO Promesse" en passant par le portefeuille de l'affaire</t>
  </si>
  <si>
    <t>choisir "GO/NO GO Promesses"</t>
  </si>
  <si>
    <t>initier l'action de GO/NO GO Promesse</t>
  </si>
  <si>
    <t>Evénements clés</t>
  </si>
  <si>
    <t>UC_EC</t>
  </si>
  <si>
    <t>8.1</t>
  </si>
  <si>
    <t>Lancement faisa</t>
  </si>
  <si>
    <t>UC_EC_LF</t>
  </si>
  <si>
    <t>8.2</t>
  </si>
  <si>
    <t>Offres émises</t>
  </si>
  <si>
    <t>UC_EC_OE</t>
  </si>
  <si>
    <t>8.3</t>
  </si>
  <si>
    <t>Offres signées</t>
  </si>
  <si>
    <t>UC_EC_OS</t>
  </si>
  <si>
    <t>8.4</t>
  </si>
  <si>
    <t>Go/No Go Promesse</t>
  </si>
  <si>
    <t>UC_EC_NGP</t>
  </si>
  <si>
    <t>Création d'une affaire de type Diffus</t>
  </si>
  <si>
    <t>UC_GR_LR_15</t>
  </si>
  <si>
    <t>UC_RE_LR_15</t>
  </si>
  <si>
    <t>²</t>
  </si>
  <si>
    <t>UC_EC_OE_40</t>
  </si>
  <si>
    <t>UC_EC_OS_40</t>
  </si>
  <si>
    <t>UC_EC_NGP_40</t>
  </si>
  <si>
    <t>RM_EC_NGP_20</t>
  </si>
  <si>
    <t>RM_EC_NGP_10</t>
  </si>
  <si>
    <t>pouvoir ajouter un tiers à l'affaire</t>
  </si>
  <si>
    <t>remplir le champs "Nom"</t>
  </si>
  <si>
    <t>avoir un nom au tiers à l'affaire</t>
  </si>
  <si>
    <t>Le champs "Nom" est vide lors de la validation du formulaire</t>
  </si>
  <si>
    <t>il faut afficher une popup d'erreur en JS.</t>
  </si>
  <si>
    <t>remplir le champs "Prénom"</t>
  </si>
  <si>
    <t>avoir un prénom au tiers de l'affaire</t>
  </si>
  <si>
    <t>Le champs "Prénom" est vide lors de la validation du formulaire</t>
  </si>
  <si>
    <t>définir un rôle au tiers de l'affaire</t>
  </si>
  <si>
    <t xml:space="preserve">Aucun rôle n'a été défini </t>
  </si>
  <si>
    <t>remplir le champs "Numéro de téléphone"</t>
  </si>
  <si>
    <t>pouvoir contacter le tiers via son numéro</t>
  </si>
  <si>
    <t>sélectionner le rôle du tiers pour l'affaire dont il est question</t>
  </si>
  <si>
    <t>remplir le champs "Adresse mail"</t>
  </si>
  <si>
    <t>pour pouvoir contacter le tiers via son mail</t>
  </si>
  <si>
    <t>Le champs "Adresse mail" est vide lors de la validation du formulaire ou si l'adresse mail n'est pas unique</t>
  </si>
  <si>
    <t>remplir le numéro de son adresse</t>
  </si>
  <si>
    <t>remplir la rue de son adresse</t>
  </si>
  <si>
    <t xml:space="preserve">remplir la ville de son adresse </t>
  </si>
  <si>
    <t>remplir le code postal de son adresse</t>
  </si>
  <si>
    <t>remplir le département de son adresse</t>
  </si>
  <si>
    <t>le pays de son adresse</t>
  </si>
  <si>
    <t>Le champs "Numéro de téléphone" contient au moins un caractère autre que le format numérique ou si il est vide</t>
  </si>
  <si>
    <t>cliquer sur la checkbox</t>
  </si>
  <si>
    <t>pouvoir créer un nouveau utilisateur</t>
  </si>
  <si>
    <t>TODO</t>
  </si>
  <si>
    <t>cliquer sur le bouton "Créer le profil"</t>
  </si>
  <si>
    <t>valider tout le formulaire</t>
  </si>
  <si>
    <t xml:space="preserve">cliquer sur "Annuler" </t>
  </si>
  <si>
    <t>annuler le processus de création</t>
  </si>
  <si>
    <t>9.1</t>
  </si>
  <si>
    <t>choisir la phase dans laquelle sera stocké mon document</t>
  </si>
  <si>
    <t>mieux trier mes documents</t>
  </si>
  <si>
    <t>il faut vérifier qu'une phase a bien été choisie. Sinon, il faut afficher un message d'erreur en JS</t>
  </si>
  <si>
    <t>UC_AA_CD_30</t>
  </si>
  <si>
    <t>UC_AA_CD_40</t>
  </si>
  <si>
    <t>UC_AA_CD_50</t>
  </si>
  <si>
    <t>UC_AA_CD_60</t>
  </si>
  <si>
    <t>UC_AA_CD_70</t>
  </si>
  <si>
    <t>UC_AA_CD_80</t>
  </si>
  <si>
    <t>choisir le type de fichier dont sera mon document</t>
  </si>
  <si>
    <t>RM_AA_CD_20</t>
  </si>
  <si>
    <t>il faut vérifier que le type a bien été choisi. Sinon, il faut afficher un message d'erreur en JS</t>
  </si>
  <si>
    <t>cliquer sur le bouton "parcourir"</t>
  </si>
  <si>
    <t>choisir le fichier que je souhaite upload</t>
  </si>
  <si>
    <t>RM_AA_CD_30</t>
  </si>
  <si>
    <t>RM_AA_CD_40</t>
  </si>
  <si>
    <t xml:space="preserve">je choisis un fichier à upload </t>
  </si>
  <si>
    <t>l faut vérifier que le document upload n'est pas un .png, .jpeg, .gif. Il faut afficher un message d'erreur dans ce cas là.</t>
  </si>
  <si>
    <t>renommer mon fichier</t>
  </si>
  <si>
    <t>lui donner un nom plus simple à retrouver</t>
  </si>
  <si>
    <t>de me rappeler rapidement à quoi le document correspond</t>
  </si>
  <si>
    <t>rendre le fichier consultable</t>
  </si>
  <si>
    <t>le rendre public ou privé</t>
  </si>
  <si>
    <t>cliquer sur le bouton "Charger le document"</t>
  </si>
  <si>
    <t>je valide mon formulaire</t>
  </si>
  <si>
    <t>il fautafficher un message de confirmation en JS</t>
  </si>
  <si>
    <t>valider mon formulaire et d'envoyer le document dans la base documentaire</t>
  </si>
  <si>
    <t>UC_AA_CM_30</t>
  </si>
  <si>
    <t>UC_AA_CM_40</t>
  </si>
  <si>
    <t>UC_AA_CM_70</t>
  </si>
  <si>
    <t>UC_AA_CM_80</t>
  </si>
  <si>
    <t>RM_AA_CM_30</t>
  </si>
  <si>
    <t>RM_AA_CM_40</t>
  </si>
  <si>
    <t xml:space="preserve">je choisis un média à upload </t>
  </si>
  <si>
    <t>il faut vérifier que le document upload n'est pas un .png, .jpeg, .gif. Il faut afficher un message d'erreur dans ce cas là.</t>
  </si>
  <si>
    <t>choisir le type d'étude</t>
  </si>
  <si>
    <t>8.4 GO/NO PROMESSES</t>
  </si>
  <si>
    <t>8.5 DEMANDE D'EtUDE</t>
  </si>
  <si>
    <t>choisir une phase</t>
  </si>
  <si>
    <t>choisir un collaborateur</t>
  </si>
  <si>
    <t>notifier à mon collaborateur de la demande d'étude</t>
  </si>
  <si>
    <t xml:space="preserve">sélectionner une date d'objectif </t>
  </si>
  <si>
    <t>UC_GM_RG_10</t>
  </si>
  <si>
    <t>UC_GM_RG_20</t>
  </si>
  <si>
    <t xml:space="preserve">accéder à la galerie des médias en passant par </t>
  </si>
  <si>
    <t>accéder à l'interface regroupant tous les médias</t>
  </si>
  <si>
    <t>effectuer une recherche par année en utilisant la barre de recherche</t>
  </si>
  <si>
    <t>filtrer par années</t>
  </si>
  <si>
    <t>UC_GM_RG_30</t>
  </si>
  <si>
    <t>UC_GM_RG_40</t>
  </si>
  <si>
    <t>cliquer sur une miniature d'un média</t>
  </si>
  <si>
    <t>pouvoir avoir :
• le nom de l'image
• le poids
• la date d'upload
• l'utilisateur qui a upload le média</t>
  </si>
  <si>
    <t xml:space="preserve">effectuer un téléchargement du média </t>
  </si>
  <si>
    <t>stocker le média en local dans l'ordinateur</t>
  </si>
  <si>
    <t>10.1</t>
  </si>
  <si>
    <t>Recherche dans la galerie</t>
  </si>
  <si>
    <t>UC_GM_RG</t>
  </si>
  <si>
    <t>UC_CO_CO_10</t>
  </si>
  <si>
    <t>UC_CO_CO_20</t>
  </si>
  <si>
    <t>accécer aux conversations de l'affaire en passant par le menu</t>
  </si>
  <si>
    <t>accéder aux différents groupes de conversations</t>
  </si>
  <si>
    <t>UC_CO_CO_30</t>
  </si>
  <si>
    <t>UC_CO_CO_40</t>
  </si>
  <si>
    <t>UC_CO_CO_50</t>
  </si>
  <si>
    <t>recevoir de nouveaux messages</t>
  </si>
  <si>
    <t>envoyer de nouveaux messages</t>
  </si>
  <si>
    <t>communiquer avec le groupe en question</t>
  </si>
  <si>
    <t>Conversations</t>
  </si>
  <si>
    <t>UC_CO</t>
  </si>
  <si>
    <t>UC_CO_CO</t>
  </si>
  <si>
    <t>11.1</t>
  </si>
  <si>
    <t>Recherche de média</t>
  </si>
  <si>
    <t>UC_RM</t>
  </si>
  <si>
    <t>Planning de l'affaire</t>
  </si>
  <si>
    <t>UC_PA</t>
  </si>
  <si>
    <t>12.1</t>
  </si>
  <si>
    <t>UC_PA_PA</t>
  </si>
  <si>
    <t>UC_PA_PA_10</t>
  </si>
  <si>
    <t>avoir une vue générale sur les différentes événements concernant l'affaire</t>
  </si>
  <si>
    <t>UC_IT_TS_10</t>
  </si>
  <si>
    <t>accécer au planning de l'affaire en passant par le menu</t>
  </si>
  <si>
    <t>au terrain de l'affaire en passant par le menu "Informations terrain" puis le sous menu "Terrain seul"</t>
  </si>
  <si>
    <t xml:space="preserve">obtenir différentes infiormations concernant le terrain </t>
  </si>
  <si>
    <t>UC_IT_TS_20</t>
  </si>
  <si>
    <t>UC_IT_TS_30</t>
  </si>
  <si>
    <t>NE PEUX PAS modifier la ville du terrain seul</t>
  </si>
  <si>
    <t>NE PEUX PAS modifier l'adresse du terrain seul</t>
  </si>
  <si>
    <t>UC_IT_TS_40</t>
  </si>
  <si>
    <t>UC_IT_TS_50</t>
  </si>
  <si>
    <t>UC_IT_TS_60</t>
  </si>
  <si>
    <t>indiquer si l'entrepôt est à l'abandon</t>
  </si>
  <si>
    <t>l'entreprise est en liquidation</t>
  </si>
  <si>
    <t>UC_IT_TS_70</t>
  </si>
  <si>
    <t>UC_IT_TS_80</t>
  </si>
  <si>
    <t>UC_IT_TS_90</t>
  </si>
  <si>
    <t>UC_IT_TS_100</t>
  </si>
  <si>
    <t>indiquer si c'est un terrain vague</t>
  </si>
  <si>
    <t>indiquer si le terrain est agricole</t>
  </si>
  <si>
    <t>indiquer si le terrain est occupé</t>
  </si>
  <si>
    <t>cliquer sur le bouton "Enregistrer"</t>
  </si>
  <si>
    <t>soumettre le formulaire</t>
  </si>
  <si>
    <t>UC_IT_TS_110</t>
  </si>
  <si>
    <t>laisser un commentaire si j'ai informé que le terrain est occupé</t>
  </si>
  <si>
    <t>sur le bouton "ajouter" sous "Références cadastrales"</t>
  </si>
  <si>
    <t>UC_IT_TS_120</t>
  </si>
  <si>
    <t>UC_IT_TS_130</t>
  </si>
  <si>
    <t>UC_IT_TS_140</t>
  </si>
  <si>
    <t>UC_IT_TS_150</t>
  </si>
  <si>
    <t>UC_IT_TS_160</t>
  </si>
  <si>
    <t>UC_IT_TS_170</t>
  </si>
  <si>
    <t>UC_IT_TS_180</t>
  </si>
  <si>
    <t>UC_IT_TS_190</t>
  </si>
  <si>
    <t>UC_IT_TS_200</t>
  </si>
  <si>
    <t>faire le tri sur les différentes informations</t>
  </si>
  <si>
    <t>sur le bouton "ajouter" sous "Informations complémentaires sur le terrain</t>
  </si>
  <si>
    <t>UC_IT_TS_210</t>
  </si>
  <si>
    <t>UC_IT_TS_220</t>
  </si>
  <si>
    <t>ajouter le nom de la parcelle</t>
  </si>
  <si>
    <t>donner des informations complémentaires sur la parcelle ajoutée</t>
  </si>
  <si>
    <t>cliquer sur le bouton "Enregistrer la parcelle et continuer d'en ajouter"</t>
  </si>
  <si>
    <t>pouvoir ajouter d'autres parcelles sans à avoir à quitter le formulaire</t>
  </si>
  <si>
    <t>cliquer sur le bouton "enregistrer"</t>
  </si>
  <si>
    <t>finaliser toutes les informations renseignées</t>
  </si>
  <si>
    <t>renseigner de nouvelles informations sur la parcelle</t>
  </si>
  <si>
    <t>supprimer des informations concernant la surface de la parcelle</t>
  </si>
  <si>
    <t>renseigner de nouvelles informations complémentaires sur la parcelle</t>
  </si>
  <si>
    <t xml:space="preserve">ajouter un commentaire </t>
  </si>
  <si>
    <t>préciser certaines informations</t>
  </si>
  <si>
    <t>cliquer sur le bouton "Enregistrer l'information et continuer d'en ajouter"</t>
  </si>
  <si>
    <t>pouvoir ajouter d'autres informations sans à avoir à quitter le formulaire</t>
  </si>
  <si>
    <t>cliquer sur le bouton "ajouter"</t>
  </si>
  <si>
    <t>supprimer des informations concernant les informations complémentaires</t>
  </si>
  <si>
    <t>Informations terrain</t>
  </si>
  <si>
    <t>Terrain seul</t>
  </si>
  <si>
    <t>13.1</t>
  </si>
  <si>
    <t>UC_IT</t>
  </si>
  <si>
    <t>UC_IT_TS</t>
  </si>
  <si>
    <t xml:space="preserve"> effectuer ma première authentification</t>
  </si>
  <si>
    <t>UC_IT_PT_10</t>
  </si>
  <si>
    <t>UC_IT_PT_20</t>
  </si>
  <si>
    <t>accéder à la liste des propriétaires en passant par le menu "Informations terrain" puis le sous-menu "Propriétaires"</t>
  </si>
  <si>
    <t>connaîtres les différents prorpiétaires pour chaque parcelle</t>
  </si>
  <si>
    <t>supprimer une parcelle</t>
  </si>
  <si>
    <t>trier les informations concernant chaque parcelle</t>
  </si>
  <si>
    <t>UC_IT_PT_30</t>
  </si>
  <si>
    <t>UC_IT_PT_40</t>
  </si>
  <si>
    <t>UC_IT_PT_50</t>
  </si>
  <si>
    <t>UC_IT_PT_60</t>
  </si>
  <si>
    <t>accéder au formulaire d'ajout d'un propriétaire</t>
  </si>
  <si>
    <t>définir un nom au propriétaire</t>
  </si>
  <si>
    <t>définir un prénom au propriétaire</t>
  </si>
  <si>
    <t>définir une date de naissance au propriétaire</t>
  </si>
  <si>
    <t>UC_IT_PT_70</t>
  </si>
  <si>
    <t>UC_IT_PT_80</t>
  </si>
  <si>
    <t>UC_IT_PT_90</t>
  </si>
  <si>
    <t>UC_IT_PT_100</t>
  </si>
  <si>
    <t>UC_IT_PT_110</t>
  </si>
  <si>
    <t>UC_IT_PT_120</t>
  </si>
  <si>
    <t>UC_IT_PT_130</t>
  </si>
  <si>
    <t>UC_IT_PT_140</t>
  </si>
  <si>
    <t>UC_IT_PT_150</t>
  </si>
  <si>
    <t>UC_IT_PT_160</t>
  </si>
  <si>
    <t>UC_IT_PT_170</t>
  </si>
  <si>
    <t>UC_IT_PT_180</t>
  </si>
  <si>
    <t>UC_IT_PT_190</t>
  </si>
  <si>
    <t>UC_IT_PT_200</t>
  </si>
  <si>
    <t>UC_IT_PT_210</t>
  </si>
  <si>
    <t>UC_IT_PT_220</t>
  </si>
  <si>
    <t>UC_IT_PT_230</t>
  </si>
  <si>
    <t>UC_IT_PT_240</t>
  </si>
  <si>
    <t>UC_IT_PT_250</t>
  </si>
  <si>
    <t>UC_IT_PT_260</t>
  </si>
  <si>
    <t>pouvoir contacter le propriétaire</t>
  </si>
  <si>
    <t>pouvoir le propriétaire à recevoir des mails</t>
  </si>
  <si>
    <t>définir un numéro d'adresse</t>
  </si>
  <si>
    <t xml:space="preserve">cliquer sur le bouton "Ajouter un propriétaire" </t>
  </si>
  <si>
    <t>lui définir un rôle concernant la parcelle</t>
  </si>
  <si>
    <t>définir un notaire concernant la parcelle</t>
  </si>
  <si>
    <t>estimer un prix foncier</t>
  </si>
  <si>
    <t>définir le moyen de paiement</t>
  </si>
  <si>
    <t>apporter plus d'informations concernant le propriétaire</t>
  </si>
  <si>
    <t>laisser un commentaire</t>
  </si>
  <si>
    <t>cliquer sur le bouton "Enregistrer le propriétaire et continuer d'en ajouter"</t>
  </si>
  <si>
    <t>ajouter d'autres propriétaires sans quitter le formulaire actuel</t>
  </si>
  <si>
    <t>soumettre le formulaire rempli</t>
  </si>
  <si>
    <t>UC_IT_PT_270</t>
  </si>
  <si>
    <t>cliquer sur le bouton l'icône représentant un crayon</t>
  </si>
  <si>
    <t>modifier les informations du propriétaire</t>
  </si>
  <si>
    <t>cliquer sur la croix</t>
  </si>
  <si>
    <t>supprimer un propriétaire</t>
  </si>
  <si>
    <t>UC_IT_CT_10</t>
  </si>
  <si>
    <t>UC_IT_CT_20</t>
  </si>
  <si>
    <t>accéder au formulaire de constructibilité du terrain en passant par le menu "Informations terrain" puis le sous-menu "Constructibilité"</t>
  </si>
  <si>
    <t>pouvoir informer différentes informations sur le terrain</t>
  </si>
  <si>
    <t>remplir le champs "Zone PLU"</t>
  </si>
  <si>
    <t>UC_IT_CT_30</t>
  </si>
  <si>
    <t>UC_IT_CT_40</t>
  </si>
  <si>
    <t>UC_IT_CT_50</t>
  </si>
  <si>
    <t>UC_IT_CT_60</t>
  </si>
  <si>
    <t>UC_IT_CT_70</t>
  </si>
  <si>
    <t>UC_IT_CT_80</t>
  </si>
  <si>
    <t>UC_IT_CT_90</t>
  </si>
  <si>
    <t>UC_IT_CT_100</t>
  </si>
  <si>
    <t>UC_IT_CT_110</t>
  </si>
  <si>
    <t>UC_IT_CT_120</t>
  </si>
  <si>
    <t>UC_IT_CT_130</t>
  </si>
  <si>
    <t>UC_IT_CT_140</t>
  </si>
  <si>
    <t>UC_IT_CT_150</t>
  </si>
  <si>
    <t>UC_IT_CT_160</t>
  </si>
  <si>
    <t>UC_IT_CT_170</t>
  </si>
  <si>
    <t>UC_IT_CT_180</t>
  </si>
  <si>
    <t>UC_IT_CT_190</t>
  </si>
  <si>
    <t>remplir le champs "Zone Pinel"</t>
  </si>
  <si>
    <t>indiquer si le terrain est vert</t>
  </si>
  <si>
    <t>renseigner la surface constructible en m²</t>
  </si>
  <si>
    <t>renseigner la surface planchée</t>
  </si>
  <si>
    <t>renseigner la surface foncière taxable</t>
  </si>
  <si>
    <t>renseigner la surface NON constructible en m²</t>
  </si>
  <si>
    <t>renseigner l'emprise</t>
  </si>
  <si>
    <t>renseigner le Coefficient d'Occupation du Sol (COS)</t>
  </si>
  <si>
    <t>renseigner la hauteur maximum en mètre du bâtiment à construire</t>
  </si>
  <si>
    <t>apporter plus d'informations sur les bâtiments à construire</t>
  </si>
  <si>
    <t>renseigner le nombre maximum d'étage que contiendront les bâtiments</t>
  </si>
  <si>
    <t>renseigner la surface minuimum du lot en m²</t>
  </si>
  <si>
    <t>renseigner le ratio parking</t>
  </si>
  <si>
    <t>renseigner la TTAD en pourcentage</t>
  </si>
  <si>
    <t>apporter plus d'informations sur les taxes et règles locales</t>
  </si>
  <si>
    <t>renseigner la TTAC en pourcentage</t>
  </si>
  <si>
    <t>renseigner la taxe régionale en pourcentage</t>
  </si>
  <si>
    <t>renseigner la taxe archéo en pourcentage</t>
  </si>
  <si>
    <t>renseigner la taxe raccordement à l'égout par lot en euros</t>
  </si>
  <si>
    <t>UC_IT_CT_200</t>
  </si>
  <si>
    <t>UC_IT_CT_210</t>
  </si>
  <si>
    <t xml:space="preserve">cliquer sur le bouton "Enregistrer" </t>
  </si>
  <si>
    <t>cliquer sur le bouton "Consulter les documents"</t>
  </si>
  <si>
    <t>accéder à la base documentaire d'une affaire</t>
  </si>
  <si>
    <t>UC_IT_CT_220</t>
  </si>
  <si>
    <t>UC_IT_CT_230</t>
  </si>
  <si>
    <t>UC_IT_CT_240</t>
  </si>
  <si>
    <t>UC_IT_CT_250</t>
  </si>
  <si>
    <t>Je peux trier les différentes informations par ordre alphabétique ou inverse en cliquant sur le titre de la colonne</t>
  </si>
  <si>
    <t>retrouver plus rapidement un fichier</t>
  </si>
  <si>
    <t>UC_IT_CT_225</t>
  </si>
  <si>
    <t>Je peux effectuer une recherche en utilisant la barre de recherche</t>
  </si>
  <si>
    <t>avoir le fichier en local sur l'ordinateur</t>
  </si>
  <si>
    <t xml:space="preserve">télécharger un fichier en cliquant sur l'icône de téléchargement </t>
  </si>
  <si>
    <t>modifier un fichier en cliquant sur l'icône représentant un crayon</t>
  </si>
  <si>
    <t>supprimer un fichier en cliquant sur la croix</t>
  </si>
  <si>
    <t>trier les documents</t>
  </si>
  <si>
    <t>Propriétaires du terrain</t>
  </si>
  <si>
    <t>UC_IT_PT</t>
  </si>
  <si>
    <t>Constructibilité du terrain</t>
  </si>
  <si>
    <t>UC_IT_CT</t>
  </si>
  <si>
    <t>cliquer sur "Nouvelle Conversation"</t>
  </si>
  <si>
    <t>accéder au formulaire de création d'une nouvelle conversation</t>
  </si>
  <si>
    <t xml:space="preserve">donner un titre à la nouvelle conversation </t>
  </si>
  <si>
    <t>mieux organiser mes différentes conversations</t>
  </si>
  <si>
    <t>cliquer sur "Ajouter"</t>
  </si>
  <si>
    <t>valdier la création d'une nouvelle conversation</t>
  </si>
  <si>
    <t>UC_CO_CO_60</t>
  </si>
  <si>
    <t>UC_CO_CO_70</t>
  </si>
  <si>
    <t>RM_CO_CO_10</t>
  </si>
  <si>
    <t>le titre de la conversation est vide</t>
  </si>
  <si>
    <t>RM_CO_CO_20</t>
  </si>
  <si>
    <t>je valide la création d'une nouvelle conversation</t>
  </si>
  <si>
    <t>Si le titre de la conversation n'est pas renseigné, il faut afficher une popup d'erreur en JS. Sinon il faut afficher un message de confirmation de création de conversation.</t>
  </si>
  <si>
    <t>après validation du formulaire, aucun bouton radio n'est cliquée</t>
  </si>
  <si>
    <t>RM_IT_TS_40</t>
  </si>
  <si>
    <t>RM_IT_TS_10</t>
  </si>
  <si>
    <t>RM_IT_TS_20</t>
  </si>
  <si>
    <t>il faut afficher un message d'erreur en JS</t>
  </si>
  <si>
    <t>RM_IT_TS_30</t>
  </si>
  <si>
    <t>RM_IT_TS_50</t>
  </si>
  <si>
    <t>RM_IT_TS_60</t>
  </si>
  <si>
    <t>• le terrain est occupé.
• Si après validation du formulaire, aucun bouton radio n'est cliquée</t>
  </si>
  <si>
    <t>• il faut afficher la liste possible des occupants des lieux sinon, il faut la cacher
• il faut afficher un message d'erreur en JS</t>
  </si>
  <si>
    <t>ajouter la surface de la parcelle</t>
  </si>
  <si>
    <t>RM_IT_TS_70</t>
  </si>
  <si>
    <t>RM_IT_TS_80</t>
  </si>
  <si>
    <t>après validation du formulaire, le nom du parcelle n'est pas renseigné</t>
  </si>
  <si>
    <t>après validation du formulaire, la surface de la parcelle n'est pas renseignée</t>
  </si>
  <si>
    <t>une information n'a pas été renseignée à la validation des formulaires</t>
  </si>
  <si>
    <t>• il faut afficher un message d'erreur en JS
• Si la validation est passée, alors on est redirigé vers la page terrain seule</t>
  </si>
  <si>
    <t>RM_IT_TS_85</t>
  </si>
  <si>
    <t>RM_IT_TS_75</t>
  </si>
  <si>
    <t>il faut afficher le même formulaire juste en dessous</t>
  </si>
  <si>
    <t>le bouton "Enregistrer l'information et continuer d'en ajouter" a été cliqué</t>
  </si>
  <si>
    <t>RM_IT_TS_90</t>
  </si>
  <si>
    <t>RM_IT_TS_95</t>
  </si>
  <si>
    <t>RM_IT_TS_100</t>
  </si>
  <si>
    <t>je clique sur le bouton "supprimer"</t>
  </si>
  <si>
    <t>il faut afficher un message de confirmation en JS.</t>
  </si>
  <si>
    <t>ajouter l'information complémentaire dont il est question</t>
  </si>
  <si>
    <t>à la validation du formulaire, l'information complémentaire n'a pas été renseigné</t>
  </si>
  <si>
    <t>RM_IT_PT_10</t>
  </si>
  <si>
    <t>RM_IT_PT_20</t>
  </si>
  <si>
    <t>RM_IT_PT_30</t>
  </si>
  <si>
    <t>RM_IT_PT_40</t>
  </si>
  <si>
    <t>RM_IT_PT_50</t>
  </si>
  <si>
    <t>RM_IT_PT_60</t>
  </si>
  <si>
    <t>RM_IT_PT_70</t>
  </si>
  <si>
    <t>remplir le champs "Nom", dans la partie "Informations générales" du formulaire</t>
  </si>
  <si>
    <t>remplir le champs "prénom", dans la partie "Informations générales" du formulaire</t>
  </si>
  <si>
    <t>remplir le champs "Date de naissance", dans la partie "Informations générales" du formulaire</t>
  </si>
  <si>
    <t>remplir le champs  "Tél. portable", dans la partie "Informations générales" du formulaire</t>
  </si>
  <si>
    <t>remplir le champs  "Email", dans la partie "Informations générales" du formulaire</t>
  </si>
  <si>
    <t>remplir le champs "Numéro", dans la partie "Adresse" du formulaire</t>
  </si>
  <si>
    <t>remplir le champs "Rue", dans la partie "Adresse" du formulaire</t>
  </si>
  <si>
    <t>remplir le champs  "Ville", dans la partie "Adresse" du formulaire</t>
  </si>
  <si>
    <t>remplir le champs "Code postal", dans la partie "Adresse" du formulaire</t>
  </si>
  <si>
    <t>remplir le champs "Département", dans la partie "Adresse" du formulaire</t>
  </si>
  <si>
    <t>remplir le champs "Pays", dans la partie "Adresse" du formulaire</t>
  </si>
  <si>
    <t>définir une ville</t>
  </si>
  <si>
    <t>définir un département</t>
  </si>
  <si>
    <t>définir une rue, avenue, place</t>
  </si>
  <si>
    <t>définir un code postal</t>
  </si>
  <si>
    <t>définir un pays</t>
  </si>
  <si>
    <t>après validation, le champs "Nom" n'est pas rempli, dans la partie "Informations générales" du formulaire</t>
  </si>
  <si>
    <t>après validation, le champs "Prénom" n'est pas rempli, dans la partie "Informations générales" du formulaire</t>
  </si>
  <si>
    <t>après validation, le champs "Date de naissance" n'est pas rempli, dans la partie "Informations générales" du formulaire</t>
  </si>
  <si>
    <t>après validation, le champs "Tél portable" n'est pas rempli, dans la partie "Informations générales" du formulaire</t>
  </si>
  <si>
    <t>après validation, le champs "Email" n'est pas rempli, dans la partie "Informations générales" du formulaire</t>
  </si>
  <si>
    <t>après validation, le champs "Numéro" n'est pas rempli, dans la partie "Adresse" du formulaire</t>
  </si>
  <si>
    <t>RM_IT_PT_80</t>
  </si>
  <si>
    <t>RM_IT_PT_90</t>
  </si>
  <si>
    <t>RM_IT_PT_100</t>
  </si>
  <si>
    <t>RM_IT_PT_110</t>
  </si>
  <si>
    <t>RM_IT_PT_120</t>
  </si>
  <si>
    <t>RM_IT_PT_130</t>
  </si>
  <si>
    <t>RM_IT_PT_140</t>
  </si>
  <si>
    <t>RM_IT_PT_150</t>
  </si>
  <si>
    <t>RM_IT_PT_160</t>
  </si>
  <si>
    <t>RM_IT_PT_170</t>
  </si>
  <si>
    <t>après validation, le champs "Rue" n'est pas rempli, dans la partie "Adresse" du formulaire</t>
  </si>
  <si>
    <t>après validation, le champs  "Ville"  n'est pas rempli, dans la partie "Adresse" du formulaire</t>
  </si>
  <si>
    <t>après validation, le champs "Code Postal" n'est pas rempli, dans la partie "Adresse" du formulaire</t>
  </si>
  <si>
    <t>après validation, le champs  "Département"  n'est pas rempli, dans la partie "Adresse" du formulaire</t>
  </si>
  <si>
    <t>après validation, le champs "Pays" n'est pas rempli, dans la partie "Adresse" du formulaire</t>
  </si>
  <si>
    <t>sélectionner un rôle, dans la partie "Informations supplémentaires" du formulaire</t>
  </si>
  <si>
    <t>sélectionner un notaire si besoin, dans la partie "Informations supplémentaires" du formulaire</t>
  </si>
  <si>
    <t>sélectionner une parcelle cadastrale si elle est existante, dans la partie "Informations supplémentaires" du formulaire</t>
  </si>
  <si>
    <t>remplir un prix foncier, dans la partie "Informations supplémentaires" du formulaire</t>
  </si>
  <si>
    <t>sélectionner le type de dation, dans la partie "Informations supplémentaires" du formulaire</t>
  </si>
  <si>
    <t>remplir le champs "Dation éventuelle", dans la partie "Informations supplémentaires" du formulaire</t>
  </si>
  <si>
    <t>remplir le champs "Indémnité d'éviction", dans la partie "Informations supplémentaires" du formulaire</t>
  </si>
  <si>
    <t>remplir le champs "Indémnité de fermage", dans la partie "Informations supplémentaires" du formulaire</t>
  </si>
  <si>
    <t>laisser un commentaire, dans la partie "Informations supplémentaires" du formulaire</t>
  </si>
  <si>
    <t>après validation, le champs  "Rôle"  n'est pas rempli, dans la partie "Informations supplémentaires" du formulaire</t>
  </si>
  <si>
    <t>définir une parcelle cadastrale</t>
  </si>
  <si>
    <t>après validation, le champs "Prix foncier estimée" n'est pas rempli, dans la partie "Informations supplémentaires" du formulaire</t>
  </si>
  <si>
    <t>après validation, le champs  "Dation éventuelle"  n'est pas rempli, dans la partie "Informations supplémentaires" du formulaire</t>
  </si>
  <si>
    <t>définir le type de dation</t>
  </si>
  <si>
    <t>définir une indémnité d'éviction</t>
  </si>
  <si>
    <t>après validation, le champs  "indémnité d'éviction  n'est pas rempli, dans la partie "Informations supplémentaires" du formulaire</t>
  </si>
  <si>
    <t>RM_IT_PT_180</t>
  </si>
  <si>
    <t>après validation, le champs "type de dation" n'est pas rempli, dans la partie "Informations supplémentaires" du formulaire</t>
  </si>
  <si>
    <t>après validation, le champs "indémnité de fermage" n'est pas rempli, dans la partie "Informations supplémentaires" du formulaire</t>
  </si>
  <si>
    <t>définir une indémnité de fermage</t>
  </si>
  <si>
    <t>RM_IT_PT_190</t>
  </si>
  <si>
    <t>RM_IT_PT_200</t>
  </si>
  <si>
    <t>il faut réafficher le même formualaire en dessous</t>
  </si>
  <si>
    <t>le bouton "Enregistrer" a été cliqué</t>
  </si>
  <si>
    <t>le bouton "Enregistrer le propriétaire et continuer d'en ajouter" a été cliqué</t>
  </si>
  <si>
    <t>il faut vérifier que tous les champs obligatoires ont été remplis. Si il y a au moins une erreur, il faut un afficher un message d'erreur en JS.
Si tout est bon, il faut rediriger vers la page "Propriétaires"</t>
  </si>
  <si>
    <t>le formulaire "Description de l'usage du terrain" a été cliqué</t>
  </si>
  <si>
    <t>RM_IT_TS_55</t>
  </si>
  <si>
    <t>il faut vérifier que tous les champs obligatoires ont été remplis. Si il y a au moins une erreur, il faut afficher un message d'erreur en JS. 
Si tout est bon, on reste sur la page avec les modifications apportées</t>
  </si>
  <si>
    <t>RM_IT_TS_51</t>
  </si>
  <si>
    <t>le bouton "Ajouter" a été clique dans la partie "Références cadastrales"</t>
  </si>
  <si>
    <t>il faut rediriger l'utilisateur vers le formularie d'ajout de référence cadastrale</t>
  </si>
  <si>
    <t>RM_IT_TS_86</t>
  </si>
  <si>
    <t>le bouton "Ajouter" a été clique dans la partie "Informations complémentaires sur le terrain"</t>
  </si>
  <si>
    <t>il faut rediriger l'utilisateur vers le formularie d'ajout d'informations complémentaires sur le terrain</t>
  </si>
  <si>
    <t>RM_IT_TS_96</t>
  </si>
  <si>
    <t>le bouton "Ajouter" a été cliqué</t>
  </si>
  <si>
    <t>il faut vérifier ques tous les champs obligatoires ont été remplis. Sinon, il faut afficher un message d'erreur en JS.
Si aucune erreur n'a été détecté alors il faut afficher un message de confirmation en JS et redirigier l'utilisateur vers la page terrain seul</t>
  </si>
  <si>
    <t>UC_AD_CB_10</t>
  </si>
  <si>
    <t>UC_AD_CB_20</t>
  </si>
  <si>
    <t>accéder à la liste des collaborateurs en passant par le menu "Acteurs et droits de l'affaire" et le sous-menu "Collaborateur"</t>
  </si>
  <si>
    <t>avoir une vision globale des collaborateurs de l'affaire</t>
  </si>
  <si>
    <t>cliquer sur l'icône représentant un crayon</t>
  </si>
  <si>
    <t>UC_AD_CB_30</t>
  </si>
  <si>
    <t>UC_AD_CB_40</t>
  </si>
  <si>
    <t>supprier un collaborateur de l'affaire</t>
  </si>
  <si>
    <t>cliquer sur "Ajouter un collaborateur"</t>
  </si>
  <si>
    <t>ajour un collaborateur en plus dans l'affaire</t>
  </si>
  <si>
    <t>9. GALERIE DE MEDIA</t>
  </si>
  <si>
    <t>9.1 RECHERCHE DANS LA GALERIE</t>
  </si>
  <si>
    <t>10. CONVERSATIONS</t>
  </si>
  <si>
    <t>10.1 CONVERSATIONS</t>
  </si>
  <si>
    <t>11. PLANNING DE L'AFFAIRE</t>
  </si>
  <si>
    <t>11.1 PLANNING DE L'AFFAIRE</t>
  </si>
  <si>
    <t>12. INFORMATIONS TERRAIN</t>
  </si>
  <si>
    <t>12.1 TERRAIN SEUL</t>
  </si>
  <si>
    <t>12.2 PROPRIETAIRES DU TERRAIN</t>
  </si>
  <si>
    <t>12.3 CONSTRUCTIBILITE DU TERRAIN</t>
  </si>
  <si>
    <t>13. ACTEURS ET DROITS DE L'AFFAIRES</t>
  </si>
  <si>
    <t>13.1 Collaborateurs</t>
  </si>
  <si>
    <t>UC_AD_TR_10</t>
  </si>
  <si>
    <t>UC_AD_TR_20</t>
  </si>
  <si>
    <t>UC_AD_TR_30</t>
  </si>
  <si>
    <t>UC_AD_TR_40</t>
  </si>
  <si>
    <t>UC_AD_TR_50</t>
  </si>
  <si>
    <t>UC_AD_TR_60</t>
  </si>
  <si>
    <t>UC_AD_TR_70</t>
  </si>
  <si>
    <t>UC_AD_TR_80</t>
  </si>
  <si>
    <t>UC_AD_TR_90</t>
  </si>
  <si>
    <t>UC_AD_TR_100</t>
  </si>
  <si>
    <t>UC_AD_TR_110</t>
  </si>
  <si>
    <t>UC_AD_TR_120</t>
  </si>
  <si>
    <t>UC_AD_TR_130</t>
  </si>
  <si>
    <t>UC_AD_TR_140</t>
  </si>
  <si>
    <t>UC_AD_TR_150</t>
  </si>
  <si>
    <t>13.2 TIERS</t>
  </si>
  <si>
    <t>12.2</t>
  </si>
  <si>
    <t>12.3</t>
  </si>
  <si>
    <t>UC_AD_CB_50</t>
  </si>
  <si>
    <t>UC_AD_CB_60</t>
  </si>
  <si>
    <t>chosir le collaborateur dans la liste</t>
  </si>
  <si>
    <t>ajouter un collaborateur en plus dans l'affaire</t>
  </si>
  <si>
    <t xml:space="preserve">cocher la case "Acteur clé" </t>
  </si>
  <si>
    <t>définir le collaborateur en tant qu'acteur clé</t>
  </si>
  <si>
    <t>choisir le rôle qui l'aura dans l'affaire</t>
  </si>
  <si>
    <t>définir un rôle bien précis au sein de l'affaire</t>
  </si>
  <si>
    <t>sur le bouton "annuler"</t>
  </si>
  <si>
    <t>annuler les ajouts</t>
  </si>
  <si>
    <t>cliquer sur le bouton "enregistrer et ajouter d'autres collaborateurs"</t>
  </si>
  <si>
    <t>ajouter un collaborateur en plus dans l'affaire sans quitter le formulaire actuel</t>
  </si>
  <si>
    <t>sur le bouton "enregistrer"</t>
  </si>
  <si>
    <t>ajouter les nouveaux collaborateurs au seins de l'affaire</t>
  </si>
  <si>
    <t>UC_AD_CB_70</t>
  </si>
  <si>
    <t>UC_AD_CB_80</t>
  </si>
  <si>
    <t>UC_AD_CB_90</t>
  </si>
  <si>
    <t>UC_AD_CB_100</t>
  </si>
  <si>
    <t>UC_AD_CB_110</t>
  </si>
  <si>
    <t>UC_AD_CB_120</t>
  </si>
  <si>
    <t>UC_AD_CB_130</t>
  </si>
  <si>
    <t>modifier mon collaborateur</t>
  </si>
  <si>
    <t>modifier son rôle</t>
  </si>
  <si>
    <t>lui attrbuer un autre rôle au sein de l'affaire</t>
  </si>
  <si>
    <t xml:space="preserve">cocher OU décocher la case "Acteur clé" </t>
  </si>
  <si>
    <t>définir le collaborateur en tant qu'acteur clé OU NON</t>
  </si>
  <si>
    <t>trier les élements du tableau par ordre alphabétique ou par ordre inverse alphabétique en cliquant sur le titre des colonnes</t>
  </si>
  <si>
    <t>retrouver plus failement un collaborateur</t>
  </si>
  <si>
    <t>UC_AD_TR_5</t>
  </si>
  <si>
    <t>à la lsite des tiers en passant par le menu "Acteurs et droits de l'affaire" puis le sous-menu "Tiers"</t>
  </si>
  <si>
    <t>avoir une vision globale des tiers de l'affaire</t>
  </si>
  <si>
    <t>accéder au formulaire d'ajout d'un tiers en cliquant sur "Ajouter un tiers"</t>
  </si>
  <si>
    <t>13. ACTEURS ET DROITS DE L'AFFAIRE</t>
  </si>
  <si>
    <t>13.1 COLLABORATEUR</t>
  </si>
  <si>
    <t>RM_AD_TR_10</t>
  </si>
  <si>
    <t>RM_AD_TR_20</t>
  </si>
  <si>
    <t>RM_AD_TR_30</t>
  </si>
  <si>
    <t>RM_AD_TR_40</t>
  </si>
  <si>
    <t>RM_AD_TR_50</t>
  </si>
  <si>
    <t>RM_AD_TR_60</t>
  </si>
  <si>
    <t>RM_AD_TR_70</t>
  </si>
  <si>
    <t>RM_AD_TR_80</t>
  </si>
  <si>
    <t>RM_AD_CB_10</t>
  </si>
  <si>
    <t>RM_AD_CB_20</t>
  </si>
  <si>
    <t>RM_AD_CB_30</t>
  </si>
  <si>
    <t>RM_AD_CB_40</t>
  </si>
  <si>
    <t>RM_AD_CB_50</t>
  </si>
  <si>
    <t>RM_AD_CB_60</t>
  </si>
  <si>
    <t>RM_AD_CB_70</t>
  </si>
  <si>
    <t>RM_AD_CB_80</t>
  </si>
  <si>
    <t>RM_AD_CB_90</t>
  </si>
  <si>
    <t>cliquer sur la croix de suppression d'un collaborateur</t>
  </si>
  <si>
    <t>je clique sur le bouton de suppression</t>
  </si>
  <si>
    <t>il faut afficher un message de confirmation en JS</t>
  </si>
  <si>
    <t>je clique sur le bouton "ajouter un collaborateur"</t>
  </si>
  <si>
    <t>je suis redirigé vers un formulaire d'ajout de collaborateur</t>
  </si>
  <si>
    <t>je clique sur le bouton "annuler"</t>
  </si>
  <si>
    <t>il faut afficher un message de confirmation en JS et être redirigé vers la page des collaborateurs de l'affaire</t>
  </si>
  <si>
    <t>je clique sur "Enregistrer et ajouter d'autres collaborateurs"</t>
  </si>
  <si>
    <t>après validation du formulaire, aucun collaborateur n'a été choisi</t>
  </si>
  <si>
    <t>après validation du formulaire, aucun rôle n'a été choisi pour le futur collaborateur</t>
  </si>
  <si>
    <t>Acteurs et droits de l'affaire</t>
  </si>
  <si>
    <t>UC_AD</t>
  </si>
  <si>
    <t>UC_AD_CB</t>
  </si>
  <si>
    <t>UC_AD_TR</t>
  </si>
  <si>
    <t>S2</t>
  </si>
  <si>
    <t>je clique sur "Enregistrer"</t>
  </si>
  <si>
    <t>il faut vérifier que tous les champs obligatoires ont été remplis. Sinon il faut afficher un message d'erreur.
Si tout est bon, alors il faut rediriger l'utilisateur vers la page de collaborateur</t>
  </si>
  <si>
    <t>clique sur la modification d'un collaborateur</t>
  </si>
  <si>
    <t>je suis redirigé vers un formulaire d'ajout de collateur avec les champs déjà remplis</t>
  </si>
  <si>
    <t>après validation, si le champs rôle est toujours bien renseigné</t>
  </si>
  <si>
    <t>il faut afficher un message de confirmation lors de la validation</t>
  </si>
  <si>
    <t>le bouton "annuler" a été cliqué</t>
  </si>
  <si>
    <t>il faut afficher un message de confirmation en JS et rediriger l'utilisateur vers la page des tiers</t>
  </si>
  <si>
    <t>le bouton "Créer le profil" a été cliqué</t>
  </si>
  <si>
    <t>5.4 CREATION D'UNE AFFAIRE DE TYPE DIFFUS PAR UN ADMIN</t>
  </si>
  <si>
    <t>UC_PF_CAM_10</t>
  </si>
  <si>
    <t>UC_PF_CAM_20</t>
  </si>
  <si>
    <t>UC_PF_CAM_30</t>
  </si>
  <si>
    <t>UC_PF_CAM_40</t>
  </si>
  <si>
    <t>UC_PF_CAM_50</t>
  </si>
  <si>
    <t>UC_PF_CAM_60</t>
  </si>
  <si>
    <t>UC_PF_CAM_70</t>
  </si>
  <si>
    <t>RM_PF_CAM_10</t>
  </si>
  <si>
    <t>RM_PF_CAM_20</t>
  </si>
  <si>
    <t>accéder à la liste des utilisateurs depuis le menu &gt; Administration &gt; Comptes utilisateurs</t>
  </si>
  <si>
    <t xml:space="preserve">cliquer sur le bouton "ajouter un utilisateur" </t>
  </si>
  <si>
    <t>appuyer sur le bouton "Envoyer" à la fin du formulaire</t>
  </si>
  <si>
    <t>visualiser la liste et les informations des utilisateurs</t>
  </si>
  <si>
    <t>accéder à la liste des utilisateurs depuis le menu utilisateur &gt; Admin &gt; Rôles</t>
  </si>
  <si>
    <t>Pas de mail envoyé</t>
  </si>
  <si>
    <t>Sans lien, impossible d'initaliser son mot de passe</t>
  </si>
  <si>
    <t>administrer le profil du compte utilisateur que je viens de créer depuis le menu &gt; Administration &gt; Profil &gt; Ajouter un profil</t>
  </si>
  <si>
    <t>pouvoir lui attribuer des infomrations</t>
  </si>
  <si>
    <t>choisir l'utilisateur dont je souhaite créer le profil</t>
  </si>
  <si>
    <t>pouvoir attribuer des informations au bon utilisateur</t>
  </si>
  <si>
    <t>UC_GU_AU_45</t>
  </si>
  <si>
    <t>UC_GU_AU_46</t>
  </si>
  <si>
    <t>admnistrer un nom à l'utilisateur dont je suis en créer un profil</t>
  </si>
  <si>
    <t>pouvoir attribuer un nom de famille</t>
  </si>
  <si>
    <t>admnistrer un prénom à l'utilisateur dont je suis en créer un profil</t>
  </si>
  <si>
    <t>pouvoir attribuer un prénom</t>
  </si>
  <si>
    <t>UC_GU_AU_47</t>
  </si>
  <si>
    <t>UC_GU_AU_48</t>
  </si>
  <si>
    <t>UC_GU_AU_49</t>
  </si>
  <si>
    <t>administrer un numéro de Rue</t>
  </si>
  <si>
    <t>pouvoir attribuer une adresse</t>
  </si>
  <si>
    <t>UC_GU_AU_49.1</t>
  </si>
  <si>
    <t>administrer le nom de la Rue ou Avenue, ou de la Place</t>
  </si>
  <si>
    <t>UC_GU_AU_49.2</t>
  </si>
  <si>
    <t>administrer un code postal</t>
  </si>
  <si>
    <t>UC_GU_AU_49.3</t>
  </si>
  <si>
    <t>administrer une ville</t>
  </si>
  <si>
    <t>UC_GU_AU_49.4</t>
  </si>
  <si>
    <t>administrer un pays</t>
  </si>
  <si>
    <t>UC_GU_AU_35</t>
  </si>
  <si>
    <t>lui administrer des informations concernants l'utilisateur</t>
  </si>
  <si>
    <t>UC_GU_AU_36</t>
  </si>
  <si>
    <t>choisir le type de personne dont sera l'utilisateur</t>
  </si>
  <si>
    <t>savoir si l'utilistaur est un Contact, Propriétaire ou un Utilisateur Classique</t>
  </si>
  <si>
    <t>UC_GU_AU_75</t>
  </si>
  <si>
    <t>ajouter des informartions complémentaires concernant l'utilisateur</t>
  </si>
  <si>
    <t>Possibilité que la date de fin de validité soit inférieure à la date de début.
Par exemple :
Date de fin -&gt; 03/08/2017
Date de début -&gt; 26/12/2017</t>
  </si>
  <si>
    <t>pouvoir attribuer une date de naissance</t>
  </si>
  <si>
    <t>choisir une date de naissance (facultatif)</t>
  </si>
  <si>
    <t xml:space="preserve">On est obligé de laisser un commentaire. </t>
  </si>
  <si>
    <t>attribuer une ou plusieurs régions à mon utilisateur que je suis en train de crée (facultatif)</t>
  </si>
  <si>
    <t>aucun rôle n'a été attribué</t>
  </si>
  <si>
    <t>aucun mail n'a été entré ou si la valeur entrée n'est pas un format mail et si un mail a été entré n'est pas unique</t>
  </si>
  <si>
    <t>il faut un afficher un message d'erreur indiquant que les dates entrées ne sont pas valides</t>
  </si>
  <si>
    <t>la date de fin est inférieure à la date de début</t>
  </si>
  <si>
    <t xml:space="preserve">il faut afficher un message d'erreur indiquant que le champs "nom" est obligatoire </t>
  </si>
  <si>
    <t>RM_GU_AU_130</t>
  </si>
  <si>
    <t xml:space="preserve">il faut afficher un message d'erreur indiquant que le champs "Numéro de Rue" est obligatoire </t>
  </si>
  <si>
    <t xml:space="preserve">il faut afficher un message d'erreur indiquant que le champs "Rue" est obligatoire </t>
  </si>
  <si>
    <t>attribuer un statut à l'utilisateur dont je suis en créer son profil</t>
  </si>
  <si>
    <t>après validation du formulaire, le champs "Rue" est vide</t>
  </si>
  <si>
    <t>après validation du formulaire, le champs "Ville" est vide</t>
  </si>
  <si>
    <t>après validation du formulaire, certains champs obligatoires en sont pas remplis</t>
  </si>
  <si>
    <t>il fautr afficher un message d'erreurs indiquant quels champs obligatoires ne sont pas remplis</t>
  </si>
  <si>
    <t xml:space="preserve">cliquer sur le bouton "Edition" </t>
  </si>
  <si>
    <t>modifier le mail de l'utilisateur</t>
  </si>
  <si>
    <t>mettre à jour son mail</t>
  </si>
  <si>
    <t>mettre à jour son rôle</t>
  </si>
  <si>
    <t>modifier une date de début (non obligatoire) et une date de fin (non obligatoire)</t>
  </si>
  <si>
    <t>lui modifier son accès à son compte à partir de la date entrée et de lui bloquer les accès à partir de la date de fin indiquée</t>
  </si>
  <si>
    <t>pouvoir lui laisser accéder à son compte à partir de la date entrée et de lui bloquer les accès à partir de la date de fin indiquée</t>
  </si>
  <si>
    <t>mettre à jour l'utilisateur</t>
  </si>
  <si>
    <t>1.2.1 MODIFICATION DES PROFILS</t>
  </si>
  <si>
    <t>Modification des profils</t>
  </si>
  <si>
    <t>UC_GU_PR</t>
  </si>
  <si>
    <t>UC_GU_PR_10</t>
  </si>
  <si>
    <t>UC_GU_PR_20</t>
  </si>
  <si>
    <t>UC_GU_PR_30</t>
  </si>
  <si>
    <t>UC_GU_PR_40</t>
  </si>
  <si>
    <t>UC_GU_PR_50</t>
  </si>
  <si>
    <t>UC_GU_PR_60</t>
  </si>
  <si>
    <t>UC_GU_PR_70</t>
  </si>
  <si>
    <t>UC_GU_PR_80</t>
  </si>
  <si>
    <t>UC_GU_PR_90</t>
  </si>
  <si>
    <t>On peut entrer un nouveau mail qui existe déjà dans la base de données</t>
  </si>
  <si>
    <t>RM_GU_MU_05</t>
  </si>
  <si>
    <t>je modifie les données d'un utilisateur</t>
  </si>
  <si>
    <t>il faut pré-remplir les différents champs qui ont été remplis lors de la création de l'utilisateur</t>
  </si>
  <si>
    <t>accéder à la liste des profils depuis le menu &gt; Administration &gt; Profils</t>
  </si>
  <si>
    <t>visualiser la liste des profils qui ont été crées</t>
  </si>
  <si>
    <t>cliquer sur "Edition"</t>
  </si>
  <si>
    <t xml:space="preserve">modifier le profil </t>
  </si>
  <si>
    <t>1.2.1. MODIFICATION DES PROFILS</t>
  </si>
  <si>
    <t>RM_GU_PR_10</t>
  </si>
  <si>
    <t>RM_GU_PR_20</t>
  </si>
  <si>
    <t>changer l'utilistateur dont je souhaite modifier les informations</t>
  </si>
  <si>
    <t xml:space="preserve">je sélectionne un nouveau utilisateur dans la liste </t>
  </si>
  <si>
    <t>Il faut de nouveau pré-remplir les champs suivant l'utilisateur choisi</t>
  </si>
  <si>
    <t>modifier l'utilisateur</t>
  </si>
  <si>
    <t>Les champs ne se rechargent pas et à la validation, il y a une erreur.
Il faut soit bloquer le "select" ou recharger les données</t>
  </si>
  <si>
    <t>modifier le nom</t>
  </si>
  <si>
    <t>mettre à jour les informations de l'utilisateur</t>
  </si>
  <si>
    <t>modifier le prénom</t>
  </si>
  <si>
    <t>modifier sa date de naissance</t>
  </si>
  <si>
    <t>RM_GU_PR_30</t>
  </si>
  <si>
    <t>RM_GU_PR_40</t>
  </si>
  <si>
    <t>après validation, le champs "Prénom" est vide</t>
  </si>
  <si>
    <t xml:space="preserve">il faut afficher un message d'erreur indiquant que le champs "Prénom" est obligatoire </t>
  </si>
  <si>
    <t>UC_GU_PR_100</t>
  </si>
  <si>
    <t>UC_GU_PR_110</t>
  </si>
  <si>
    <t>UC_GU_PR_120</t>
  </si>
  <si>
    <t>UC_GU_PR_130</t>
  </si>
  <si>
    <t>UC_GU_PR_140</t>
  </si>
  <si>
    <t>UC_GU_PR_150</t>
  </si>
  <si>
    <t>UC_GU_PR_160</t>
  </si>
  <si>
    <t>modifier le "Numéro de Rue"</t>
  </si>
  <si>
    <t>modifier le champs "Rue"</t>
  </si>
  <si>
    <t>modifier son code postal</t>
  </si>
  <si>
    <t>modifier sa ville</t>
  </si>
  <si>
    <t>modifier son pays</t>
  </si>
  <si>
    <t>modifier ses régions</t>
  </si>
  <si>
    <t>modifier le statut</t>
  </si>
  <si>
    <t>le champs "Personne"</t>
  </si>
  <si>
    <t>modifier le commentaire</t>
  </si>
  <si>
    <t>cliquer sur "Envoyer"</t>
  </si>
  <si>
    <t>RM_GU_PR_50</t>
  </si>
  <si>
    <t>RM_GU_PR_60</t>
  </si>
  <si>
    <t>RM_GU_PR_70</t>
  </si>
  <si>
    <t>RM_GU_PR_80</t>
  </si>
  <si>
    <t>RM_GU_PR_90</t>
  </si>
  <si>
    <t>RM_GU_PR_100</t>
  </si>
  <si>
    <t>RM_GU_PR_110</t>
  </si>
  <si>
    <t>RM_GU_PR_120</t>
  </si>
  <si>
    <t>après validation, le champs "Numéro de Rue" est vide</t>
  </si>
  <si>
    <t>après validation, le champs "Rue" est vide</t>
  </si>
  <si>
    <t>après validation, le champs "Code Postal" est vide</t>
  </si>
  <si>
    <t xml:space="preserve">il faut afficher un message d'erreur indiquant que le champs "Code Postal" est obligatoire </t>
  </si>
  <si>
    <t>après validation, le champs "Ville" est vide</t>
  </si>
  <si>
    <t>après validation, le champs "Pays" est vide</t>
  </si>
  <si>
    <t xml:space="preserve">il faut afficher un message d'erreur indiquant que le champs "Pays" est obligatoire </t>
  </si>
  <si>
    <t>après validation, le champs "Statut" est vide</t>
  </si>
  <si>
    <t>après validation, le champs "Personne" est vide</t>
  </si>
  <si>
    <t xml:space="preserve">il faut afficher un message d'erreur indiquant que le champs "Personne" est obligatoire </t>
  </si>
  <si>
    <t>après validation du formulaire, les champs obligatoires n'ont pas été rempli</t>
  </si>
  <si>
    <t>il faut afficher un message d'erreur indiquant quel champ est obligatoire à remplir</t>
  </si>
  <si>
    <t>On est obligé de laisser un commentaire</t>
  </si>
  <si>
    <t>Pas de message de confirmation</t>
  </si>
  <si>
    <t>Possibilité que la date de fin de validité soit inférieure à la date de début.
Par exemple :
Date de fin -&gt; 03/08/2017
Date de début -&gt; 26/12/2017
Si un utilisateur est inactif, il est impossible de le rendre actif en modifiant les dates de validités</t>
  </si>
  <si>
    <t>accéder à la liste des utilisateurs depuis le menu utilisateur &gt; Admin &gt; Compte des utilisateurs</t>
  </si>
  <si>
    <t>avoir une liste des utilisateurs avec les colonnes suivantes : 
• ordre alphabétique
• ordre inverse alphabétique
• date d'ajout (par défaut)</t>
  </si>
  <si>
    <t>Impossible de trier</t>
  </si>
  <si>
    <t>Date début : 23/12/2017
Date Fin : 25/12/2017
Ca affiche quand même actif</t>
  </si>
  <si>
    <t>Date début : 27/12/2017
Date Fin : 25/12/2017
Ca affiche quand même actif</t>
  </si>
  <si>
    <t>Pas de bouton d'ajout</t>
  </si>
  <si>
    <t xml:space="preserve">cliquer sur le bouton "Mise à jour" </t>
  </si>
  <si>
    <t>Il est possible d'avoir 2 fois le même rôles après une modification</t>
  </si>
  <si>
    <t>Pas de bouton de suppression</t>
  </si>
  <si>
    <t>accéder à la liste des regions depuis le menu utilisateur &gt; Admin &gt; Régions</t>
  </si>
  <si>
    <t xml:space="preserve">cliquer sur le bouton "ajouter une region" </t>
  </si>
  <si>
    <t>Pas de message de confirmation et bouton sans style</t>
  </si>
  <si>
    <t>accéder à la liste des roles depuis le menu utilisateur &gt; Admin &gt; Régions</t>
  </si>
  <si>
    <t>UC_GU_AU_37</t>
  </si>
  <si>
    <t>confirmer la création d'un utilisateur en cliquant sur "Envoyer"</t>
  </si>
  <si>
    <t>/register/check-email est par défaut celui de FOSUserBundle
Pas de mail envoyé</t>
  </si>
  <si>
    <t>créer un nouveau utilisateur et envoyé un lien unique sur le mail renseigné au dessus</t>
  </si>
  <si>
    <t>1.1. AJOUT DES UTILISATEURS ET PROFILS</t>
  </si>
  <si>
    <t>cliquer sur "mot de passe perdu" sur la page de connexion</t>
  </si>
  <si>
    <t>UC_AU_MO_15</t>
  </si>
  <si>
    <t>renseigner mon mail</t>
  </si>
  <si>
    <t>recevoir un nouveau lien unique</t>
  </si>
  <si>
    <t>RM_AU_MO_15</t>
  </si>
  <si>
    <t>un mail a été entré</t>
  </si>
  <si>
    <t>il faut vérifier que la donnée entrée dans le champs est dans le bon format de mail et vérifier que le mail existe bien dans la Base de Données</t>
  </si>
  <si>
    <t>Pas de lien, pas de vérification du format de mail, pas de vérification que le mail existe</t>
  </si>
  <si>
    <t>Pas de mail reçu</t>
  </si>
  <si>
    <t>cliquer sur "Créer une affaire"</t>
  </si>
  <si>
    <t>je peux choisir le type Diffus et cliquer sur "suivant"</t>
  </si>
  <si>
    <t>Pas d'incation que la photo a bien été upload</t>
  </si>
  <si>
    <t>Annotations obligatoires</t>
  </si>
  <si>
    <t>UC_PF_CA_55</t>
  </si>
  <si>
    <t>Choisir la région</t>
  </si>
  <si>
    <t>localiser la région de l'affaire</t>
  </si>
  <si>
    <t>RM_PF_CA_15</t>
  </si>
  <si>
    <t>la région n'est pas choisie</t>
  </si>
  <si>
    <t>taper le nom d'une affaire qui n'existe pas me retourne le document de l'affaire que je viens de créer. Ca ne semble pas filtrer</t>
  </si>
  <si>
    <t>Pas de flèche</t>
  </si>
  <si>
    <t>Création d'une affaire de type Diffus par un Admin</t>
  </si>
  <si>
    <t>5.3 CREATION D'UNE AFFAIRE DE TYPE DIFFUS PAR UN ADMIN</t>
  </si>
  <si>
    <t>UC_PF_CAM</t>
  </si>
  <si>
    <t>accéder à la base documentaire de l'affaire en question en cliquant sur le nom de l'affaire à la page d'accueil &gt; Base documentaire à gauche</t>
  </si>
  <si>
    <t>UC_AF_BC_60</t>
  </si>
  <si>
    <t>UC_AF_BC_70</t>
  </si>
  <si>
    <t>cliquer sur le nom de l'affaire</t>
  </si>
  <si>
    <t>retourner à la page d'accueil de l'affaire</t>
  </si>
  <si>
    <t>cliquer sur "Télécharger le document"</t>
  </si>
  <si>
    <t>télécharger le document</t>
  </si>
  <si>
    <t>Le document n'est pas téléchargé</t>
  </si>
  <si>
    <t>UC_PF_BC_70</t>
  </si>
  <si>
    <t>UC_PF_BC_80</t>
  </si>
  <si>
    <t>Si un champ est non ou mal rempli, impossible de créer l'affaire. Mais aucun message d'erreur n'apparaît pour expliquer l'impossibilité de créer une affaire</t>
  </si>
  <si>
    <t>cliquer sur le bouton "Choisissez un fichier"</t>
  </si>
  <si>
    <t>y laisser une description (facultatif)</t>
  </si>
  <si>
    <t>Pas de champs dédié</t>
  </si>
  <si>
    <t>choisir l'action "Chargement d'une photo" en passant par le protefeuille d'une affaire</t>
  </si>
  <si>
    <t>choisir l'action "Chargement d'un document" en passant par le protefeuille d'une affaire</t>
  </si>
  <si>
    <t>choisir un nom de fichier</t>
  </si>
  <si>
    <t>je ne nomme pas mon fichier</t>
  </si>
  <si>
    <t>il faut afficher un message d'erreur lors de la validation</t>
  </si>
  <si>
    <t>entrer un nom de fichier quitter le formulaire</t>
  </si>
  <si>
    <t>annuler ma propre action</t>
  </si>
  <si>
    <t>Bug. Impossible de naviguer normalent tant que je n'ai pas upload un fichier</t>
  </si>
  <si>
    <t>UC_AA_CD_55</t>
  </si>
  <si>
    <t>choisir l'action "Demande de RDV" en passant par le protefeuille d'une affaire</t>
  </si>
  <si>
    <t>nommer le fichier qui sera upload</t>
  </si>
  <si>
    <t>répondre à la demande du Directeur Régional</t>
  </si>
  <si>
    <t>choisir le fichier</t>
  </si>
  <si>
    <t>upload le fichier</t>
  </si>
  <si>
    <t>cliquer sur "Valider"</t>
  </si>
  <si>
    <t>upload le fichier dans la base documentaire</t>
  </si>
  <si>
    <t>UC_AA_EF_75</t>
  </si>
  <si>
    <t>Annuler la demande du Directeur Foncier</t>
  </si>
  <si>
    <t xml:space="preserve">le bouton "Abandonner la demande" a été cliqué </t>
  </si>
  <si>
    <t>RM_AA_EF_65</t>
  </si>
  <si>
    <t xml:space="preserve">le bouton "Envoyer" a été cliqué </t>
  </si>
  <si>
    <t>il faut vérifier que tous les champs obligatoires soient remplis. Sinon il faut afficher un message d'erreur</t>
  </si>
  <si>
    <t xml:space="preserve">le bouton "Choisissez un fichier" a été cliqué </t>
  </si>
  <si>
    <t>il faut vérifier l'extension su fichier à la validatin du formulaire</t>
  </si>
  <si>
    <t>0.9</t>
  </si>
  <si>
    <t>15/11/2017
26/12/2017</t>
  </si>
  <si>
    <t>0;</t>
  </si>
  <si>
    <t>Fonctionnalités transverses</t>
  </si>
  <si>
    <t>UC_FT</t>
  </si>
  <si>
    <t>0. FONCTIONNALITES TRANSVERSES</t>
  </si>
  <si>
    <t>0.1. FONCTIONNALITES TRANSVERSES</t>
  </si>
  <si>
    <t>UC_FT_FT_10</t>
  </si>
  <si>
    <t>0.1</t>
  </si>
  <si>
    <t>13. ORIGINE ET TYPE D'AFFAIRE</t>
  </si>
  <si>
    <t>13.1 ORIGINE ET TYPE D'AFFAIRE</t>
  </si>
  <si>
    <t>UC_OA_OA_10</t>
  </si>
  <si>
    <t>UC_OA_OA_20</t>
  </si>
  <si>
    <t>accéder à "Origine et Type d'Affaire" en cliquant sur le nom d'une affaire à la page d'accueille et en cliquant "Origine et Type d'Affaire" sur le menu</t>
  </si>
  <si>
    <t>voir et administrer la fiche de l'affaire</t>
  </si>
  <si>
    <t>NE PEUX PAS modifier le créateur de l'affaire</t>
  </si>
  <si>
    <t>UC_OA_OA_30</t>
  </si>
  <si>
    <t>UC_OA_OA_40</t>
  </si>
  <si>
    <t>UC_OA_OA_50</t>
  </si>
  <si>
    <t>UC_OA_OA_60</t>
  </si>
  <si>
    <t>UC_OA_OA_70</t>
  </si>
  <si>
    <t>UC_OA_OA_80</t>
  </si>
  <si>
    <t>UC_OA_OA_90</t>
  </si>
  <si>
    <t>UC_OA_OA_100</t>
  </si>
  <si>
    <t>UC_OA_OA_110</t>
  </si>
  <si>
    <t>UC_OA_OA_120</t>
  </si>
  <si>
    <t>UC_OA_OA_130</t>
  </si>
  <si>
    <t>UC_OA_OA_140</t>
  </si>
  <si>
    <t>UC_OA_OA_150</t>
  </si>
  <si>
    <t>UC_OA_OA_160</t>
  </si>
  <si>
    <t>UC_OA_OA_170</t>
  </si>
  <si>
    <t>UC_OA_OA_180</t>
  </si>
  <si>
    <t>UC_OA_OA_190</t>
  </si>
  <si>
    <t>UC_OA_OA_200</t>
  </si>
  <si>
    <t>UC_OA_OA_210</t>
  </si>
  <si>
    <t>UC_OA_OA_220</t>
  </si>
  <si>
    <t>accéder au menu Administration dans n'imorte quelle page</t>
  </si>
  <si>
    <t>administrer certaines données</t>
  </si>
  <si>
    <t>/admin/{nom-page} impossible d'accéder au menu d'administration</t>
  </si>
  <si>
    <t>UC_FT_FT_30</t>
  </si>
  <si>
    <t>me déconnecter à partir de n'imorte quelle page</t>
  </si>
  <si>
    <t>quitter l'application</t>
  </si>
  <si>
    <t>accéder au formulaire de création d'une affaire</t>
  </si>
  <si>
    <t>UC_FT_FT_50</t>
  </si>
  <si>
    <t>UC_FT_FT_70</t>
  </si>
  <si>
    <t xml:space="preserve">accéder aux notification </t>
  </si>
  <si>
    <t>être alerter des différentes notifications</t>
  </si>
  <si>
    <t>cliquer sur "Créer une affaire" à partir de n'importe quelle page</t>
  </si>
  <si>
    <t xml:space="preserve">trier les évolutions du stock du lot </t>
  </si>
  <si>
    <t>mieux avoir un aperçu</t>
  </si>
  <si>
    <t>trier les répartitions des affaires en cours en nombre de lots</t>
  </si>
  <si>
    <t>UC_FT_FT_20</t>
  </si>
  <si>
    <t>UC_FT_FT_40</t>
  </si>
  <si>
    <t>UC_FT_FT_60</t>
  </si>
  <si>
    <t>connaître le pourcentage d'affaire par rapport aux événements clés</t>
  </si>
  <si>
    <t>trier les évolutions des lots parmois et par statut</t>
  </si>
  <si>
    <t>filtrer les affaires par rapport aux différents filtres proposés</t>
  </si>
  <si>
    <t>trouver une affaire</t>
  </si>
  <si>
    <t>filtre non fonctionnel</t>
  </si>
  <si>
    <t>fermer ou ouvrir mes cards en cliquant sur la flèche</t>
  </si>
  <si>
    <t>mieux orgaiser ma page</t>
  </si>
  <si>
    <t>cliquer sur les noms des colonnes</t>
  </si>
  <si>
    <t>trier mes différents tableaux</t>
  </si>
  <si>
    <t>utiliser la barre de recherche</t>
  </si>
  <si>
    <t>trouver une affaire spécifique</t>
  </si>
  <si>
    <t>0.2. ACCUEIL ADMIN</t>
  </si>
  <si>
    <t>UC_FT_AA_10</t>
  </si>
  <si>
    <t>UC_FT_AA_20</t>
  </si>
  <si>
    <t>UC_FT_AA_30</t>
  </si>
  <si>
    <t>UC_FT_AA_40</t>
  </si>
  <si>
    <t>UC_FT_AA_50</t>
  </si>
  <si>
    <t>UC_FT_AA_60</t>
  </si>
  <si>
    <t>UC_FT_AA_70</t>
  </si>
  <si>
    <t>UC_FT_DF_10</t>
  </si>
  <si>
    <t>UC_FT_DF_20</t>
  </si>
  <si>
    <t>UC_FT_DF_30</t>
  </si>
  <si>
    <t>UC_FT_DF_40</t>
  </si>
  <si>
    <t>UC_FT_DF_50</t>
  </si>
  <si>
    <t>UC_FT_DF_60</t>
  </si>
  <si>
    <t>UC_FT_DF_70</t>
  </si>
  <si>
    <t>0.3. ACCUEIL DEVELOPPEUR FONCIER</t>
  </si>
  <si>
    <t>UC_FT_FT</t>
  </si>
  <si>
    <t>0,2</t>
  </si>
  <si>
    <t>Accueil Admin</t>
  </si>
  <si>
    <t>0.3</t>
  </si>
  <si>
    <t>Accueil Développeur Foncier</t>
  </si>
  <si>
    <t>UC_FT_AA</t>
  </si>
  <si>
    <t>UC_FT_DF</t>
  </si>
  <si>
    <t>Origine et type d'affaire</t>
  </si>
  <si>
    <t>UC_OA</t>
  </si>
  <si>
    <t>UC_OA_OA</t>
  </si>
  <si>
    <t>14. ORIGINE ET TYPE D'AFFAIRE</t>
  </si>
  <si>
    <t>14.1 ORIGINE ET TYPE D'AFFAIRE</t>
  </si>
  <si>
    <t>RM_OA_OA_10</t>
  </si>
  <si>
    <t>RM_OA_OA_20</t>
  </si>
  <si>
    <t>je sélectionne un développeur foncier</t>
  </si>
  <si>
    <t>il faut afficher dans le select tous les profils de type développeurs fonciers</t>
  </si>
  <si>
    <t>remplir la fiche de l'affaire</t>
  </si>
  <si>
    <t>je sélectionne un apporteur interne</t>
  </si>
  <si>
    <t>il faut afficher dans le select tous les profils de type développeurs fonciers, direction générale</t>
  </si>
  <si>
    <t>sélectionner un développeur foncier (facultatif)</t>
  </si>
  <si>
    <t>sélectionner un apporteur interne (facultatif)</t>
  </si>
  <si>
    <t>sélectionner une priorité à l'affaire</t>
  </si>
  <si>
    <t>RM_OA_OA_30</t>
  </si>
  <si>
    <t>RM_OA_OA_40</t>
  </si>
  <si>
    <t>après validation du formulaire, la priorité de l'affaire n'a pas été définie</t>
  </si>
  <si>
    <t>Pas de données</t>
  </si>
  <si>
    <t>mettre à jour son adresse</t>
  </si>
  <si>
    <t>modifier le numéro de rue d'adresse de l'affaire</t>
  </si>
  <si>
    <t>modifier le nom de la rue d'adresse de l'affaire</t>
  </si>
  <si>
    <t>modifier la ville de l'affaire</t>
  </si>
  <si>
    <t>modifier le code postal de l'affaire</t>
  </si>
  <si>
    <t>modifier le département de l'affaire</t>
  </si>
  <si>
    <t>modifier le pays de l'affaire</t>
  </si>
  <si>
    <t>modifier la latitude de l'affaire</t>
  </si>
  <si>
    <t>modifier la longitude de l'affaire</t>
  </si>
  <si>
    <t>renseigner la surface du terrain approximatif</t>
  </si>
  <si>
    <t>mettre à jour les informations</t>
  </si>
  <si>
    <t>renseigner le nombre de lots approximatifs</t>
  </si>
  <si>
    <t>NE PEUX PAS le type de l'affaire</t>
  </si>
  <si>
    <t>choisir un type d'origine de l'affaire (facultatif)</t>
  </si>
  <si>
    <t>mettre à jour les informations sur l'origine de l'affaire</t>
  </si>
  <si>
    <t>modifier mon commentaire</t>
  </si>
  <si>
    <t>mettre à jour d'autres informations</t>
  </si>
  <si>
    <t>cliquer sur "valider"</t>
  </si>
  <si>
    <t>Valeurs négatifs acceptées</t>
  </si>
  <si>
    <t>RM_OA_OA_50</t>
  </si>
  <si>
    <t>RM_OA_OA_60</t>
  </si>
  <si>
    <t>RM_OA_OA_70</t>
  </si>
  <si>
    <t>RM_OA_OA_80</t>
  </si>
  <si>
    <t>RM_OA_OA_90</t>
  </si>
  <si>
    <t>RM_OA_OA_100</t>
  </si>
  <si>
    <t>RM_OA_OA_110</t>
  </si>
  <si>
    <t>RM_OA_OA_120</t>
  </si>
  <si>
    <t>RM_OA_OA_130</t>
  </si>
  <si>
    <t>après validation du formulaire, le numéro de rue est vide</t>
  </si>
  <si>
    <t>après validation du formulaire, le champs "Code postal" est video</t>
  </si>
  <si>
    <t xml:space="preserve">après validation du formulaire, le champs "département" est vide </t>
  </si>
  <si>
    <t>après validation du formulaire, le champs "Pays" est vide</t>
  </si>
  <si>
    <t>après validation du formulaire, il faut vérifier que les données entrées ne soient pas négatifs</t>
  </si>
  <si>
    <t>après validation du formulaire, si el champs "commentaire" est vide</t>
  </si>
  <si>
    <t>après validation du formulaire, il faut vérifier que les données obligatoires soient remplis</t>
  </si>
  <si>
    <t>RM_OA_OA_95</t>
  </si>
  <si>
    <t>après validation du formulaire, il faut vérifier que les données entrées ne soient que des chiffres</t>
  </si>
  <si>
    <t>RM_OA_OA_96</t>
  </si>
  <si>
    <t>uploader un nouveau média</t>
  </si>
  <si>
    <t>ajouter un nouveau média</t>
  </si>
  <si>
    <t>photo remplacé et non ajouté dans accueil de l'affaire.
De plus, je peux switcher de photos même si je n'ai qu'une photo. Cela me montre des carrés blancs</t>
  </si>
  <si>
    <t>UC_PF_CA_45</t>
  </si>
  <si>
    <t>rensiegner la longitude et la latiude</t>
  </si>
  <si>
    <t>Pas de message d'erreur et impossible de créer l'affaire. Il faut quitter le formulaire et recommencer le processus</t>
  </si>
  <si>
    <t>RM_PF_CA_11</t>
  </si>
  <si>
    <t>après validation, la latitude et la longitude contiennent au moins un caractère non numérique</t>
  </si>
  <si>
    <t>Si un champ est non ou mal rempli, impossible de créer l'affaire. Mais aucun message d'erreur n'apparaît pour expliquer l'impossibilité de créer une affaire.
Il peut y avoir un doublon au niveau de la référence. La référence doit être unique</t>
  </si>
  <si>
    <t>01/12/2017
27/12/2017</t>
  </si>
  <si>
    <t>15/11/2017
27/12/2017</t>
  </si>
  <si>
    <t>A séparer</t>
  </si>
  <si>
    <t>A supprimer</t>
  </si>
  <si>
    <t>A conserver en indiquant la liste des champs obligatoires</t>
  </si>
  <si>
    <t>quand? À la soumission du formulaire ?</t>
  </si>
  <si>
    <t>IDEM champs mandatory</t>
  </si>
  <si>
    <t>à séparer</t>
  </si>
  <si>
    <t>il faut : 
• vérifier la force du mot de passe
• vérifier que le mot de passe soit identique à ce qu'il a entré dans le premier champs
• le redirigier vers la page de connexion à la validation du mot de passe</t>
  </si>
  <si>
    <t>• il faut bloquer la modification de la référence
• il faut mettre l'affaire en état "en cours"
• par défaut, la priorité de l'affaire est mis à "A définir"
• il ne doit pas y avoir de doublons au niceau de la référence de l'affaire</t>
  </si>
  <si>
    <t>NON A SUPPRIMER</t>
  </si>
  <si>
    <t>Sur un écran contenant un formulaire</t>
  </si>
  <si>
    <t>RM qui dit quels champs sont obligatoires</t>
  </si>
  <si>
    <t>RM par champs si masque de saisie</t>
  </si>
  <si>
    <t>RM par champ de liste pour expliquer d'où vient la liste</t>
  </si>
  <si>
    <t>????</t>
  </si>
  <si>
    <t>après validation, le champ "Nom" est vide</t>
  </si>
  <si>
    <t>il n'est pas possible pour le moment de supprimer un user.</t>
  </si>
  <si>
    <t>UC_GU_AU_45 ,UC_GU_AU_46 ,UC_GU_AU_47 ,UC_GU_AU_49 ,UC_GU_AU_49.1 ,UC_GU_AU_49.2 ,UC_GU_AU_49.3 ,UC_GU_AU_49.4 ,UC_GU_AU_60</t>
  </si>
  <si>
    <t>Les champs obligatoires sont : nom,prénom, numéro de rue, rue, code postal, ville, pays, statut. Si un de ces champs n'est pas rempli je dois avoir un message m'indiquant que le champ est obligatoire.</t>
  </si>
  <si>
    <t>RM_GU_AU_140</t>
  </si>
  <si>
    <t>il faut afficher un message d'erreurs indiquant quels champs obligatoires ne sont pas remplis</t>
  </si>
  <si>
    <t>NB RM</t>
  </si>
  <si>
    <t>12.2 PROPRIETAIRE DU TERRAIN</t>
  </si>
  <si>
    <t>il faut :
• vérifier que l'adresse entrée manuellement ou via la géolocalisation est unique dans la base de donnée. Sinon il faut afficher un message d'erreur
• générer la référence de l'affaire à partir de l'adresse.</t>
  </si>
  <si>
    <t>• il faut bloquer la modification de la référence
• administrer l'utilisateur en tant que Développeur Foncier pour l'affaire dont il a créé tout en gardant les droits d'admin
• il faut mettre l'affaire en était "en cours"</t>
  </si>
  <si>
    <t>NB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</si>
</sst>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50">
    <font>
      <sz val="10"/>
      <color rgb="FF000000"/>
      <name val="Arial"/>
    </font>
    <font>
      <sz val="10"/>
      <name val="Arial"/>
      <family val="2"/>
    </font>
    <font>
      <sz val="10"/>
      <name val="Arial"/>
      <family val="2"/>
    </font>
    <font>
      <sz val="36"/>
      <color rgb="FFFFFFFF"/>
      <name val="Roboto"/>
    </font>
    <font>
      <b/>
      <sz val="10"/>
      <name val="Roboto"/>
    </font>
    <font>
      <b/>
      <sz val="10"/>
      <color rgb="FFFFFFFF"/>
      <name val="Roboto"/>
    </font>
    <font>
      <b/>
      <sz val="12"/>
      <color rgb="FFFFFFFF"/>
      <name val="Roboto"/>
    </font>
    <font>
      <b/>
      <sz val="10"/>
      <color rgb="FFFFFFFF"/>
      <name val="Roboto"/>
    </font>
    <font>
      <b/>
      <sz val="24"/>
      <color rgb="FF000000"/>
      <name val="Roboto"/>
    </font>
    <font>
      <sz val="11"/>
      <color rgb="FFFFFFFF"/>
      <name val="Roboto"/>
    </font>
    <font>
      <b/>
      <sz val="24"/>
      <name val="Roboto"/>
    </font>
    <font>
      <sz val="14"/>
      <color rgb="FFFFFFFF"/>
      <name val="Roboto"/>
    </font>
    <font>
      <b/>
      <sz val="14"/>
      <color rgb="FF000000"/>
      <name val="Roboto"/>
    </font>
    <font>
      <b/>
      <sz val="11"/>
      <color rgb="FF000000"/>
      <name val="Roboto"/>
    </font>
    <font>
      <sz val="11"/>
      <color rgb="FF000000"/>
      <name val="Roboto"/>
    </font>
    <font>
      <b/>
      <sz val="11"/>
      <color rgb="FFFFFFFF"/>
      <name val="Roboto"/>
    </font>
    <font>
      <sz val="11"/>
      <name val="Roboto"/>
    </font>
    <font>
      <b/>
      <sz val="11"/>
      <color rgb="FFFF0000"/>
      <name val="Roboto"/>
    </font>
    <font>
      <sz val="10"/>
      <color rgb="FFFFFFFF"/>
      <name val="Roboto"/>
    </font>
    <font>
      <b/>
      <u/>
      <sz val="10"/>
      <color rgb="FFFFFFFF"/>
      <name val="Roboto"/>
    </font>
    <font>
      <sz val="11"/>
      <name val="Arial"/>
      <family val="2"/>
    </font>
    <font>
      <b/>
      <sz val="10"/>
      <color rgb="FF000000"/>
      <name val="Roboto"/>
    </font>
    <font>
      <sz val="10"/>
      <color rgb="FF000000"/>
      <name val="Arial"/>
      <family val="2"/>
    </font>
    <font>
      <b/>
      <sz val="11"/>
      <name val="Roboto"/>
    </font>
    <font>
      <b/>
      <u/>
      <sz val="10"/>
      <color rgb="FFFFFFFF"/>
      <name val="Roboto"/>
    </font>
    <font>
      <sz val="10"/>
      <color rgb="FF000000"/>
      <name val="Roboto"/>
    </font>
    <font>
      <sz val="10"/>
      <color rgb="FF000000"/>
      <name val="Arial"/>
      <family val="2"/>
    </font>
    <font>
      <b/>
      <sz val="10"/>
      <color rgb="FFF3F3F3"/>
      <name val="Arial"/>
      <family val="2"/>
    </font>
    <font>
      <u/>
      <sz val="10"/>
      <color theme="10"/>
      <name val="Arial"/>
      <family val="2"/>
    </font>
    <font>
      <u/>
      <sz val="10"/>
      <color theme="1"/>
      <name val="Arial"/>
      <family val="2"/>
    </font>
    <font>
      <sz val="11"/>
      <color theme="1"/>
      <name val="Roboto"/>
    </font>
    <font>
      <u/>
      <sz val="11"/>
      <color theme="1"/>
      <name val="Arial"/>
      <family val="2"/>
    </font>
    <font>
      <b/>
      <sz val="11"/>
      <color theme="1"/>
      <name val="Roboto"/>
    </font>
    <font>
      <sz val="11"/>
      <color theme="1"/>
      <name val="Arial"/>
      <family val="2"/>
    </font>
    <font>
      <b/>
      <sz val="10"/>
      <color theme="0"/>
      <name val="Arial"/>
      <family val="2"/>
    </font>
    <font>
      <u/>
      <sz val="11"/>
      <color theme="10"/>
      <name val="Arial"/>
      <family val="2"/>
    </font>
    <font>
      <sz val="11"/>
      <color rgb="FF000000"/>
      <name val="Arial"/>
      <family val="2"/>
    </font>
    <font>
      <sz val="11"/>
      <name val="Arial"/>
      <family val="2"/>
    </font>
    <font>
      <b/>
      <u/>
      <sz val="11"/>
      <color rgb="FFFF0000"/>
      <name val="Arial"/>
      <family val="2"/>
    </font>
    <font>
      <u/>
      <sz val="11"/>
      <color theme="10"/>
      <name val="Roboto"/>
    </font>
    <font>
      <u/>
      <sz val="11"/>
      <color theme="1"/>
      <name val="Roboto"/>
    </font>
    <font>
      <sz val="10"/>
      <color rgb="FF000000"/>
      <name val="Arial"/>
      <family val="2"/>
    </font>
    <font>
      <b/>
      <sz val="20"/>
      <name val="Roboto"/>
    </font>
    <font>
      <b/>
      <sz val="20"/>
      <color rgb="FF000000"/>
      <name val="Roboto"/>
    </font>
    <font>
      <sz val="11"/>
      <color rgb="FF9C0006"/>
      <name val="Calibri"/>
      <family val="2"/>
      <scheme val="minor"/>
    </font>
    <font>
      <sz val="11"/>
      <color rgb="FF9C5700"/>
      <name val="Calibri"/>
      <family val="2"/>
      <scheme val="minor"/>
    </font>
    <font>
      <b/>
      <sz val="22"/>
      <name val="Roboto"/>
    </font>
    <font>
      <b/>
      <sz val="10"/>
      <color rgb="FF000000"/>
      <name val="Arial"/>
      <family val="2"/>
    </font>
    <font>
      <b/>
      <sz val="20"/>
      <color theme="0" tint="-0.499984740745262"/>
      <name val="Roboto"/>
    </font>
    <font>
      <sz val="11"/>
      <name val="Calibri"/>
      <family val="2"/>
      <scheme val="minor"/>
    </font>
  </fonts>
  <fills count="32">
    <fill>
      <patternFill patternType="none"/>
    </fill>
    <fill>
      <patternFill patternType="gray125"/>
    </fill>
    <fill>
      <patternFill patternType="solid">
        <fgColor rgb="FF515151"/>
        <bgColor rgb="FF515151"/>
      </patternFill>
    </fill>
    <fill>
      <patternFill patternType="solid">
        <fgColor rgb="FFFFFFFF"/>
        <bgColor rgb="FFFFFFFF"/>
      </patternFill>
    </fill>
    <fill>
      <patternFill patternType="solid">
        <fgColor rgb="FF240058"/>
        <bgColor rgb="FF240058"/>
      </patternFill>
    </fill>
    <fill>
      <patternFill patternType="solid">
        <fgColor rgb="FF596E7C"/>
        <bgColor rgb="FF596E7C"/>
      </patternFill>
    </fill>
    <fill>
      <patternFill patternType="solid">
        <fgColor rgb="FFF8F8F8"/>
        <bgColor rgb="FFF8F8F8"/>
      </patternFill>
    </fill>
    <fill>
      <patternFill patternType="solid">
        <fgColor rgb="FFEEEEEE"/>
        <bgColor rgb="FFEEEEEE"/>
      </patternFill>
    </fill>
    <fill>
      <patternFill patternType="solid">
        <fgColor rgb="FFEFEFEF"/>
        <bgColor rgb="FFEFEFEF"/>
      </patternFill>
    </fill>
    <fill>
      <patternFill patternType="solid">
        <fgColor rgb="FFF1C232"/>
        <bgColor rgb="FFF1C232"/>
      </patternFill>
    </fill>
    <fill>
      <patternFill patternType="solid">
        <fgColor rgb="FFD9D9D9"/>
        <bgColor rgb="FFD9D9D9"/>
      </patternFill>
    </fill>
    <fill>
      <patternFill patternType="solid">
        <fgColor rgb="FFA70447"/>
        <bgColor rgb="FFA70447"/>
      </patternFill>
    </fill>
    <fill>
      <patternFill patternType="solid">
        <fgColor rgb="FF6AA84F"/>
        <bgColor rgb="FF6AA84F"/>
      </patternFill>
    </fill>
    <fill>
      <patternFill patternType="solid">
        <fgColor rgb="FFCC0000"/>
        <bgColor rgb="FFCC0000"/>
      </patternFill>
    </fill>
    <fill>
      <patternFill patternType="solid">
        <fgColor theme="0" tint="-0.14999847407452621"/>
        <bgColor rgb="FFD9D9D9"/>
      </patternFill>
    </fill>
    <fill>
      <patternFill patternType="solid">
        <fgColor theme="0" tint="-4.9989318521683403E-2"/>
        <bgColor rgb="FFD9D9D9"/>
      </patternFill>
    </fill>
    <fill>
      <patternFill patternType="solid">
        <fgColor theme="0" tint="-0.14999847407452621"/>
        <bgColor rgb="FFEFEFEF"/>
      </patternFill>
    </fill>
    <fill>
      <patternFill patternType="solid">
        <fgColor theme="0" tint="-4.9989318521683403E-2"/>
        <bgColor rgb="FFEFEFEF"/>
      </patternFill>
    </fill>
    <fill>
      <patternFill patternType="solid">
        <fgColor rgb="FF51515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rgb="FF515151"/>
      </patternFill>
    </fill>
    <fill>
      <patternFill patternType="solid">
        <fgColor theme="0"/>
        <bgColor indexed="64"/>
      </patternFill>
    </fill>
    <fill>
      <patternFill patternType="solid">
        <fgColor theme="0" tint="-4.9989318521683403E-2"/>
        <bgColor rgb="FFFF0000"/>
      </patternFill>
    </fill>
    <fill>
      <patternFill patternType="solid">
        <fgColor theme="0" tint="-4.9989318521683403E-2"/>
        <bgColor rgb="FFF1C232"/>
      </patternFill>
    </fill>
    <fill>
      <patternFill patternType="solid">
        <fgColor theme="0"/>
        <bgColor rgb="FFEFEFEF"/>
      </patternFill>
    </fill>
    <fill>
      <patternFill patternType="solid">
        <fgColor theme="0"/>
        <bgColor rgb="FFF1C232"/>
      </patternFill>
    </fill>
    <fill>
      <patternFill patternType="solid">
        <fgColor theme="0" tint="-0.14999847407452621"/>
        <bgColor rgb="FFF1C232"/>
      </patternFill>
    </fill>
    <fill>
      <patternFill patternType="solid">
        <fgColor theme="0" tint="-0.14999847407452621"/>
        <bgColor rgb="FFFFFFFF"/>
      </patternFill>
    </fill>
    <fill>
      <patternFill patternType="solid">
        <fgColor rgb="FFFFC7CE"/>
      </patternFill>
    </fill>
    <fill>
      <patternFill patternType="solid">
        <fgColor rgb="FFFFEB9C"/>
      </patternFill>
    </fill>
    <fill>
      <patternFill patternType="solid">
        <fgColor theme="0"/>
        <bgColor rgb="FFFFFFFF"/>
      </patternFill>
    </fill>
  </fills>
  <borders count="79">
    <border>
      <left/>
      <right/>
      <top/>
      <bottom/>
      <diagonal/>
    </border>
    <border>
      <left/>
      <right/>
      <top/>
      <bottom/>
      <diagonal/>
    </border>
    <border>
      <left/>
      <right/>
      <top/>
      <bottom style="thick">
        <color rgb="FF000000"/>
      </bottom>
      <diagonal/>
    </border>
    <border>
      <left/>
      <right/>
      <top/>
      <bottom style="thin">
        <color rgb="FFFFFFFF"/>
      </bottom>
      <diagonal/>
    </border>
    <border>
      <left style="thin">
        <color rgb="FFFFFFFF"/>
      </left>
      <right style="thin">
        <color rgb="FFFFFFFF"/>
      </right>
      <top/>
      <bottom/>
      <diagonal/>
    </border>
    <border>
      <left style="thin">
        <color rgb="FF596E7C"/>
      </left>
      <right/>
      <top/>
      <bottom/>
      <diagonal/>
    </border>
    <border>
      <left/>
      <right/>
      <top/>
      <bottom style="thick">
        <color rgb="FF000000"/>
      </bottom>
      <diagonal/>
    </border>
    <border>
      <left/>
      <right style="thin">
        <color rgb="FFFFFFFF"/>
      </right>
      <top/>
      <bottom/>
      <diagonal/>
    </border>
    <border>
      <left style="thin">
        <color rgb="FFFFFFFF"/>
      </left>
      <right/>
      <top/>
      <bottom/>
      <diagonal/>
    </border>
    <border>
      <left style="thin">
        <color rgb="FFFFFFFF"/>
      </left>
      <right/>
      <top style="thin">
        <color rgb="FFFFFFFF"/>
      </top>
      <bottom/>
      <diagonal/>
    </border>
    <border>
      <left/>
      <right/>
      <top style="thin">
        <color rgb="FFFFFFFF"/>
      </top>
      <bottom/>
      <diagonal/>
    </border>
    <border>
      <left/>
      <right style="thin">
        <color rgb="FF596E7C"/>
      </right>
      <top/>
      <bottom/>
      <diagonal/>
    </border>
    <border>
      <left style="thin">
        <color rgb="FF596E7C"/>
      </left>
      <right/>
      <top/>
      <bottom style="thin">
        <color rgb="FF596E7C"/>
      </bottom>
      <diagonal/>
    </border>
    <border>
      <left/>
      <right style="thin">
        <color rgb="FFFFFFFF"/>
      </right>
      <top/>
      <bottom style="thin">
        <color rgb="FF596E7C"/>
      </bottom>
      <diagonal/>
    </border>
    <border>
      <left style="thin">
        <color rgb="FFFFFFFF"/>
      </left>
      <right style="thin">
        <color rgb="FFFFFFFF"/>
      </right>
      <top/>
      <bottom style="thin">
        <color rgb="FF596E7C"/>
      </bottom>
      <diagonal/>
    </border>
    <border>
      <left/>
      <right style="thin">
        <color rgb="FFFFFFFF"/>
      </right>
      <top style="thin">
        <color rgb="FFFFFFFF"/>
      </top>
      <bottom/>
      <diagonal/>
    </border>
    <border>
      <left/>
      <right/>
      <top/>
      <bottom style="thin">
        <color rgb="FF596E7C"/>
      </bottom>
      <diagonal/>
    </border>
    <border>
      <left/>
      <right style="thin">
        <color rgb="FF596E7C"/>
      </right>
      <top/>
      <bottom style="thin">
        <color rgb="FF596E7C"/>
      </bottom>
      <diagonal/>
    </border>
    <border>
      <left/>
      <right style="thin">
        <color rgb="FFFFFFFF"/>
      </right>
      <top/>
      <bottom style="thin">
        <color rgb="FFFFFFFF"/>
      </bottom>
      <diagonal/>
    </border>
    <border>
      <left style="thin">
        <color rgb="FF000000"/>
      </left>
      <right/>
      <top/>
      <bottom/>
      <diagonal/>
    </border>
    <border>
      <left/>
      <right style="thin">
        <color rgb="FF000000"/>
      </right>
      <top/>
      <bottom/>
      <diagonal/>
    </border>
    <border>
      <left style="thin">
        <color rgb="FFFFFFFF"/>
      </left>
      <right/>
      <top style="thin">
        <color rgb="FFFFFFFF"/>
      </top>
      <bottom style="thin">
        <color rgb="FFFFFFFF"/>
      </bottom>
      <diagonal/>
    </border>
    <border>
      <left style="thin">
        <color rgb="FF000000"/>
      </left>
      <right/>
      <top/>
      <bottom style="thin">
        <color rgb="FF000000"/>
      </bottom>
      <diagonal/>
    </border>
    <border>
      <left style="thin">
        <color rgb="FFFFFFFF"/>
      </left>
      <right/>
      <top/>
      <bottom style="thin">
        <color rgb="FFFFFFFF"/>
      </bottom>
      <diagonal/>
    </border>
    <border>
      <left/>
      <right style="thin">
        <color rgb="FF000000"/>
      </right>
      <top/>
      <bottom style="thin">
        <color rgb="FF000000"/>
      </bottom>
      <diagonal/>
    </border>
    <border>
      <left/>
      <right/>
      <top/>
      <bottom style="thin">
        <color rgb="FF000000"/>
      </bottom>
      <diagonal/>
    </border>
    <border>
      <left style="thin">
        <color rgb="FFFFFFFF"/>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style="thin">
        <color rgb="FFFFFFFF"/>
      </left>
      <right style="thin">
        <color rgb="FFFFFFFF"/>
      </right>
      <top style="thin">
        <color rgb="FFFFFFFF"/>
      </top>
      <bottom/>
      <diagonal/>
    </border>
    <border>
      <left/>
      <right style="thin">
        <color rgb="FFFFFFFF"/>
      </right>
      <top style="thin">
        <color rgb="FFFFFFFF"/>
      </top>
      <bottom style="thin">
        <color rgb="FFFFFFFF"/>
      </bottom>
      <diagonal/>
    </border>
    <border>
      <left/>
      <right/>
      <top/>
      <bottom style="medium">
        <color rgb="FF000000"/>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thin">
        <color rgb="FFFFFFFF"/>
      </top>
      <bottom style="medium">
        <color rgb="FFFFFFFF"/>
      </bottom>
      <diagonal/>
    </border>
    <border>
      <left/>
      <right style="thin">
        <color rgb="FFFFFFFF"/>
      </right>
      <top style="thin">
        <color rgb="FFFFFFFF"/>
      </top>
      <bottom style="medium">
        <color rgb="FFFFFFFF"/>
      </bottom>
      <diagonal/>
    </border>
    <border>
      <left/>
      <right/>
      <top style="thin">
        <color rgb="FFFFFFFF"/>
      </top>
      <bottom style="medium">
        <color rgb="FFFFFFFF"/>
      </bottom>
      <diagonal/>
    </border>
    <border>
      <left style="thin">
        <color rgb="FF000000"/>
      </left>
      <right style="thin">
        <color rgb="FF000000"/>
      </right>
      <top/>
      <bottom style="thin">
        <color rgb="FF000000"/>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diagonal/>
    </border>
    <border>
      <left/>
      <right style="thin">
        <color theme="0"/>
      </right>
      <top/>
      <bottom style="thin">
        <color rgb="FF596E7C"/>
      </bottom>
      <diagonal/>
    </border>
    <border>
      <left style="thin">
        <color indexed="64"/>
      </left>
      <right style="thin">
        <color indexed="64"/>
      </right>
      <top/>
      <bottom style="thin">
        <color indexed="64"/>
      </bottom>
      <diagonal/>
    </border>
    <border>
      <left/>
      <right style="thin">
        <color rgb="FF000000"/>
      </right>
      <top style="thin">
        <color rgb="FFFFFFFF"/>
      </top>
      <bottom/>
      <diagonal/>
    </border>
    <border>
      <left style="thin">
        <color rgb="FFFFFFFF"/>
      </left>
      <right/>
      <top/>
      <bottom style="thin">
        <color rgb="FF596E7C"/>
      </bottom>
      <diagonal/>
    </border>
    <border>
      <left style="thin">
        <color theme="0"/>
      </left>
      <right/>
      <top/>
      <bottom/>
      <diagonal/>
    </border>
    <border>
      <left style="thin">
        <color theme="0"/>
      </left>
      <right/>
      <top/>
      <bottom style="thin">
        <color rgb="FF596E7C"/>
      </bottom>
      <diagonal/>
    </border>
    <border>
      <left style="thin">
        <color theme="0"/>
      </left>
      <right style="thin">
        <color theme="0"/>
      </right>
      <top/>
      <bottom style="thin">
        <color theme="0"/>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rgb="FFFFFFFF"/>
      </left>
      <right/>
      <top style="medium">
        <color rgb="FFFFFFFF"/>
      </top>
      <bottom style="medium">
        <color rgb="FFFFFFFF"/>
      </bottom>
      <diagonal/>
    </border>
    <border>
      <left style="thin">
        <color theme="0"/>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style="thin">
        <color theme="0"/>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theme="0"/>
      </right>
      <top style="thin">
        <color indexed="64"/>
      </top>
      <bottom/>
      <diagonal/>
    </border>
    <border>
      <left style="thin">
        <color theme="0"/>
      </left>
      <right style="thin">
        <color theme="0"/>
      </right>
      <top style="thin">
        <color indexed="64"/>
      </top>
      <bottom/>
      <diagonal/>
    </border>
    <border>
      <left style="thin">
        <color indexed="64"/>
      </left>
      <right/>
      <top style="thin">
        <color indexed="64"/>
      </top>
      <bottom/>
      <diagonal/>
    </border>
    <border>
      <left style="thin">
        <color indexed="64"/>
      </left>
      <right/>
      <top/>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style="thin">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s>
  <cellStyleXfs count="4">
    <xf numFmtId="0" fontId="0" fillId="0" borderId="0"/>
    <xf numFmtId="0" fontId="28" fillId="0" borderId="0" applyNumberFormat="0" applyFill="0" applyBorder="0" applyAlignment="0" applyProtection="0"/>
    <xf numFmtId="0" fontId="44" fillId="29" borderId="0" applyNumberFormat="0" applyBorder="0" applyAlignment="0" applyProtection="0"/>
    <xf numFmtId="0" fontId="45" fillId="30" borderId="0" applyNumberFormat="0" applyBorder="0" applyAlignment="0" applyProtection="0"/>
  </cellStyleXfs>
  <cellXfs count="501">
    <xf numFmtId="0" fontId="0" fillId="0" borderId="0" xfId="0" applyFont="1" applyAlignment="1"/>
    <xf numFmtId="0" fontId="1" fillId="2" borderId="0" xfId="0" applyFont="1" applyFill="1"/>
    <xf numFmtId="0" fontId="2" fillId="2" borderId="0" xfId="0" applyFont="1" applyFill="1" applyAlignment="1"/>
    <xf numFmtId="0" fontId="2" fillId="2" borderId="1" xfId="0" applyFont="1" applyFill="1" applyBorder="1" applyAlignment="1"/>
    <xf numFmtId="0" fontId="3" fillId="2" borderId="1" xfId="0" applyFont="1" applyFill="1" applyBorder="1" applyAlignment="1">
      <alignment horizontal="center"/>
    </xf>
    <xf numFmtId="0" fontId="4" fillId="0" borderId="0" xfId="0" applyFont="1" applyAlignment="1">
      <alignment vertical="center"/>
    </xf>
    <xf numFmtId="0" fontId="7" fillId="2" borderId="0" xfId="0" applyFont="1" applyFill="1" applyAlignment="1">
      <alignment horizontal="center"/>
    </xf>
    <xf numFmtId="0" fontId="1" fillId="2" borderId="0" xfId="0" applyFont="1" applyFill="1" applyAlignment="1"/>
    <xf numFmtId="0" fontId="8" fillId="3" borderId="2" xfId="0" applyFont="1" applyFill="1" applyBorder="1" applyAlignment="1">
      <alignment vertical="center"/>
    </xf>
    <xf numFmtId="0" fontId="1" fillId="0" borderId="2" xfId="0" applyFont="1" applyBorder="1"/>
    <xf numFmtId="0" fontId="7" fillId="2" borderId="26" xfId="0" applyFont="1" applyFill="1" applyBorder="1" applyAlignment="1">
      <alignment horizontal="center" vertical="center" wrapText="1"/>
    </xf>
    <xf numFmtId="0" fontId="15" fillId="9" borderId="26" xfId="0" applyFont="1" applyFill="1" applyBorder="1" applyAlignment="1">
      <alignment horizontal="center" vertical="center" wrapText="1"/>
    </xf>
    <xf numFmtId="0" fontId="16" fillId="8" borderId="26" xfId="0" applyFont="1" applyFill="1" applyBorder="1" applyAlignment="1">
      <alignment horizontal="center" vertical="center"/>
    </xf>
    <xf numFmtId="0" fontId="16" fillId="10" borderId="26" xfId="0" applyFont="1" applyFill="1" applyBorder="1" applyAlignment="1">
      <alignment horizontal="center" vertical="center"/>
    </xf>
    <xf numFmtId="0" fontId="7" fillId="2" borderId="28"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7" fillId="8" borderId="27" xfId="0" applyFont="1" applyFill="1" applyBorder="1" applyAlignment="1">
      <alignment horizontal="center" vertical="center" wrapText="1"/>
    </xf>
    <xf numFmtId="0" fontId="17" fillId="8" borderId="26" xfId="0" applyFont="1" applyFill="1" applyBorder="1" applyAlignment="1">
      <alignment horizontal="center" vertical="center" wrapText="1"/>
    </xf>
    <xf numFmtId="0" fontId="16" fillId="0" borderId="0" xfId="0" applyFont="1" applyAlignment="1">
      <alignment horizontal="left" vertical="center"/>
    </xf>
    <xf numFmtId="0" fontId="15" fillId="8" borderId="26" xfId="0" applyFont="1" applyFill="1" applyBorder="1" applyAlignment="1">
      <alignment horizontal="center" vertical="center" wrapText="1"/>
    </xf>
    <xf numFmtId="0" fontId="16" fillId="0" borderId="0" xfId="0" applyFont="1" applyAlignment="1">
      <alignment vertical="center"/>
    </xf>
    <xf numFmtId="0" fontId="16" fillId="0" borderId="0" xfId="0" applyFont="1" applyAlignment="1">
      <alignment vertical="center" wrapText="1"/>
    </xf>
    <xf numFmtId="0" fontId="14" fillId="0" borderId="0" xfId="0" applyFont="1" applyAlignment="1">
      <alignment vertical="center" wrapText="1"/>
    </xf>
    <xf numFmtId="0" fontId="17" fillId="10" borderId="26" xfId="0" applyFont="1" applyFill="1" applyBorder="1" applyAlignment="1">
      <alignment horizontal="center" vertical="center" wrapText="1"/>
    </xf>
    <xf numFmtId="0" fontId="15" fillId="3" borderId="26" xfId="0" applyFont="1" applyFill="1" applyBorder="1" applyAlignment="1">
      <alignment horizontal="center" vertical="center" wrapText="1"/>
    </xf>
    <xf numFmtId="0" fontId="17" fillId="10" borderId="27" xfId="0" applyFont="1" applyFill="1" applyBorder="1" applyAlignment="1">
      <alignment horizontal="center" vertical="center" wrapText="1"/>
    </xf>
    <xf numFmtId="0" fontId="4" fillId="10" borderId="26" xfId="0" applyFont="1" applyFill="1" applyBorder="1" applyAlignment="1">
      <alignment horizontal="center" vertical="center" wrapText="1"/>
    </xf>
    <xf numFmtId="0" fontId="4" fillId="8" borderId="26" xfId="0" applyFont="1" applyFill="1" applyBorder="1" applyAlignment="1">
      <alignment horizontal="center" vertical="center" wrapText="1"/>
    </xf>
    <xf numFmtId="0" fontId="17" fillId="3" borderId="0" xfId="0" applyFont="1" applyFill="1" applyAlignment="1">
      <alignment horizontal="center" vertical="center" wrapText="1"/>
    </xf>
    <xf numFmtId="0" fontId="15" fillId="3" borderId="0" xfId="0" applyFont="1" applyFill="1" applyAlignment="1">
      <alignment horizontal="center" vertical="center" wrapText="1"/>
    </xf>
    <xf numFmtId="0" fontId="14" fillId="8" borderId="0" xfId="0" applyFont="1" applyFill="1" applyAlignment="1">
      <alignment horizontal="center" vertical="center" wrapText="1"/>
    </xf>
    <xf numFmtId="0" fontId="4" fillId="8" borderId="0" xfId="0" applyFont="1" applyFill="1" applyAlignment="1">
      <alignment horizontal="center" vertical="center" wrapText="1"/>
    </xf>
    <xf numFmtId="0" fontId="14" fillId="10" borderId="0" xfId="0" applyFont="1" applyFill="1" applyAlignment="1">
      <alignment horizontal="center" vertical="center" wrapText="1"/>
    </xf>
    <xf numFmtId="0" fontId="4" fillId="10" borderId="0" xfId="0" applyFont="1" applyFill="1" applyAlignment="1">
      <alignment horizontal="center" vertical="center" wrapText="1"/>
    </xf>
    <xf numFmtId="0" fontId="7" fillId="0" borderId="0" xfId="0" applyFont="1" applyAlignment="1">
      <alignment horizontal="center" vertical="center" wrapText="1"/>
    </xf>
    <xf numFmtId="0" fontId="23" fillId="8" borderId="26" xfId="0" applyFont="1" applyFill="1" applyBorder="1" applyAlignment="1">
      <alignment horizontal="center" vertical="center" wrapText="1"/>
    </xf>
    <xf numFmtId="0" fontId="16" fillId="8" borderId="26" xfId="0" applyFont="1" applyFill="1" applyBorder="1" applyAlignment="1">
      <alignment horizontal="center" vertical="center" wrapText="1"/>
    </xf>
    <xf numFmtId="0" fontId="23" fillId="10" borderId="26" xfId="0" applyFont="1" applyFill="1" applyBorder="1" applyAlignment="1">
      <alignment horizontal="center" vertical="center" wrapText="1"/>
    </xf>
    <xf numFmtId="0" fontId="16" fillId="10" borderId="26" xfId="0" applyFont="1" applyFill="1" applyBorder="1" applyAlignment="1">
      <alignment horizontal="center" vertical="center" wrapText="1"/>
    </xf>
    <xf numFmtId="9" fontId="14" fillId="3" borderId="0" xfId="0" applyNumberFormat="1" applyFont="1" applyFill="1" applyAlignment="1">
      <alignment horizontal="center" vertical="center" wrapText="1"/>
    </xf>
    <xf numFmtId="0" fontId="14" fillId="10" borderId="26" xfId="0" applyFont="1" applyFill="1" applyBorder="1" applyAlignment="1">
      <alignment horizontal="center" vertical="center" wrapText="1"/>
    </xf>
    <xf numFmtId="0" fontId="8" fillId="3" borderId="0" xfId="0" applyFont="1" applyFill="1" applyAlignment="1">
      <alignment vertical="center"/>
    </xf>
    <xf numFmtId="0" fontId="14" fillId="8" borderId="26" xfId="0" applyFont="1" applyFill="1" applyBorder="1" applyAlignment="1">
      <alignment horizontal="center" vertical="center" wrapText="1"/>
    </xf>
    <xf numFmtId="0" fontId="14" fillId="3" borderId="0" xfId="0" applyFont="1" applyFill="1" applyAlignment="1">
      <alignment horizontal="center" vertical="center" wrapText="1"/>
    </xf>
    <xf numFmtId="0" fontId="14" fillId="8" borderId="27" xfId="0" applyFont="1" applyFill="1" applyBorder="1" applyAlignment="1">
      <alignment horizontal="center" vertical="center" wrapText="1"/>
    </xf>
    <xf numFmtId="0" fontId="14" fillId="10" borderId="27" xfId="0" applyFont="1" applyFill="1" applyBorder="1" applyAlignment="1">
      <alignment horizontal="center" vertical="center" wrapText="1"/>
    </xf>
    <xf numFmtId="0" fontId="27" fillId="9" borderId="0" xfId="0" applyFont="1" applyFill="1" applyAlignment="1">
      <alignment horizontal="center"/>
    </xf>
    <xf numFmtId="0" fontId="27" fillId="12" borderId="0" xfId="0" applyFont="1" applyFill="1" applyAlignment="1">
      <alignment horizontal="center"/>
    </xf>
    <xf numFmtId="0" fontId="27" fillId="13" borderId="0" xfId="0" applyFont="1" applyFill="1" applyAlignment="1">
      <alignment horizontal="center"/>
    </xf>
    <xf numFmtId="0" fontId="1" fillId="2" borderId="0" xfId="0" applyFont="1" applyFill="1" applyAlignment="1">
      <alignment vertical="center"/>
    </xf>
    <xf numFmtId="0" fontId="3" fillId="2" borderId="0" xfId="0" applyFont="1" applyFill="1" applyAlignment="1">
      <alignment horizontal="center" vertical="center"/>
    </xf>
    <xf numFmtId="0" fontId="4" fillId="2" borderId="0" xfId="0" applyFont="1" applyFill="1" applyAlignment="1">
      <alignment vertical="center"/>
    </xf>
    <xf numFmtId="0" fontId="0" fillId="0" borderId="0" xfId="0" applyFont="1" applyAlignment="1">
      <alignment vertical="center"/>
    </xf>
    <xf numFmtId="0" fontId="7" fillId="2" borderId="0" xfId="0" applyFont="1" applyFill="1" applyAlignment="1">
      <alignment horizontal="center" vertical="center"/>
    </xf>
    <xf numFmtId="0" fontId="4" fillId="0" borderId="30" xfId="0" applyFont="1" applyBorder="1" applyAlignment="1">
      <alignment vertical="center"/>
    </xf>
    <xf numFmtId="0" fontId="10" fillId="0" borderId="0" xfId="0" applyFont="1" applyAlignment="1">
      <alignment vertical="center"/>
    </xf>
    <xf numFmtId="0" fontId="2" fillId="0" borderId="0" xfId="0" applyFont="1" applyAlignment="1">
      <alignment vertical="center"/>
    </xf>
    <xf numFmtId="0" fontId="2" fillId="2" borderId="0" xfId="0" applyFont="1" applyFill="1" applyAlignment="1">
      <alignment vertical="center"/>
    </xf>
    <xf numFmtId="0" fontId="2" fillId="2" borderId="1" xfId="0" applyFont="1" applyFill="1" applyBorder="1" applyAlignment="1">
      <alignment vertical="center"/>
    </xf>
    <xf numFmtId="0" fontId="3" fillId="2" borderId="1" xfId="0" applyFont="1" applyFill="1" applyBorder="1" applyAlignment="1">
      <alignment horizontal="center" vertical="center"/>
    </xf>
    <xf numFmtId="0" fontId="7" fillId="2" borderId="0" xfId="0" applyFont="1" applyFill="1" applyAlignment="1">
      <alignment vertical="center"/>
    </xf>
    <xf numFmtId="0" fontId="6" fillId="2" borderId="0" xfId="0" applyFont="1" applyFill="1" applyAlignment="1">
      <alignment horizontal="left" vertical="center"/>
    </xf>
    <xf numFmtId="0" fontId="1" fillId="0" borderId="2" xfId="0" applyFont="1" applyBorder="1" applyAlignment="1">
      <alignment vertical="center"/>
    </xf>
    <xf numFmtId="0" fontId="1" fillId="3" borderId="0" xfId="0" applyFont="1" applyFill="1" applyAlignment="1">
      <alignment vertical="center"/>
    </xf>
    <xf numFmtId="0" fontId="14" fillId="0" borderId="0" xfId="0" applyFont="1" applyAlignment="1">
      <alignment vertical="center"/>
    </xf>
    <xf numFmtId="9" fontId="14" fillId="0" borderId="0" xfId="0" applyNumberFormat="1" applyFont="1" applyAlignment="1">
      <alignment vertical="center"/>
    </xf>
    <xf numFmtId="9" fontId="17" fillId="3" borderId="0" xfId="0" applyNumberFormat="1" applyFont="1" applyFill="1" applyAlignment="1">
      <alignment horizontal="center" vertical="center" wrapText="1"/>
    </xf>
    <xf numFmtId="9" fontId="2" fillId="3" borderId="0" xfId="0" applyNumberFormat="1" applyFont="1" applyFill="1" applyAlignment="1">
      <alignment vertical="center"/>
    </xf>
    <xf numFmtId="0" fontId="8" fillId="3" borderId="6" xfId="0" applyFont="1" applyFill="1" applyBorder="1" applyAlignment="1">
      <alignment vertical="center"/>
    </xf>
    <xf numFmtId="0" fontId="2" fillId="0" borderId="6" xfId="0" applyFont="1" applyBorder="1" applyAlignment="1">
      <alignment vertical="center"/>
    </xf>
    <xf numFmtId="0" fontId="2" fillId="0" borderId="2" xfId="0" applyFont="1" applyBorder="1" applyAlignment="1">
      <alignment vertical="center"/>
    </xf>
    <xf numFmtId="0" fontId="7" fillId="2" borderId="26" xfId="0" applyFont="1" applyFill="1" applyBorder="1" applyAlignment="1">
      <alignment horizontal="center" vertical="center"/>
    </xf>
    <xf numFmtId="0" fontId="4" fillId="8" borderId="26" xfId="0" applyFont="1" applyFill="1" applyBorder="1" applyAlignment="1">
      <alignment horizontal="center" vertical="center"/>
    </xf>
    <xf numFmtId="0" fontId="4" fillId="10" borderId="26" xfId="0" applyFont="1" applyFill="1" applyBorder="1" applyAlignment="1">
      <alignment horizontal="center" vertical="center"/>
    </xf>
    <xf numFmtId="0" fontId="21" fillId="0" borderId="0" xfId="0" applyFont="1" applyAlignment="1">
      <alignment vertical="center"/>
    </xf>
    <xf numFmtId="0" fontId="4" fillId="3" borderId="0" xfId="0" applyFont="1" applyFill="1" applyAlignment="1">
      <alignment vertical="center"/>
    </xf>
    <xf numFmtId="0" fontId="14" fillId="10" borderId="0" xfId="0" applyFont="1" applyFill="1" applyAlignment="1">
      <alignment horizontal="center" vertical="center"/>
    </xf>
    <xf numFmtId="0" fontId="14" fillId="14" borderId="26" xfId="0" applyFont="1" applyFill="1" applyBorder="1" applyAlignment="1">
      <alignment horizontal="center" vertical="center" wrapText="1"/>
    </xf>
    <xf numFmtId="0" fontId="14" fillId="16" borderId="26" xfId="0" applyFont="1" applyFill="1" applyBorder="1" applyAlignment="1">
      <alignment horizontal="center" vertical="center" wrapText="1"/>
    </xf>
    <xf numFmtId="0" fontId="17" fillId="16" borderId="26" xfId="0" applyFont="1" applyFill="1" applyBorder="1" applyAlignment="1">
      <alignment horizontal="center" vertical="center" wrapText="1"/>
    </xf>
    <xf numFmtId="0" fontId="14" fillId="17" borderId="26" xfId="0" applyFont="1" applyFill="1" applyBorder="1" applyAlignment="1">
      <alignment horizontal="center" vertical="center" wrapText="1"/>
    </xf>
    <xf numFmtId="0" fontId="14" fillId="3" borderId="0" xfId="0" applyFont="1" applyFill="1" applyAlignment="1">
      <alignment vertical="center" wrapText="1"/>
    </xf>
    <xf numFmtId="0" fontId="21" fillId="3" borderId="0" xfId="0" applyFont="1" applyFill="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10" fillId="0" borderId="1" xfId="0" applyFont="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3" xfId="0" applyFont="1" applyBorder="1" applyAlignment="1">
      <alignment vertical="center" wrapText="1"/>
    </xf>
    <xf numFmtId="0" fontId="10" fillId="0" borderId="0" xfId="0" applyFont="1" applyAlignment="1">
      <alignment vertical="center" wrapText="1"/>
    </xf>
    <xf numFmtId="0" fontId="20" fillId="0" borderId="0" xfId="0" applyFont="1" applyAlignment="1">
      <alignment vertical="center" wrapText="1"/>
    </xf>
    <xf numFmtId="0" fontId="0" fillId="0" borderId="0" xfId="0" applyFont="1" applyAlignment="1">
      <alignment horizontal="center" vertical="center" wrapText="1"/>
    </xf>
    <xf numFmtId="0" fontId="10"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5" fillId="9" borderId="26" xfId="0" applyFont="1" applyFill="1" applyBorder="1" applyAlignment="1">
      <alignment horizontal="center" vertical="center"/>
    </xf>
    <xf numFmtId="9" fontId="14" fillId="8" borderId="33" xfId="0" applyNumberFormat="1" applyFont="1" applyFill="1" applyBorder="1" applyAlignment="1">
      <alignment horizontal="center" vertical="center"/>
    </xf>
    <xf numFmtId="0" fontId="0" fillId="0" borderId="0" xfId="0" applyFont="1" applyAlignment="1"/>
    <xf numFmtId="0" fontId="29" fillId="8" borderId="26" xfId="1" applyFont="1" applyFill="1" applyBorder="1" applyAlignment="1">
      <alignment horizontal="center" vertical="center" wrapText="1"/>
    </xf>
    <xf numFmtId="0" fontId="31" fillId="10" borderId="26" xfId="1" applyFont="1" applyFill="1" applyBorder="1" applyAlignment="1">
      <alignment horizontal="center" vertical="center" wrapText="1"/>
    </xf>
    <xf numFmtId="0" fontId="30" fillId="8" borderId="26" xfId="0" applyFont="1" applyFill="1" applyBorder="1" applyAlignment="1">
      <alignment horizontal="center" vertical="center" wrapText="1"/>
    </xf>
    <xf numFmtId="0" fontId="32" fillId="8" borderId="26" xfId="0" applyFont="1" applyFill="1" applyBorder="1" applyAlignment="1">
      <alignment horizontal="center" vertical="center" wrapText="1"/>
    </xf>
    <xf numFmtId="0" fontId="30" fillId="10" borderId="26" xfId="0" applyFont="1" applyFill="1" applyBorder="1" applyAlignment="1">
      <alignment horizontal="center" vertical="center" wrapText="1"/>
    </xf>
    <xf numFmtId="0" fontId="32" fillId="10" borderId="26" xfId="0" applyFont="1" applyFill="1" applyBorder="1" applyAlignment="1">
      <alignment horizontal="center" vertical="center" wrapText="1"/>
    </xf>
    <xf numFmtId="0" fontId="31" fillId="8" borderId="26" xfId="1" applyFont="1" applyFill="1" applyBorder="1" applyAlignment="1">
      <alignment horizontal="center" vertical="center" wrapText="1"/>
    </xf>
    <xf numFmtId="0" fontId="30" fillId="8" borderId="31" xfId="0" applyFont="1" applyFill="1" applyBorder="1" applyAlignment="1">
      <alignment horizontal="center" vertical="center"/>
    </xf>
    <xf numFmtId="0" fontId="30" fillId="8" borderId="32" xfId="0" applyFont="1" applyFill="1" applyBorder="1" applyAlignment="1">
      <alignment horizontal="center" vertical="center"/>
    </xf>
    <xf numFmtId="0" fontId="30" fillId="8" borderId="26" xfId="0" applyFont="1" applyFill="1" applyBorder="1" applyAlignment="1">
      <alignment horizontal="center" vertical="center"/>
    </xf>
    <xf numFmtId="0" fontId="32" fillId="8" borderId="26" xfId="0" applyFont="1" applyFill="1" applyBorder="1" applyAlignment="1">
      <alignment horizontal="center" vertical="center"/>
    </xf>
    <xf numFmtId="0" fontId="30" fillId="10" borderId="26" xfId="0" applyFont="1" applyFill="1" applyBorder="1" applyAlignment="1">
      <alignment horizontal="center" vertical="center"/>
    </xf>
    <xf numFmtId="0" fontId="32" fillId="10" borderId="26" xfId="0" applyFont="1" applyFill="1" applyBorder="1" applyAlignment="1">
      <alignment horizontal="center" vertical="center"/>
    </xf>
    <xf numFmtId="0" fontId="30" fillId="17" borderId="26" xfId="0" applyFont="1" applyFill="1" applyBorder="1" applyAlignment="1">
      <alignment horizontal="center" vertical="center" wrapText="1"/>
    </xf>
    <xf numFmtId="0" fontId="31" fillId="17" borderId="26" xfId="1" applyFont="1" applyFill="1" applyBorder="1" applyAlignment="1">
      <alignment horizontal="center" vertical="center" wrapText="1"/>
    </xf>
    <xf numFmtId="0" fontId="0" fillId="18" borderId="0" xfId="0" applyFont="1" applyFill="1" applyAlignment="1">
      <alignment vertical="center"/>
    </xf>
    <xf numFmtId="0" fontId="2" fillId="0" borderId="40" xfId="0" applyFont="1" applyBorder="1" applyAlignment="1">
      <alignment vertical="center"/>
    </xf>
    <xf numFmtId="0" fontId="4" fillId="0" borderId="1" xfId="0" applyFont="1" applyBorder="1" applyAlignment="1">
      <alignment vertical="center"/>
    </xf>
    <xf numFmtId="0" fontId="7" fillId="2" borderId="21" xfId="0" applyFont="1" applyFill="1" applyBorder="1" applyAlignment="1">
      <alignment horizontal="center" vertical="center"/>
    </xf>
    <xf numFmtId="0" fontId="32" fillId="8" borderId="21" xfId="0" applyFont="1" applyFill="1" applyBorder="1" applyAlignment="1">
      <alignment horizontal="center" vertical="center"/>
    </xf>
    <xf numFmtId="0" fontId="32" fillId="10" borderId="21" xfId="0" applyFont="1" applyFill="1" applyBorder="1" applyAlignment="1">
      <alignment horizontal="center" vertical="center"/>
    </xf>
    <xf numFmtId="0" fontId="4" fillId="0" borderId="42" xfId="0" applyFont="1" applyBorder="1" applyAlignment="1">
      <alignment vertical="center"/>
    </xf>
    <xf numFmtId="0" fontId="4" fillId="0" borderId="43" xfId="0" applyFont="1" applyBorder="1" applyAlignment="1">
      <alignment vertical="center"/>
    </xf>
    <xf numFmtId="0" fontId="4" fillId="0" borderId="44" xfId="0" applyFont="1" applyBorder="1" applyAlignment="1">
      <alignment vertical="center"/>
    </xf>
    <xf numFmtId="0" fontId="4" fillId="0" borderId="45" xfId="0" applyFont="1" applyBorder="1" applyAlignment="1">
      <alignment vertical="center"/>
    </xf>
    <xf numFmtId="0" fontId="4" fillId="0" borderId="46" xfId="0" applyFont="1" applyBorder="1" applyAlignment="1">
      <alignment vertical="center"/>
    </xf>
    <xf numFmtId="0" fontId="7" fillId="21" borderId="0" xfId="0" applyFont="1" applyFill="1" applyAlignment="1">
      <alignment vertical="center"/>
    </xf>
    <xf numFmtId="14" fontId="15" fillId="21" borderId="0" xfId="0" applyNumberFormat="1" applyFont="1" applyFill="1" applyAlignment="1">
      <alignment horizontal="left" vertical="center"/>
    </xf>
    <xf numFmtId="0" fontId="2" fillId="21" borderId="0" xfId="0" applyFont="1" applyFill="1" applyAlignment="1">
      <alignment vertical="center"/>
    </xf>
    <xf numFmtId="0" fontId="1" fillId="21" borderId="0" xfId="0" applyFont="1" applyFill="1" applyAlignment="1">
      <alignment vertical="center"/>
    </xf>
    <xf numFmtId="0" fontId="0" fillId="22" borderId="0" xfId="0" applyFont="1" applyFill="1" applyAlignment="1">
      <alignment vertical="center"/>
    </xf>
    <xf numFmtId="0" fontId="13" fillId="0" borderId="1" xfId="0" applyFont="1" applyFill="1" applyBorder="1" applyAlignment="1">
      <alignment horizontal="center" vertical="center" wrapText="1"/>
    </xf>
    <xf numFmtId="9" fontId="13" fillId="0" borderId="1" xfId="0" applyNumberFormat="1" applyFont="1" applyFill="1" applyBorder="1" applyAlignment="1">
      <alignment horizontal="center" vertical="center" wrapText="1"/>
    </xf>
    <xf numFmtId="0" fontId="4" fillId="18" borderId="0" xfId="0" applyFont="1" applyFill="1" applyAlignment="1">
      <alignment vertical="center"/>
    </xf>
    <xf numFmtId="0" fontId="14" fillId="23" borderId="26" xfId="0" applyFont="1" applyFill="1" applyBorder="1" applyAlignment="1">
      <alignment horizontal="center" vertical="center" wrapText="1"/>
    </xf>
    <xf numFmtId="0" fontId="4" fillId="0" borderId="53" xfId="0" applyFont="1" applyBorder="1" applyAlignment="1">
      <alignment vertical="center"/>
    </xf>
    <xf numFmtId="0" fontId="0" fillId="18" borderId="1" xfId="0" applyFont="1" applyFill="1" applyBorder="1" applyAlignment="1">
      <alignment vertical="center"/>
    </xf>
    <xf numFmtId="0" fontId="0" fillId="0" borderId="0" xfId="0" applyFont="1" applyAlignment="1">
      <alignment vertical="center"/>
    </xf>
    <xf numFmtId="0" fontId="34" fillId="2" borderId="0" xfId="0" applyFont="1" applyFill="1" applyAlignment="1">
      <alignment horizontal="center" vertical="center"/>
    </xf>
    <xf numFmtId="0" fontId="17" fillId="14" borderId="26" xfId="0" applyFont="1" applyFill="1" applyBorder="1" applyAlignment="1">
      <alignment horizontal="center" vertical="center" wrapText="1"/>
    </xf>
    <xf numFmtId="0" fontId="35" fillId="10" borderId="26" xfId="1" applyFont="1" applyFill="1" applyBorder="1" applyAlignment="1">
      <alignment horizontal="center" vertical="center" wrapText="1"/>
    </xf>
    <xf numFmtId="0" fontId="0" fillId="0" borderId="54" xfId="0" applyFont="1" applyBorder="1" applyAlignment="1">
      <alignment vertical="center" wrapText="1"/>
    </xf>
    <xf numFmtId="0" fontId="0" fillId="0" borderId="1" xfId="0" applyFont="1" applyBorder="1" applyAlignment="1">
      <alignment vertical="center" wrapText="1"/>
    </xf>
    <xf numFmtId="0" fontId="0" fillId="0" borderId="55" xfId="0" applyFont="1" applyBorder="1" applyAlignment="1">
      <alignment vertical="center" wrapText="1"/>
    </xf>
    <xf numFmtId="0" fontId="0" fillId="0" borderId="56" xfId="0" applyFont="1" applyBorder="1" applyAlignment="1">
      <alignment vertical="center" wrapText="1"/>
    </xf>
    <xf numFmtId="0" fontId="37" fillId="16" borderId="26" xfId="0" applyFont="1" applyFill="1" applyBorder="1" applyAlignment="1">
      <alignment horizontal="center" vertical="center" wrapText="1"/>
    </xf>
    <xf numFmtId="0" fontId="5" fillId="2" borderId="0" xfId="0" applyFont="1" applyFill="1" applyAlignment="1">
      <alignment vertical="top" wrapText="1"/>
    </xf>
    <xf numFmtId="164" fontId="6" fillId="2" borderId="0" xfId="0" applyNumberFormat="1" applyFont="1" applyFill="1" applyAlignment="1">
      <alignment horizontal="left" vertical="top" wrapText="1"/>
    </xf>
    <xf numFmtId="0" fontId="0" fillId="22" borderId="0" xfId="0" applyFont="1" applyFill="1" applyAlignment="1">
      <alignment vertical="center" wrapText="1"/>
    </xf>
    <xf numFmtId="0" fontId="14" fillId="8" borderId="57" xfId="0" applyFont="1" applyFill="1" applyBorder="1" applyAlignment="1">
      <alignment horizontal="center" vertical="center" wrapText="1"/>
    </xf>
    <xf numFmtId="0" fontId="14" fillId="15" borderId="21" xfId="0" applyFont="1" applyFill="1" applyBorder="1" applyAlignment="1">
      <alignment horizontal="center" vertical="center" wrapText="1"/>
    </xf>
    <xf numFmtId="0" fontId="14" fillId="8" borderId="41"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10" borderId="26" xfId="0" applyFont="1" applyFill="1" applyBorder="1" applyAlignment="1">
      <alignment horizontal="center" vertical="center" wrapText="1"/>
    </xf>
    <xf numFmtId="0" fontId="37" fillId="17" borderId="26" xfId="0" applyFont="1" applyFill="1" applyBorder="1" applyAlignment="1">
      <alignment horizontal="center" vertical="center" wrapText="1"/>
    </xf>
    <xf numFmtId="0" fontId="35" fillId="8" borderId="0" xfId="1" applyFont="1" applyFill="1" applyAlignment="1">
      <alignment horizontal="center" vertical="center" wrapText="1"/>
    </xf>
    <xf numFmtId="0" fontId="0" fillId="0" borderId="0" xfId="0" applyFont="1" applyAlignment="1">
      <alignment vertical="center"/>
    </xf>
    <xf numFmtId="0" fontId="14" fillId="14" borderId="21" xfId="0" applyFont="1" applyFill="1" applyBorder="1" applyAlignment="1">
      <alignment horizontal="center" vertical="center" wrapText="1"/>
    </xf>
    <xf numFmtId="0" fontId="33" fillId="20" borderId="41" xfId="0" quotePrefix="1" applyFont="1" applyFill="1" applyBorder="1" applyAlignment="1">
      <alignment horizontal="center" vertical="center"/>
    </xf>
    <xf numFmtId="0" fontId="35" fillId="19" borderId="1" xfId="1" applyFont="1" applyFill="1" applyBorder="1" applyAlignment="1">
      <alignment horizontal="center" vertical="center"/>
    </xf>
    <xf numFmtId="0" fontId="35" fillId="20" borderId="1" xfId="1" applyFont="1" applyFill="1" applyBorder="1" applyAlignment="1">
      <alignment horizontal="center" vertical="center"/>
    </xf>
    <xf numFmtId="0" fontId="14" fillId="17" borderId="21" xfId="0" applyFont="1" applyFill="1" applyBorder="1" applyAlignment="1">
      <alignment horizontal="center" vertical="center" wrapText="1"/>
    </xf>
    <xf numFmtId="0" fontId="31" fillId="17" borderId="29" xfId="1" applyFont="1" applyFill="1" applyBorder="1" applyAlignment="1">
      <alignment horizontal="center" vertical="center" wrapText="1"/>
    </xf>
    <xf numFmtId="0" fontId="14" fillId="17" borderId="29" xfId="0" applyFont="1" applyFill="1" applyBorder="1" applyAlignment="1">
      <alignment horizontal="center" vertical="center" wrapText="1"/>
    </xf>
    <xf numFmtId="0" fontId="36" fillId="10" borderId="29" xfId="0" applyFont="1" applyFill="1" applyBorder="1" applyAlignment="1">
      <alignment horizontal="center" vertical="center" wrapText="1"/>
    </xf>
    <xf numFmtId="0" fontId="35" fillId="19" borderId="41" xfId="1" applyFont="1" applyFill="1" applyBorder="1" applyAlignment="1">
      <alignment horizontal="center" vertical="center"/>
    </xf>
    <xf numFmtId="0" fontId="35" fillId="20" borderId="41" xfId="1" applyFont="1" applyFill="1" applyBorder="1" applyAlignment="1">
      <alignment horizontal="center" vertical="center"/>
    </xf>
    <xf numFmtId="0" fontId="0" fillId="0" borderId="0" xfId="0" applyFont="1" applyAlignment="1">
      <alignment vertical="center"/>
    </xf>
    <xf numFmtId="0" fontId="12" fillId="0" borderId="39" xfId="0" applyFont="1" applyBorder="1" applyAlignment="1">
      <alignment horizontal="center" vertical="center"/>
    </xf>
    <xf numFmtId="0" fontId="0" fillId="0" borderId="0" xfId="0" applyFont="1" applyAlignment="1">
      <alignment vertical="center"/>
    </xf>
    <xf numFmtId="0" fontId="7" fillId="2" borderId="41" xfId="0" applyFont="1" applyFill="1" applyBorder="1" applyAlignment="1">
      <alignment horizontal="center" vertical="center" wrapText="1"/>
    </xf>
    <xf numFmtId="0" fontId="33" fillId="17" borderId="41" xfId="0" applyFont="1" applyFill="1" applyBorder="1" applyAlignment="1">
      <alignment horizontal="center" vertical="center" wrapText="1"/>
    </xf>
    <xf numFmtId="0" fontId="31" fillId="17" borderId="41" xfId="1" applyFont="1" applyFill="1" applyBorder="1" applyAlignment="1">
      <alignment horizontal="center" vertical="center" wrapText="1"/>
    </xf>
    <xf numFmtId="0" fontId="33" fillId="14" borderId="41" xfId="0" applyFont="1" applyFill="1" applyBorder="1" applyAlignment="1">
      <alignment horizontal="center" vertical="center" wrapText="1"/>
    </xf>
    <xf numFmtId="0" fontId="28" fillId="20" borderId="41" xfId="1" applyFill="1" applyBorder="1" applyAlignment="1">
      <alignment horizontal="center" vertical="center"/>
    </xf>
    <xf numFmtId="0" fontId="30" fillId="8" borderId="41" xfId="0" applyFont="1" applyFill="1" applyBorder="1" applyAlignment="1">
      <alignment horizontal="center" vertical="center" wrapText="1"/>
    </xf>
    <xf numFmtId="0" fontId="17" fillId="8" borderId="41" xfId="0" applyFont="1" applyFill="1" applyBorder="1" applyAlignment="1">
      <alignment horizontal="center" vertical="center" wrapText="1"/>
    </xf>
    <xf numFmtId="0" fontId="15" fillId="9" borderId="41" xfId="0" applyFont="1" applyFill="1" applyBorder="1" applyAlignment="1">
      <alignment horizontal="center" vertical="center" wrapText="1"/>
    </xf>
    <xf numFmtId="0" fontId="30" fillId="10" borderId="41" xfId="0" applyFont="1" applyFill="1" applyBorder="1" applyAlignment="1">
      <alignment horizontal="center" vertical="center" wrapText="1"/>
    </xf>
    <xf numFmtId="0" fontId="17" fillId="10" borderId="41" xfId="0" applyFont="1" applyFill="1" applyBorder="1" applyAlignment="1">
      <alignment horizontal="center" vertical="center" wrapText="1"/>
    </xf>
    <xf numFmtId="0" fontId="14" fillId="10" borderId="41" xfId="0" applyFont="1" applyFill="1" applyBorder="1" applyAlignment="1">
      <alignment horizontal="center" vertical="center" wrapText="1"/>
    </xf>
    <xf numFmtId="0" fontId="30" fillId="17" borderId="41" xfId="0" applyFont="1" applyFill="1" applyBorder="1" applyAlignment="1">
      <alignment horizontal="center" vertical="center" wrapText="1"/>
    </xf>
    <xf numFmtId="0" fontId="17" fillId="17" borderId="41" xfId="0" applyFont="1" applyFill="1" applyBorder="1" applyAlignment="1">
      <alignment horizontal="center" vertical="center" wrapText="1"/>
    </xf>
    <xf numFmtId="0" fontId="30" fillId="14" borderId="41" xfId="0" applyFont="1" applyFill="1" applyBorder="1" applyAlignment="1">
      <alignment horizontal="center" vertical="center" wrapText="1"/>
    </xf>
    <xf numFmtId="0" fontId="17" fillId="14" borderId="41" xfId="0" applyFont="1" applyFill="1" applyBorder="1" applyAlignment="1">
      <alignment horizontal="center" vertical="center" wrapText="1"/>
    </xf>
    <xf numFmtId="0" fontId="35" fillId="8" borderId="41" xfId="1" applyFont="1" applyFill="1" applyBorder="1" applyAlignment="1">
      <alignment horizontal="center" vertical="center" wrapText="1"/>
    </xf>
    <xf numFmtId="0" fontId="35" fillId="10" borderId="41" xfId="1" applyFont="1" applyFill="1" applyBorder="1" applyAlignment="1">
      <alignment horizontal="center" vertical="center" wrapText="1"/>
    </xf>
    <xf numFmtId="0" fontId="17" fillId="15" borderId="41" xfId="0" applyFont="1" applyFill="1" applyBorder="1" applyAlignment="1">
      <alignment horizontal="center" vertical="center" wrapText="1"/>
    </xf>
    <xf numFmtId="0" fontId="36" fillId="8" borderId="41" xfId="0" applyFont="1" applyFill="1" applyBorder="1" applyAlignment="1">
      <alignment horizontal="center" vertical="center" wrapText="1"/>
    </xf>
    <xf numFmtId="0" fontId="31" fillId="8" borderId="41" xfId="1" applyFont="1" applyFill="1" applyBorder="1" applyAlignment="1">
      <alignment horizontal="center" vertical="center" wrapText="1"/>
    </xf>
    <xf numFmtId="0" fontId="36" fillId="17" borderId="41" xfId="0" applyFont="1" applyFill="1" applyBorder="1" applyAlignment="1">
      <alignment horizontal="center" vertical="center" wrapText="1"/>
    </xf>
    <xf numFmtId="0" fontId="28" fillId="19" borderId="41" xfId="1" applyFill="1" applyBorder="1" applyAlignment="1">
      <alignment horizontal="center" vertical="center"/>
    </xf>
    <xf numFmtId="0" fontId="36" fillId="16" borderId="41" xfId="0" applyFont="1" applyFill="1" applyBorder="1" applyAlignment="1">
      <alignment horizontal="center" vertical="center" wrapText="1"/>
    </xf>
    <xf numFmtId="0" fontId="31" fillId="16" borderId="41" xfId="1" applyFont="1" applyFill="1" applyBorder="1" applyAlignment="1">
      <alignment horizontal="center" vertical="center" wrapText="1"/>
    </xf>
    <xf numFmtId="0" fontId="36" fillId="14" borderId="41" xfId="0" applyFont="1" applyFill="1" applyBorder="1" applyAlignment="1">
      <alignment horizontal="center" vertical="center" wrapText="1"/>
    </xf>
    <xf numFmtId="0" fontId="36" fillId="10" borderId="41" xfId="0" applyFont="1" applyFill="1" applyBorder="1" applyAlignment="1">
      <alignment horizontal="center" vertical="center" wrapText="1"/>
    </xf>
    <xf numFmtId="0" fontId="33" fillId="10" borderId="41"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30" fillId="16" borderId="41" xfId="0" applyFont="1" applyFill="1" applyBorder="1" applyAlignment="1">
      <alignment horizontal="center" vertical="center" wrapText="1"/>
    </xf>
    <xf numFmtId="0" fontId="17" fillId="16" borderId="41" xfId="0" applyFont="1" applyFill="1" applyBorder="1" applyAlignment="1">
      <alignment horizontal="center" vertical="center" wrapText="1"/>
    </xf>
    <xf numFmtId="0" fontId="33" fillId="8" borderId="41" xfId="0" applyFont="1" applyFill="1" applyBorder="1" applyAlignment="1">
      <alignment horizontal="center" vertical="center" wrapText="1"/>
    </xf>
    <xf numFmtId="0" fontId="35" fillId="20" borderId="41" xfId="1" quotePrefix="1" applyFont="1" applyFill="1" applyBorder="1" applyAlignment="1">
      <alignment horizontal="center" vertical="center"/>
    </xf>
    <xf numFmtId="0" fontId="14" fillId="17" borderId="41" xfId="0" applyFont="1" applyFill="1" applyBorder="1" applyAlignment="1">
      <alignment horizontal="center" vertical="center" wrapText="1"/>
    </xf>
    <xf numFmtId="0" fontId="14" fillId="15" borderId="41" xfId="0" applyFont="1" applyFill="1" applyBorder="1" applyAlignment="1">
      <alignment horizontal="center" vertical="center" wrapText="1"/>
    </xf>
    <xf numFmtId="0" fontId="14" fillId="14" borderId="41" xfId="0" applyFont="1" applyFill="1" applyBorder="1" applyAlignment="1">
      <alignment horizontal="center" vertical="center" wrapText="1"/>
    </xf>
    <xf numFmtId="0" fontId="37" fillId="14" borderId="41" xfId="0" applyFont="1" applyFill="1" applyBorder="1" applyAlignment="1">
      <alignment horizontal="center" vertical="center" wrapText="1"/>
    </xf>
    <xf numFmtId="0" fontId="37" fillId="10" borderId="41" xfId="0" applyFont="1" applyFill="1" applyBorder="1" applyAlignment="1">
      <alignment horizontal="center" vertical="center" wrapText="1"/>
    </xf>
    <xf numFmtId="0" fontId="30" fillId="14" borderId="34" xfId="0" applyFont="1" applyFill="1" applyBorder="1" applyAlignment="1">
      <alignment horizontal="center" vertical="center"/>
    </xf>
    <xf numFmtId="9" fontId="17" fillId="14" borderId="35" xfId="0" applyNumberFormat="1" applyFont="1" applyFill="1" applyBorder="1" applyAlignment="1">
      <alignment horizontal="center" vertical="center"/>
    </xf>
    <xf numFmtId="0" fontId="17" fillId="17" borderId="26" xfId="0" applyFont="1" applyFill="1" applyBorder="1" applyAlignment="1">
      <alignment horizontal="center" vertical="center"/>
    </xf>
    <xf numFmtId="0" fontId="16" fillId="8" borderId="41" xfId="0" applyFont="1" applyFill="1" applyBorder="1" applyAlignment="1">
      <alignment horizontal="center" vertical="center" wrapText="1"/>
    </xf>
    <xf numFmtId="0" fontId="16" fillId="17" borderId="41" xfId="0" applyFont="1" applyFill="1" applyBorder="1" applyAlignment="1">
      <alignment horizontal="center" vertical="center" wrapText="1"/>
    </xf>
    <xf numFmtId="0" fontId="16" fillId="16" borderId="41" xfId="0" applyFont="1" applyFill="1" applyBorder="1" applyAlignment="1">
      <alignment horizontal="center" vertical="center" wrapText="1"/>
    </xf>
    <xf numFmtId="0" fontId="16" fillId="14" borderId="41" xfId="0" applyFont="1" applyFill="1" applyBorder="1" applyAlignment="1">
      <alignment horizontal="center" vertical="center" wrapText="1"/>
    </xf>
    <xf numFmtId="9" fontId="14" fillId="8" borderId="41" xfId="0" applyNumberFormat="1" applyFont="1" applyFill="1" applyBorder="1" applyAlignment="1">
      <alignment horizontal="center" vertical="center" wrapText="1"/>
    </xf>
    <xf numFmtId="0" fontId="16" fillId="10" borderId="41" xfId="0" applyFont="1" applyFill="1" applyBorder="1" applyAlignment="1">
      <alignment horizontal="center" vertical="center" wrapText="1"/>
    </xf>
    <xf numFmtId="9" fontId="16" fillId="10" borderId="41" xfId="0" applyNumberFormat="1" applyFont="1" applyFill="1" applyBorder="1" applyAlignment="1">
      <alignment horizontal="center" vertical="center" wrapText="1"/>
    </xf>
    <xf numFmtId="9" fontId="17" fillId="10" borderId="41" xfId="0" applyNumberFormat="1" applyFont="1" applyFill="1" applyBorder="1" applyAlignment="1">
      <alignment horizontal="center" vertical="center" wrapText="1"/>
    </xf>
    <xf numFmtId="9" fontId="28" fillId="3" borderId="0" xfId="1" applyNumberFormat="1" applyFill="1" applyAlignment="1">
      <alignment horizontal="center" vertical="center" wrapText="1"/>
    </xf>
    <xf numFmtId="0" fontId="15" fillId="24" borderId="41" xfId="0" applyFont="1" applyFill="1" applyBorder="1" applyAlignment="1">
      <alignment horizontal="center" vertical="center" wrapText="1"/>
    </xf>
    <xf numFmtId="9" fontId="14" fillId="17" borderId="41" xfId="0" applyNumberFormat="1" applyFont="1" applyFill="1" applyBorder="1" applyAlignment="1">
      <alignment horizontal="center" vertical="center" wrapText="1"/>
    </xf>
    <xf numFmtId="9" fontId="37" fillId="10" borderId="41" xfId="0" applyNumberFormat="1" applyFont="1" applyFill="1" applyBorder="1" applyAlignment="1">
      <alignment horizontal="center" vertical="center"/>
    </xf>
    <xf numFmtId="9" fontId="17" fillId="14" borderId="41" xfId="0" applyNumberFormat="1" applyFont="1" applyFill="1" applyBorder="1" applyAlignment="1">
      <alignment horizontal="center" vertical="center" wrapText="1"/>
    </xf>
    <xf numFmtId="0" fontId="21" fillId="8" borderId="41" xfId="0" applyFont="1" applyFill="1" applyBorder="1" applyAlignment="1">
      <alignment horizontal="center" vertical="center" wrapText="1"/>
    </xf>
    <xf numFmtId="0" fontId="21" fillId="10" borderId="41" xfId="0" applyFont="1" applyFill="1" applyBorder="1" applyAlignment="1">
      <alignment horizontal="center" vertical="center" wrapText="1"/>
    </xf>
    <xf numFmtId="0" fontId="13" fillId="17" borderId="41" xfId="0" applyFont="1" applyFill="1" applyBorder="1" applyAlignment="1">
      <alignment horizontal="center" vertical="center" wrapText="1"/>
    </xf>
    <xf numFmtId="0" fontId="13" fillId="14" borderId="41" xfId="0" applyFont="1" applyFill="1" applyBorder="1" applyAlignment="1">
      <alignment horizontal="center" vertical="center" wrapText="1"/>
    </xf>
    <xf numFmtId="0" fontId="14" fillId="16" borderId="41" xfId="0" applyFont="1" applyFill="1" applyBorder="1" applyAlignment="1">
      <alignment horizontal="center" vertical="center" wrapText="1"/>
    </xf>
    <xf numFmtId="0" fontId="22" fillId="17" borderId="41" xfId="0" applyFont="1" applyFill="1" applyBorder="1" applyAlignment="1">
      <alignment horizontal="center" vertical="center" wrapText="1"/>
    </xf>
    <xf numFmtId="0" fontId="26" fillId="14" borderId="41" xfId="0" applyFont="1" applyFill="1" applyBorder="1" applyAlignment="1">
      <alignment horizontal="center" vertical="center" wrapText="1"/>
    </xf>
    <xf numFmtId="0" fontId="28" fillId="19" borderId="41" xfId="1" quotePrefix="1" applyFill="1" applyBorder="1" applyAlignment="1">
      <alignment horizontal="center" vertical="center"/>
    </xf>
    <xf numFmtId="0" fontId="35" fillId="19" borderId="41" xfId="1" quotePrefix="1" applyFont="1" applyFill="1" applyBorder="1" applyAlignment="1">
      <alignment horizontal="center" vertical="center"/>
    </xf>
    <xf numFmtId="0" fontId="28" fillId="20" borderId="41" xfId="1" quotePrefix="1" applyFill="1" applyBorder="1" applyAlignment="1">
      <alignment horizontal="center" vertical="center"/>
    </xf>
    <xf numFmtId="0" fontId="5" fillId="2" borderId="41" xfId="0" applyFont="1" applyFill="1" applyBorder="1" applyAlignment="1">
      <alignment horizontal="center" vertical="center" wrapText="1"/>
    </xf>
    <xf numFmtId="0" fontId="35" fillId="15" borderId="41" xfId="1" applyFont="1" applyFill="1" applyBorder="1" applyAlignment="1">
      <alignment horizontal="center" vertical="center" wrapText="1"/>
    </xf>
    <xf numFmtId="0" fontId="33" fillId="17" borderId="41" xfId="1" applyFont="1" applyFill="1" applyBorder="1" applyAlignment="1">
      <alignment horizontal="center" vertical="center" wrapText="1"/>
    </xf>
    <xf numFmtId="0" fontId="33" fillId="16" borderId="41" xfId="1" applyFont="1" applyFill="1" applyBorder="1" applyAlignment="1">
      <alignment horizontal="center" vertical="center" wrapText="1"/>
    </xf>
    <xf numFmtId="0" fontId="0" fillId="0" borderId="41" xfId="0" applyFont="1" applyBorder="1" applyAlignment="1">
      <alignment vertical="center" wrapText="1"/>
    </xf>
    <xf numFmtId="0" fontId="35" fillId="16" borderId="41" xfId="1" applyFont="1" applyFill="1" applyBorder="1" applyAlignment="1">
      <alignment horizontal="center" vertical="center" wrapText="1"/>
    </xf>
    <xf numFmtId="0" fontId="28" fillId="16" borderId="41" xfId="1" applyFill="1" applyBorder="1" applyAlignment="1">
      <alignment horizontal="center" vertical="center" wrapText="1"/>
    </xf>
    <xf numFmtId="0" fontId="35" fillId="17" borderId="41" xfId="1" applyFont="1" applyFill="1" applyBorder="1" applyAlignment="1">
      <alignment horizontal="center" vertical="center" wrapText="1"/>
    </xf>
    <xf numFmtId="0" fontId="28" fillId="17" borderId="41" xfId="1" applyFill="1" applyBorder="1" applyAlignment="1">
      <alignment horizontal="center" vertical="center" wrapText="1"/>
    </xf>
    <xf numFmtId="0" fontId="38" fillId="8" borderId="41" xfId="1" applyFont="1" applyFill="1" applyBorder="1" applyAlignment="1">
      <alignment horizontal="center" vertical="center" wrapText="1"/>
    </xf>
    <xf numFmtId="0" fontId="12" fillId="0" borderId="39" xfId="0" applyFont="1" applyBorder="1" applyAlignment="1">
      <alignment horizontal="center" vertical="center"/>
    </xf>
    <xf numFmtId="0" fontId="10" fillId="0" borderId="1" xfId="0" applyFont="1" applyBorder="1" applyAlignment="1">
      <alignment vertical="center" wrapText="1"/>
    </xf>
    <xf numFmtId="0" fontId="0" fillId="0" borderId="0" xfId="0" applyFont="1" applyAlignment="1">
      <alignment vertical="center"/>
    </xf>
    <xf numFmtId="9" fontId="12" fillId="0" borderId="1" xfId="0" applyNumberFormat="1" applyFont="1" applyBorder="1" applyAlignment="1">
      <alignment horizontal="center" vertical="center"/>
    </xf>
    <xf numFmtId="0" fontId="11" fillId="4" borderId="60" xfId="0" applyFont="1" applyFill="1" applyBorder="1" applyAlignment="1">
      <alignment horizontal="center" vertical="center"/>
    </xf>
    <xf numFmtId="0" fontId="11" fillId="4" borderId="67" xfId="0" applyFont="1" applyFill="1" applyBorder="1" applyAlignment="1">
      <alignment horizontal="center" vertical="center"/>
    </xf>
    <xf numFmtId="0" fontId="0" fillId="0" borderId="1" xfId="0" applyFont="1" applyBorder="1" applyAlignment="1">
      <alignment vertical="center"/>
    </xf>
    <xf numFmtId="0" fontId="12" fillId="0" borderId="73" xfId="0" applyFont="1" applyBorder="1" applyAlignment="1">
      <alignment horizontal="center" vertical="center"/>
    </xf>
    <xf numFmtId="0" fontId="0" fillId="0" borderId="69" xfId="0" applyFont="1" applyBorder="1" applyAlignment="1">
      <alignment vertical="center"/>
    </xf>
    <xf numFmtId="0" fontId="30" fillId="17" borderId="32" xfId="0" applyFont="1" applyFill="1" applyBorder="1" applyAlignment="1">
      <alignment horizontal="center" vertical="center" wrapText="1"/>
    </xf>
    <xf numFmtId="0" fontId="15" fillId="27" borderId="41" xfId="0" applyFont="1" applyFill="1" applyBorder="1" applyAlignment="1">
      <alignment horizontal="center" vertical="center" wrapText="1"/>
    </xf>
    <xf numFmtId="0" fontId="33" fillId="16" borderId="41" xfId="0" applyFont="1" applyFill="1" applyBorder="1" applyAlignment="1">
      <alignment horizontal="center" vertical="center" wrapText="1"/>
    </xf>
    <xf numFmtId="0" fontId="39" fillId="8" borderId="41" xfId="1" applyFont="1" applyFill="1" applyBorder="1" applyAlignment="1">
      <alignment horizontal="center" vertical="center" wrapText="1"/>
    </xf>
    <xf numFmtId="0" fontId="40" fillId="8" borderId="41" xfId="1" applyFont="1" applyFill="1" applyBorder="1" applyAlignment="1">
      <alignment horizontal="center" vertical="center" wrapText="1"/>
    </xf>
    <xf numFmtId="0" fontId="41" fillId="0" borderId="0" xfId="0" applyFont="1" applyAlignment="1">
      <alignment vertical="center" wrapText="1"/>
    </xf>
    <xf numFmtId="0" fontId="14" fillId="25" borderId="1" xfId="0" applyFont="1" applyFill="1" applyBorder="1" applyAlignment="1">
      <alignment horizontal="center" vertical="center" wrapText="1"/>
    </xf>
    <xf numFmtId="0" fontId="35" fillId="25" borderId="1" xfId="1" applyFont="1" applyFill="1" applyBorder="1" applyAlignment="1">
      <alignment horizontal="center" vertical="center" wrapText="1"/>
    </xf>
    <xf numFmtId="0" fontId="17" fillId="25" borderId="1" xfId="0" applyFont="1" applyFill="1" applyBorder="1" applyAlignment="1">
      <alignment horizontal="center" vertical="center" wrapText="1"/>
    </xf>
    <xf numFmtId="0" fontId="15" fillId="26" borderId="1" xfId="0" applyFont="1" applyFill="1" applyBorder="1" applyAlignment="1">
      <alignment horizontal="center" vertical="center" wrapText="1"/>
    </xf>
    <xf numFmtId="0" fontId="13" fillId="6" borderId="21" xfId="0" applyFont="1" applyFill="1" applyBorder="1" applyAlignment="1">
      <alignment horizontal="center" vertical="center" wrapText="1"/>
    </xf>
    <xf numFmtId="0" fontId="13" fillId="7" borderId="23" xfId="0" applyFont="1" applyFill="1" applyBorder="1" applyAlignment="1">
      <alignment horizontal="center" vertical="center" wrapText="1"/>
    </xf>
    <xf numFmtId="0" fontId="13" fillId="6" borderId="23" xfId="0" applyFont="1" applyFill="1" applyBorder="1" applyAlignment="1">
      <alignment horizontal="center" vertical="center" wrapText="1"/>
    </xf>
    <xf numFmtId="0" fontId="13" fillId="8" borderId="23" xfId="0" applyFont="1" applyFill="1" applyBorder="1" applyAlignment="1">
      <alignment horizontal="center" vertical="center" wrapText="1"/>
    </xf>
    <xf numFmtId="0" fontId="9" fillId="5" borderId="0" xfId="0" applyFont="1" applyFill="1" applyAlignment="1">
      <alignment horizontal="center"/>
    </xf>
    <xf numFmtId="0" fontId="9" fillId="5" borderId="4" xfId="0" applyFont="1" applyFill="1" applyBorder="1" applyAlignment="1">
      <alignment horizontal="left"/>
    </xf>
    <xf numFmtId="0" fontId="13" fillId="6" borderId="9" xfId="0" applyFont="1" applyFill="1" applyBorder="1" applyAlignment="1">
      <alignment horizontal="left" vertical="center" wrapText="1"/>
    </xf>
    <xf numFmtId="0" fontId="13" fillId="7" borderId="9" xfId="0" applyFont="1" applyFill="1" applyBorder="1" applyAlignment="1">
      <alignment horizontal="left" vertical="center" wrapText="1"/>
    </xf>
    <xf numFmtId="14" fontId="14" fillId="8" borderId="32" xfId="0" applyNumberFormat="1" applyFont="1" applyFill="1" applyBorder="1" applyAlignment="1">
      <alignment horizontal="center" vertical="center"/>
    </xf>
    <xf numFmtId="14" fontId="37" fillId="10" borderId="34" xfId="0" applyNumberFormat="1" applyFont="1" applyFill="1" applyBorder="1" applyAlignment="1">
      <alignment horizontal="center" vertical="center"/>
    </xf>
    <xf numFmtId="9" fontId="37" fillId="10" borderId="36" xfId="0" applyNumberFormat="1" applyFont="1" applyFill="1" applyBorder="1" applyAlignment="1">
      <alignment horizontal="center" vertical="center" wrapText="1"/>
    </xf>
    <xf numFmtId="14" fontId="14" fillId="10" borderId="41" xfId="0" applyNumberFormat="1" applyFont="1" applyFill="1" applyBorder="1" applyAlignment="1">
      <alignment horizontal="center" vertical="center" wrapText="1"/>
    </xf>
    <xf numFmtId="14" fontId="14" fillId="8" borderId="41" xfId="0" applyNumberFormat="1" applyFont="1" applyFill="1" applyBorder="1" applyAlignment="1">
      <alignment horizontal="center" vertical="center" wrapText="1"/>
    </xf>
    <xf numFmtId="14" fontId="14" fillId="15" borderId="41" xfId="0" applyNumberFormat="1" applyFont="1" applyFill="1" applyBorder="1" applyAlignment="1">
      <alignment horizontal="center" vertical="center" wrapText="1"/>
    </xf>
    <xf numFmtId="0" fontId="14" fillId="14" borderId="29" xfId="0" applyFont="1" applyFill="1" applyBorder="1" applyAlignment="1">
      <alignment horizontal="center" vertical="center" wrapText="1"/>
    </xf>
    <xf numFmtId="14" fontId="14" fillId="16" borderId="41" xfId="0" applyNumberFormat="1" applyFont="1" applyFill="1" applyBorder="1" applyAlignment="1">
      <alignment horizontal="center" vertical="center" wrapText="1"/>
    </xf>
    <xf numFmtId="0" fontId="35" fillId="22" borderId="1" xfId="1" applyFont="1" applyFill="1" applyBorder="1" applyAlignment="1">
      <alignment horizontal="center" vertical="center"/>
    </xf>
    <xf numFmtId="0" fontId="37" fillId="25" borderId="1" xfId="0" applyFont="1" applyFill="1" applyBorder="1" applyAlignment="1">
      <alignment horizontal="center" vertical="center" wrapText="1"/>
    </xf>
    <xf numFmtId="0" fontId="30" fillId="16" borderId="26" xfId="0" applyFont="1" applyFill="1" applyBorder="1" applyAlignment="1">
      <alignment horizontal="center" vertical="center" wrapText="1"/>
    </xf>
    <xf numFmtId="0" fontId="31" fillId="16" borderId="26" xfId="1" applyFont="1" applyFill="1" applyBorder="1" applyAlignment="1">
      <alignment horizontal="center" vertical="center" wrapText="1"/>
    </xf>
    <xf numFmtId="14" fontId="14" fillId="17" borderId="41" xfId="0" applyNumberFormat="1" applyFont="1" applyFill="1" applyBorder="1" applyAlignment="1">
      <alignment horizontal="center" vertical="center" wrapText="1"/>
    </xf>
    <xf numFmtId="14" fontId="14" fillId="14" borderId="41" xfId="0" applyNumberFormat="1" applyFont="1" applyFill="1" applyBorder="1" applyAlignment="1">
      <alignment horizontal="center" vertical="center" wrapText="1"/>
    </xf>
    <xf numFmtId="9" fontId="37" fillId="10" borderId="41" xfId="0" applyNumberFormat="1" applyFont="1" applyFill="1" applyBorder="1" applyAlignment="1">
      <alignment horizontal="center" vertical="center" wrapText="1"/>
    </xf>
    <xf numFmtId="0" fontId="16" fillId="15" borderId="41" xfId="0" applyFont="1" applyFill="1" applyBorder="1" applyAlignment="1">
      <alignment horizontal="center" vertical="center" wrapText="1"/>
    </xf>
    <xf numFmtId="9" fontId="16" fillId="15" borderId="41" xfId="0" applyNumberFormat="1" applyFont="1" applyFill="1" applyBorder="1" applyAlignment="1">
      <alignment horizontal="center" vertical="center" wrapText="1"/>
    </xf>
    <xf numFmtId="9" fontId="17" fillId="15" borderId="41" xfId="0" applyNumberFormat="1" applyFont="1" applyFill="1" applyBorder="1" applyAlignment="1">
      <alignment horizontal="center" vertical="center" wrapText="1"/>
    </xf>
    <xf numFmtId="9" fontId="37" fillId="15" borderId="41" xfId="0" applyNumberFormat="1" applyFont="1" applyFill="1" applyBorder="1" applyAlignment="1">
      <alignment horizontal="center" vertical="center"/>
    </xf>
    <xf numFmtId="9" fontId="35" fillId="28" borderId="0" xfId="1" applyNumberFormat="1" applyFont="1" applyFill="1" applyAlignment="1">
      <alignment horizontal="center" vertical="center" wrapText="1"/>
    </xf>
    <xf numFmtId="9" fontId="14" fillId="16" borderId="41" xfId="0" applyNumberFormat="1" applyFont="1" applyFill="1" applyBorder="1" applyAlignment="1">
      <alignment horizontal="center" vertical="center" wrapText="1"/>
    </xf>
    <xf numFmtId="0" fontId="30" fillId="15" borderId="41" xfId="0" applyFont="1" applyFill="1" applyBorder="1" applyAlignment="1">
      <alignment horizontal="center" vertical="center" wrapText="1"/>
    </xf>
    <xf numFmtId="0" fontId="33" fillId="15" borderId="41" xfId="0" applyFont="1" applyFill="1" applyBorder="1" applyAlignment="1">
      <alignment horizontal="center" vertical="center" wrapText="1"/>
    </xf>
    <xf numFmtId="0" fontId="15" fillId="24" borderId="26" xfId="0" applyFont="1" applyFill="1" applyBorder="1" applyAlignment="1">
      <alignment horizontal="center" vertical="center" wrapText="1"/>
    </xf>
    <xf numFmtId="0" fontId="37" fillId="16" borderId="41" xfId="0" applyFont="1" applyFill="1" applyBorder="1" applyAlignment="1">
      <alignment horizontal="center" vertical="center"/>
    </xf>
    <xf numFmtId="0" fontId="37" fillId="16" borderId="41" xfId="0" applyFont="1" applyFill="1" applyBorder="1" applyAlignment="1">
      <alignment horizontal="center" vertical="center" wrapText="1"/>
    </xf>
    <xf numFmtId="0" fontId="37" fillId="8" borderId="41" xfId="0" applyFont="1" applyFill="1" applyBorder="1" applyAlignment="1">
      <alignment horizontal="center" vertical="center"/>
    </xf>
    <xf numFmtId="0" fontId="37" fillId="8" borderId="41" xfId="0" applyFont="1" applyFill="1" applyBorder="1" applyAlignment="1">
      <alignment horizontal="center" vertical="center" wrapText="1"/>
    </xf>
    <xf numFmtId="14" fontId="14" fillId="8" borderId="41" xfId="0" applyNumberFormat="1" applyFont="1" applyFill="1" applyBorder="1" applyAlignment="1">
      <alignment horizontal="center" vertical="center"/>
    </xf>
    <xf numFmtId="0" fontId="35" fillId="14" borderId="41" xfId="1" applyFont="1" applyFill="1" applyBorder="1" applyAlignment="1">
      <alignment horizontal="center" vertical="center" wrapText="1"/>
    </xf>
    <xf numFmtId="0" fontId="11" fillId="5" borderId="76" xfId="0" applyFont="1" applyFill="1" applyBorder="1" applyAlignment="1">
      <alignment horizontal="center" vertical="center" wrapText="1"/>
    </xf>
    <xf numFmtId="0" fontId="18" fillId="11" borderId="76" xfId="0" applyFont="1" applyFill="1" applyBorder="1" applyAlignment="1">
      <alignment horizontal="center" vertical="center"/>
    </xf>
    <xf numFmtId="0" fontId="19" fillId="11" borderId="76" xfId="0" applyFont="1" applyFill="1" applyBorder="1" applyAlignment="1">
      <alignment horizontal="center" vertical="center"/>
    </xf>
    <xf numFmtId="49" fontId="20" fillId="8" borderId="76" xfId="0" applyNumberFormat="1" applyFont="1" applyFill="1" applyBorder="1" applyAlignment="1">
      <alignment horizontal="center" vertical="center"/>
    </xf>
    <xf numFmtId="0" fontId="20" fillId="8" borderId="76" xfId="0" applyFont="1" applyFill="1" applyBorder="1" applyAlignment="1">
      <alignment horizontal="center" vertical="center"/>
    </xf>
    <xf numFmtId="49" fontId="20" fillId="10" borderId="76" xfId="0" applyNumberFormat="1" applyFont="1" applyFill="1" applyBorder="1" applyAlignment="1">
      <alignment horizontal="center" vertical="center"/>
    </xf>
    <xf numFmtId="0" fontId="20" fillId="10" borderId="76" xfId="0" applyFont="1" applyFill="1" applyBorder="1" applyAlignment="1">
      <alignment horizontal="center" vertical="center"/>
    </xf>
    <xf numFmtId="49" fontId="20" fillId="15" borderId="76" xfId="0" applyNumberFormat="1" applyFont="1" applyFill="1" applyBorder="1" applyAlignment="1">
      <alignment horizontal="center" vertical="center"/>
    </xf>
    <xf numFmtId="0" fontId="37" fillId="15" borderId="76" xfId="0" applyFont="1" applyFill="1" applyBorder="1" applyAlignment="1">
      <alignment horizontal="center" vertical="center"/>
    </xf>
    <xf numFmtId="0" fontId="20" fillId="15" borderId="76" xfId="0" applyFont="1" applyFill="1" applyBorder="1" applyAlignment="1">
      <alignment horizontal="center" vertical="center"/>
    </xf>
    <xf numFmtId="49" fontId="20" fillId="16" borderId="76" xfId="0" applyNumberFormat="1" applyFont="1" applyFill="1" applyBorder="1" applyAlignment="1">
      <alignment horizontal="center" vertical="center"/>
    </xf>
    <xf numFmtId="0" fontId="20" fillId="16" borderId="76" xfId="0" applyFont="1" applyFill="1" applyBorder="1" applyAlignment="1">
      <alignment horizontal="center" vertical="center"/>
    </xf>
    <xf numFmtId="0" fontId="24" fillId="11" borderId="76" xfId="0" applyFont="1" applyFill="1" applyBorder="1" applyAlignment="1">
      <alignment horizontal="center" vertical="center"/>
    </xf>
    <xf numFmtId="0" fontId="9" fillId="11" borderId="76" xfId="0" applyFont="1" applyFill="1" applyBorder="1" applyAlignment="1">
      <alignment horizontal="center" vertical="center"/>
    </xf>
    <xf numFmtId="0" fontId="20" fillId="8" borderId="76" xfId="0" applyFont="1" applyFill="1" applyBorder="1" applyAlignment="1">
      <alignment horizontal="center" vertical="center" wrapText="1"/>
    </xf>
    <xf numFmtId="0" fontId="25" fillId="8" borderId="76" xfId="0" applyFont="1" applyFill="1" applyBorder="1" applyAlignment="1">
      <alignment horizontal="center" vertical="center"/>
    </xf>
    <xf numFmtId="0" fontId="25" fillId="10" borderId="76" xfId="0" applyFont="1" applyFill="1" applyBorder="1" applyAlignment="1">
      <alignment horizontal="center" vertical="center"/>
    </xf>
    <xf numFmtId="0" fontId="37" fillId="8" borderId="76" xfId="0" applyFont="1" applyFill="1" applyBorder="1" applyAlignment="1">
      <alignment horizontal="center" vertical="center" wrapText="1"/>
    </xf>
    <xf numFmtId="49" fontId="37" fillId="8" borderId="76" xfId="0" applyNumberFormat="1" applyFont="1" applyFill="1" applyBorder="1" applyAlignment="1">
      <alignment horizontal="center" vertical="center"/>
    </xf>
    <xf numFmtId="0" fontId="37" fillId="8" borderId="76" xfId="0" applyFont="1" applyFill="1" applyBorder="1" applyAlignment="1">
      <alignment horizontal="center" vertical="center"/>
    </xf>
    <xf numFmtId="49" fontId="37" fillId="10" borderId="76" xfId="0" applyNumberFormat="1" applyFont="1" applyFill="1" applyBorder="1" applyAlignment="1">
      <alignment horizontal="center" vertical="center"/>
    </xf>
    <xf numFmtId="0" fontId="37" fillId="10" borderId="76" xfId="0" applyFont="1" applyFill="1" applyBorder="1" applyAlignment="1">
      <alignment horizontal="center" vertical="center"/>
    </xf>
    <xf numFmtId="49" fontId="37" fillId="16" borderId="76" xfId="0" applyNumberFormat="1" applyFont="1" applyFill="1" applyBorder="1" applyAlignment="1">
      <alignment horizontal="center" vertical="center"/>
    </xf>
    <xf numFmtId="0" fontId="37" fillId="16" borderId="76" xfId="0" applyFont="1" applyFill="1" applyBorder="1" applyAlignment="1">
      <alignment horizontal="center" vertical="center" wrapText="1"/>
    </xf>
    <xf numFmtId="0" fontId="25" fillId="16" borderId="76" xfId="0" applyFont="1" applyFill="1" applyBorder="1" applyAlignment="1">
      <alignment horizontal="center" vertical="center"/>
    </xf>
    <xf numFmtId="49" fontId="37" fillId="15" borderId="76" xfId="0" applyNumberFormat="1" applyFont="1" applyFill="1" applyBorder="1" applyAlignment="1">
      <alignment horizontal="center" vertical="center"/>
    </xf>
    <xf numFmtId="0" fontId="37" fillId="15" borderId="76" xfId="0" applyFont="1" applyFill="1" applyBorder="1" applyAlignment="1">
      <alignment horizontal="center" vertical="center" wrapText="1"/>
    </xf>
    <xf numFmtId="0" fontId="25" fillId="15" borderId="76" xfId="0" applyFont="1" applyFill="1" applyBorder="1" applyAlignment="1">
      <alignment horizontal="center" vertical="center"/>
    </xf>
    <xf numFmtId="49" fontId="37" fillId="14" borderId="76" xfId="0" applyNumberFormat="1" applyFont="1" applyFill="1" applyBorder="1" applyAlignment="1">
      <alignment horizontal="center" vertical="center"/>
    </xf>
    <xf numFmtId="0" fontId="37" fillId="14" borderId="76" xfId="0" applyFont="1" applyFill="1" applyBorder="1" applyAlignment="1">
      <alignment horizontal="center" vertical="center"/>
    </xf>
    <xf numFmtId="0" fontId="20" fillId="14" borderId="76" xfId="0" applyFont="1" applyFill="1" applyBorder="1" applyAlignment="1">
      <alignment horizontal="center" vertical="center"/>
    </xf>
    <xf numFmtId="0" fontId="25" fillId="14" borderId="76" xfId="0" applyFont="1" applyFill="1" applyBorder="1" applyAlignment="1">
      <alignment horizontal="center" vertical="center"/>
    </xf>
    <xf numFmtId="49" fontId="37" fillId="17" borderId="76" xfId="0" applyNumberFormat="1" applyFont="1" applyFill="1" applyBorder="1" applyAlignment="1">
      <alignment horizontal="center" vertical="center"/>
    </xf>
    <xf numFmtId="0" fontId="37" fillId="17" borderId="76" xfId="0" applyFont="1" applyFill="1" applyBorder="1" applyAlignment="1">
      <alignment horizontal="center" vertical="center"/>
    </xf>
    <xf numFmtId="0" fontId="20" fillId="17" borderId="76" xfId="0" applyFont="1" applyFill="1" applyBorder="1" applyAlignment="1">
      <alignment horizontal="center" vertical="center"/>
    </xf>
    <xf numFmtId="0" fontId="25" fillId="17" borderId="76" xfId="0" applyFont="1" applyFill="1" applyBorder="1" applyAlignment="1">
      <alignment horizontal="center" vertical="center"/>
    </xf>
    <xf numFmtId="0" fontId="37" fillId="16" borderId="76" xfId="0" applyFont="1" applyFill="1" applyBorder="1" applyAlignment="1">
      <alignment horizontal="center" vertical="center"/>
    </xf>
    <xf numFmtId="0" fontId="12" fillId="3" borderId="1" xfId="0" applyFont="1" applyFill="1" applyBorder="1" applyAlignment="1">
      <alignment horizontal="center" vertical="center"/>
    </xf>
    <xf numFmtId="0" fontId="12" fillId="0" borderId="1" xfId="0" applyFont="1" applyBorder="1" applyAlignment="1">
      <alignment horizontal="center" vertical="center"/>
    </xf>
    <xf numFmtId="9" fontId="12" fillId="3" borderId="1" xfId="0" applyNumberFormat="1" applyFont="1" applyFill="1" applyBorder="1" applyAlignment="1">
      <alignment horizontal="center" vertical="center" wrapText="1"/>
    </xf>
    <xf numFmtId="0" fontId="1" fillId="0" borderId="1" xfId="0" applyFont="1" applyBorder="1" applyAlignment="1">
      <alignment vertical="center"/>
    </xf>
    <xf numFmtId="14" fontId="14" fillId="16" borderId="32" xfId="0" applyNumberFormat="1" applyFont="1" applyFill="1" applyBorder="1" applyAlignment="1">
      <alignment horizontal="center" vertical="center"/>
    </xf>
    <xf numFmtId="0" fontId="36" fillId="15" borderId="41" xfId="0" applyFont="1" applyFill="1" applyBorder="1" applyAlignment="1">
      <alignment horizontal="center" vertical="center" wrapText="1"/>
    </xf>
    <xf numFmtId="0" fontId="10" fillId="0" borderId="1" xfId="0" applyFont="1" applyBorder="1" applyAlignment="1">
      <alignment vertical="center" wrapText="1"/>
    </xf>
    <xf numFmtId="0" fontId="3" fillId="2"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42" fillId="0" borderId="0" xfId="0" applyFont="1" applyAlignment="1">
      <alignment vertical="center"/>
    </xf>
    <xf numFmtId="0" fontId="43" fillId="3" borderId="0" xfId="0" applyFont="1" applyFill="1" applyAlignment="1">
      <alignment vertical="center"/>
    </xf>
    <xf numFmtId="0" fontId="10" fillId="0" borderId="30" xfId="0" applyFont="1" applyBorder="1" applyAlignment="1">
      <alignment vertical="center"/>
    </xf>
    <xf numFmtId="0" fontId="20" fillId="8" borderId="76" xfId="0" applyFont="1" applyFill="1" applyBorder="1" applyAlignment="1">
      <alignment horizontal="center" vertical="center"/>
    </xf>
    <xf numFmtId="0" fontId="1" fillId="0" borderId="76" xfId="0" applyFont="1" applyBorder="1" applyAlignment="1">
      <alignment horizontal="center"/>
    </xf>
    <xf numFmtId="0" fontId="13" fillId="6" borderId="10" xfId="0" applyFont="1" applyFill="1" applyBorder="1" applyAlignment="1">
      <alignment horizontal="left" vertical="center" wrapText="1"/>
    </xf>
    <xf numFmtId="0" fontId="13" fillId="6" borderId="3" xfId="0" applyFont="1" applyFill="1" applyBorder="1" applyAlignment="1">
      <alignment horizontal="left" vertical="center" wrapText="1"/>
    </xf>
    <xf numFmtId="0" fontId="13" fillId="7" borderId="10" xfId="0" applyFont="1" applyFill="1" applyBorder="1" applyAlignment="1">
      <alignment horizontal="left" vertical="center" wrapText="1"/>
    </xf>
    <xf numFmtId="0" fontId="13" fillId="7" borderId="1" xfId="0" applyFont="1" applyFill="1" applyBorder="1" applyAlignment="1">
      <alignment horizontal="left" vertical="center" wrapText="1"/>
    </xf>
    <xf numFmtId="9" fontId="18" fillId="11" borderId="76" xfId="0" applyNumberFormat="1" applyFont="1" applyFill="1" applyBorder="1" applyAlignment="1">
      <alignment horizontal="center" vertical="center"/>
    </xf>
    <xf numFmtId="0" fontId="20" fillId="16" borderId="76" xfId="0" applyFont="1" applyFill="1" applyBorder="1" applyAlignment="1">
      <alignment horizontal="center" vertical="center"/>
    </xf>
    <xf numFmtId="0" fontId="1" fillId="20" borderId="76" xfId="0" applyFont="1" applyFill="1" applyBorder="1" applyAlignment="1">
      <alignment horizontal="center"/>
    </xf>
    <xf numFmtId="0" fontId="20" fillId="17" borderId="76" xfId="0" applyFont="1" applyFill="1" applyBorder="1" applyAlignment="1">
      <alignment horizontal="center" vertical="center"/>
    </xf>
    <xf numFmtId="0" fontId="1" fillId="19" borderId="76" xfId="0" applyFont="1" applyFill="1" applyBorder="1" applyAlignment="1">
      <alignment horizontal="center"/>
    </xf>
    <xf numFmtId="0" fontId="20" fillId="15" borderId="76" xfId="0" applyFont="1" applyFill="1" applyBorder="1" applyAlignment="1">
      <alignment horizontal="center" vertical="center"/>
    </xf>
    <xf numFmtId="0" fontId="20" fillId="10" borderId="76" xfId="0" applyFont="1" applyFill="1" applyBorder="1" applyAlignment="1">
      <alignment horizontal="center" vertical="center"/>
    </xf>
    <xf numFmtId="0" fontId="11" fillId="5" borderId="76" xfId="0" applyFont="1" applyFill="1" applyBorder="1" applyAlignment="1">
      <alignment horizontal="center" vertical="center" wrapText="1"/>
    </xf>
    <xf numFmtId="0" fontId="1" fillId="0" borderId="76" xfId="0" applyFont="1" applyBorder="1"/>
    <xf numFmtId="0" fontId="9" fillId="4" borderId="3" xfId="0" applyFont="1" applyFill="1" applyBorder="1" applyAlignment="1">
      <alignment horizontal="center"/>
    </xf>
    <xf numFmtId="9" fontId="13" fillId="6" borderId="10" xfId="0" applyNumberFormat="1" applyFont="1" applyFill="1" applyBorder="1" applyAlignment="1">
      <alignment horizontal="center" vertical="center" wrapText="1"/>
    </xf>
    <xf numFmtId="9" fontId="13" fillId="6" borderId="3" xfId="0" applyNumberFormat="1" applyFont="1" applyFill="1" applyBorder="1" applyAlignment="1">
      <alignment horizontal="center" vertical="center" wrapText="1"/>
    </xf>
    <xf numFmtId="9" fontId="13" fillId="7" borderId="10" xfId="0" applyNumberFormat="1" applyFont="1" applyFill="1" applyBorder="1" applyAlignment="1">
      <alignment horizontal="center" vertical="center" wrapText="1"/>
    </xf>
    <xf numFmtId="9" fontId="13" fillId="7" borderId="1" xfId="0" applyNumberFormat="1" applyFont="1" applyFill="1" applyBorder="1" applyAlignment="1">
      <alignment horizontal="center" vertical="center" wrapText="1"/>
    </xf>
    <xf numFmtId="0" fontId="20" fillId="16" borderId="77" xfId="0" applyFont="1" applyFill="1" applyBorder="1" applyAlignment="1">
      <alignment horizontal="center" vertical="center"/>
    </xf>
    <xf numFmtId="0" fontId="20" fillId="16" borderId="78" xfId="0" applyFont="1" applyFill="1" applyBorder="1" applyAlignment="1">
      <alignment horizontal="center" vertical="center"/>
    </xf>
    <xf numFmtId="0" fontId="20" fillId="8" borderId="77" xfId="0" applyFont="1" applyFill="1" applyBorder="1" applyAlignment="1">
      <alignment horizontal="center" vertical="center"/>
    </xf>
    <xf numFmtId="0" fontId="20" fillId="8" borderId="78" xfId="0" applyFont="1" applyFill="1" applyBorder="1" applyAlignment="1">
      <alignment horizontal="center" vertical="center"/>
    </xf>
    <xf numFmtId="0" fontId="11" fillId="4" borderId="39" xfId="0" applyFont="1" applyFill="1" applyBorder="1" applyAlignment="1">
      <alignment horizontal="center" vertical="center"/>
    </xf>
    <xf numFmtId="0" fontId="11" fillId="4" borderId="75" xfId="0" applyFont="1" applyFill="1" applyBorder="1" applyAlignment="1">
      <alignment horizontal="center" vertical="center"/>
    </xf>
    <xf numFmtId="0" fontId="11" fillId="4" borderId="61" xfId="0" applyFont="1" applyFill="1" applyBorder="1" applyAlignment="1">
      <alignment horizontal="center" vertical="center"/>
    </xf>
    <xf numFmtId="0" fontId="11" fillId="4" borderId="59" xfId="0" applyFont="1" applyFill="1" applyBorder="1" applyAlignment="1">
      <alignment horizontal="center" vertical="center"/>
    </xf>
    <xf numFmtId="0" fontId="11" fillId="4" borderId="58" xfId="0" applyFont="1" applyFill="1" applyBorder="1" applyAlignment="1">
      <alignment horizontal="center" vertical="center"/>
    </xf>
    <xf numFmtId="0" fontId="12" fillId="0" borderId="39" xfId="0" applyFont="1" applyBorder="1" applyAlignment="1">
      <alignment horizontal="center" vertical="center"/>
    </xf>
    <xf numFmtId="0" fontId="12" fillId="3" borderId="39" xfId="0" applyFont="1" applyFill="1" applyBorder="1" applyAlignment="1">
      <alignment horizontal="center" vertical="center"/>
    </xf>
    <xf numFmtId="9" fontId="12" fillId="0" borderId="39" xfId="0" applyNumberFormat="1" applyFont="1" applyBorder="1" applyAlignment="1">
      <alignment horizontal="center" vertical="center"/>
    </xf>
    <xf numFmtId="9" fontId="12" fillId="3" borderId="39" xfId="0" applyNumberFormat="1" applyFont="1" applyFill="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22" xfId="0" applyFont="1" applyBorder="1" applyAlignment="1">
      <alignment horizontal="center" vertical="center"/>
    </xf>
    <xf numFmtId="0" fontId="12" fillId="0" borderId="24" xfId="0" applyFont="1" applyBorder="1" applyAlignment="1">
      <alignment horizontal="center" vertical="center"/>
    </xf>
    <xf numFmtId="0" fontId="12" fillId="3" borderId="19" xfId="0" applyFont="1" applyFill="1" applyBorder="1" applyAlignment="1">
      <alignment horizontal="center" vertical="center"/>
    </xf>
    <xf numFmtId="0" fontId="12" fillId="3" borderId="20" xfId="0" applyFont="1" applyFill="1" applyBorder="1" applyAlignment="1">
      <alignment horizontal="center" vertical="center"/>
    </xf>
    <xf numFmtId="0" fontId="12" fillId="3" borderId="22" xfId="0" applyFont="1" applyFill="1" applyBorder="1" applyAlignment="1">
      <alignment horizontal="center" vertical="center"/>
    </xf>
    <xf numFmtId="0" fontId="12" fillId="3" borderId="24" xfId="0" applyFont="1" applyFill="1" applyBorder="1" applyAlignment="1">
      <alignment horizontal="center" vertical="center"/>
    </xf>
    <xf numFmtId="0" fontId="12" fillId="0" borderId="62" xfId="0" applyFont="1" applyBorder="1" applyAlignment="1">
      <alignment horizontal="center" vertical="center"/>
    </xf>
    <xf numFmtId="0" fontId="12" fillId="0" borderId="37" xfId="0" applyFont="1" applyBorder="1" applyAlignment="1">
      <alignment horizontal="center" vertical="center"/>
    </xf>
    <xf numFmtId="9" fontId="12" fillId="0" borderId="19" xfId="0" applyNumberFormat="1" applyFont="1" applyBorder="1" applyAlignment="1">
      <alignment horizontal="center" vertical="center"/>
    </xf>
    <xf numFmtId="9" fontId="12" fillId="0" borderId="1" xfId="0" applyNumberFormat="1" applyFont="1" applyBorder="1" applyAlignment="1">
      <alignment horizontal="center" vertical="center"/>
    </xf>
    <xf numFmtId="9" fontId="12" fillId="0" borderId="20" xfId="0" applyNumberFormat="1" applyFont="1" applyBorder="1" applyAlignment="1">
      <alignment horizontal="center" vertical="center"/>
    </xf>
    <xf numFmtId="9" fontId="12" fillId="0" borderId="22" xfId="0" applyNumberFormat="1" applyFont="1" applyBorder="1" applyAlignment="1">
      <alignment horizontal="center" vertical="center"/>
    </xf>
    <xf numFmtId="9" fontId="12" fillId="0" borderId="25" xfId="0" applyNumberFormat="1" applyFont="1" applyBorder="1" applyAlignment="1">
      <alignment horizontal="center" vertical="center"/>
    </xf>
    <xf numFmtId="9" fontId="12" fillId="0" borderId="24" xfId="0" applyNumberFormat="1" applyFont="1" applyBorder="1" applyAlignment="1">
      <alignment horizontal="center" vertical="center"/>
    </xf>
    <xf numFmtId="9" fontId="12" fillId="3" borderId="19" xfId="0" applyNumberFormat="1" applyFont="1" applyFill="1" applyBorder="1" applyAlignment="1">
      <alignment horizontal="center" vertical="center"/>
    </xf>
    <xf numFmtId="9" fontId="12" fillId="3" borderId="20" xfId="0" applyNumberFormat="1" applyFont="1" applyFill="1" applyBorder="1" applyAlignment="1">
      <alignment horizontal="center" vertical="center"/>
    </xf>
    <xf numFmtId="9" fontId="12" fillId="3" borderId="22" xfId="0" applyNumberFormat="1" applyFont="1" applyFill="1" applyBorder="1" applyAlignment="1">
      <alignment horizontal="center" vertical="center"/>
    </xf>
    <xf numFmtId="9" fontId="12" fillId="3" borderId="24" xfId="0" applyNumberFormat="1" applyFont="1" applyFill="1" applyBorder="1" applyAlignment="1">
      <alignment horizontal="center" vertical="center"/>
    </xf>
    <xf numFmtId="0" fontId="12" fillId="0" borderId="70" xfId="0" applyFont="1" applyBorder="1" applyAlignment="1">
      <alignment horizontal="center" vertical="center"/>
    </xf>
    <xf numFmtId="0" fontId="12" fillId="0" borderId="71" xfId="0" applyFont="1" applyBorder="1" applyAlignment="1">
      <alignment horizontal="center" vertical="center"/>
    </xf>
    <xf numFmtId="0" fontId="12" fillId="3" borderId="72" xfId="0" applyFont="1" applyFill="1" applyBorder="1" applyAlignment="1">
      <alignment horizontal="center" vertical="center"/>
    </xf>
    <xf numFmtId="0" fontId="12" fillId="3" borderId="71" xfId="0" applyFont="1" applyFill="1" applyBorder="1" applyAlignment="1">
      <alignment horizontal="center" vertical="center"/>
    </xf>
    <xf numFmtId="9" fontId="12" fillId="0" borderId="72" xfId="0" applyNumberFormat="1" applyFont="1" applyBorder="1" applyAlignment="1">
      <alignment horizontal="center" vertical="center"/>
    </xf>
    <xf numFmtId="9" fontId="12" fillId="0" borderId="70" xfId="0" applyNumberFormat="1" applyFont="1" applyBorder="1" applyAlignment="1">
      <alignment horizontal="center" vertical="center"/>
    </xf>
    <xf numFmtId="9" fontId="12" fillId="0" borderId="71" xfId="0" applyNumberFormat="1" applyFont="1" applyBorder="1" applyAlignment="1">
      <alignment horizontal="center" vertical="center"/>
    </xf>
    <xf numFmtId="9" fontId="12" fillId="3" borderId="72" xfId="0" applyNumberFormat="1" applyFont="1" applyFill="1" applyBorder="1" applyAlignment="1">
      <alignment horizontal="center" vertical="center"/>
    </xf>
    <xf numFmtId="9" fontId="12" fillId="3" borderId="74" xfId="0" applyNumberFormat="1" applyFont="1" applyFill="1" applyBorder="1" applyAlignment="1">
      <alignment horizontal="center" vertical="center"/>
    </xf>
    <xf numFmtId="0" fontId="11" fillId="4" borderId="41" xfId="0" applyFont="1" applyFill="1" applyBorder="1" applyAlignment="1">
      <alignment horizontal="center" vertical="center"/>
    </xf>
    <xf numFmtId="0" fontId="12" fillId="3" borderId="48" xfId="0" applyFont="1" applyFill="1" applyBorder="1" applyAlignment="1">
      <alignment horizontal="center" vertical="center"/>
    </xf>
    <xf numFmtId="0" fontId="12" fillId="0" borderId="48" xfId="0" applyFont="1" applyBorder="1" applyAlignment="1">
      <alignment horizontal="center" vertical="center"/>
    </xf>
    <xf numFmtId="9" fontId="12" fillId="0" borderId="48" xfId="0" applyNumberFormat="1" applyFont="1" applyBorder="1" applyAlignment="1">
      <alignment horizontal="center" vertical="center"/>
    </xf>
    <xf numFmtId="9" fontId="12" fillId="3" borderId="48" xfId="0" applyNumberFormat="1" applyFont="1" applyFill="1" applyBorder="1" applyAlignment="1">
      <alignment horizontal="center" vertical="center" wrapText="1"/>
    </xf>
    <xf numFmtId="9" fontId="12" fillId="3" borderId="39" xfId="0" applyNumberFormat="1" applyFont="1" applyFill="1" applyBorder="1" applyAlignment="1">
      <alignment horizontal="center" vertical="center" wrapText="1"/>
    </xf>
    <xf numFmtId="0" fontId="12" fillId="3" borderId="62" xfId="0" applyFont="1" applyFill="1" applyBorder="1" applyAlignment="1">
      <alignment horizontal="center" vertical="center"/>
    </xf>
    <xf numFmtId="0" fontId="12" fillId="3" borderId="37" xfId="0" applyFont="1" applyFill="1" applyBorder="1" applyAlignment="1">
      <alignment horizontal="center" vertical="center"/>
    </xf>
    <xf numFmtId="9" fontId="12" fillId="3" borderId="19" xfId="0" applyNumberFormat="1" applyFont="1" applyFill="1" applyBorder="1" applyAlignment="1">
      <alignment horizontal="center" vertical="center" wrapText="1"/>
    </xf>
    <xf numFmtId="9" fontId="12" fillId="3" borderId="20" xfId="0" applyNumberFormat="1" applyFont="1" applyFill="1" applyBorder="1" applyAlignment="1">
      <alignment horizontal="center" vertical="center" wrapText="1"/>
    </xf>
    <xf numFmtId="9" fontId="12" fillId="3" borderId="22" xfId="0" applyNumberFormat="1" applyFont="1" applyFill="1" applyBorder="1" applyAlignment="1">
      <alignment horizontal="center" vertical="center" wrapText="1"/>
    </xf>
    <xf numFmtId="9" fontId="12" fillId="3" borderId="24" xfId="0" applyNumberFormat="1" applyFont="1" applyFill="1" applyBorder="1" applyAlignment="1">
      <alignment horizontal="center" vertical="center" wrapText="1"/>
    </xf>
    <xf numFmtId="9" fontId="12" fillId="3" borderId="1" xfId="0" applyNumberFormat="1" applyFont="1" applyFill="1" applyBorder="1" applyAlignment="1">
      <alignment horizontal="center" vertical="center"/>
    </xf>
    <xf numFmtId="9" fontId="12" fillId="3" borderId="25" xfId="0" applyNumberFormat="1" applyFont="1" applyFill="1" applyBorder="1" applyAlignment="1">
      <alignment horizontal="center" vertical="center"/>
    </xf>
    <xf numFmtId="0" fontId="11" fillId="4" borderId="68" xfId="0" applyFont="1" applyFill="1" applyBorder="1" applyAlignment="1">
      <alignment horizontal="center" vertical="center"/>
    </xf>
    <xf numFmtId="0" fontId="11" fillId="4" borderId="66" xfId="0" applyFont="1" applyFill="1" applyBorder="1" applyAlignment="1">
      <alignment horizontal="center" vertical="center"/>
    </xf>
    <xf numFmtId="0" fontId="11" fillId="4" borderId="63" xfId="0" applyFont="1" applyFill="1" applyBorder="1" applyAlignment="1">
      <alignment horizontal="center" vertical="center"/>
    </xf>
    <xf numFmtId="0" fontId="11" fillId="4" borderId="65" xfId="0" applyFont="1" applyFill="1" applyBorder="1" applyAlignment="1">
      <alignment horizontal="center" vertical="center"/>
    </xf>
    <xf numFmtId="0" fontId="11" fillId="4" borderId="64"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2" borderId="0" xfId="0" applyFont="1" applyFill="1" applyAlignment="1">
      <alignment horizontal="center"/>
    </xf>
    <xf numFmtId="0" fontId="7" fillId="2" borderId="0" xfId="0" applyFont="1" applyFill="1" applyAlignment="1">
      <alignment horizontal="center"/>
    </xf>
    <xf numFmtId="0" fontId="11" fillId="4" borderId="10" xfId="0" applyFont="1" applyFill="1" applyBorder="1" applyAlignment="1">
      <alignment horizontal="center" vertical="center"/>
    </xf>
    <xf numFmtId="0" fontId="11" fillId="4" borderId="15"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18" xfId="0" applyFont="1" applyFill="1" applyBorder="1" applyAlignment="1">
      <alignment horizontal="center" vertical="center"/>
    </xf>
    <xf numFmtId="9" fontId="12" fillId="3" borderId="10" xfId="0" applyNumberFormat="1" applyFont="1" applyFill="1" applyBorder="1" applyAlignment="1">
      <alignment horizontal="center" vertical="center" wrapText="1"/>
    </xf>
    <xf numFmtId="9" fontId="12" fillId="3" borderId="49" xfId="0" applyNumberFormat="1" applyFont="1" applyFill="1" applyBorder="1" applyAlignment="1">
      <alignment horizontal="center" vertical="center" wrapText="1"/>
    </xf>
    <xf numFmtId="9" fontId="12" fillId="3" borderId="25" xfId="0" applyNumberFormat="1" applyFont="1" applyFill="1" applyBorder="1" applyAlignment="1">
      <alignment horizontal="center" vertical="center" wrapText="1"/>
    </xf>
    <xf numFmtId="0" fontId="11" fillId="4" borderId="9" xfId="0" applyFont="1" applyFill="1" applyBorder="1" applyAlignment="1">
      <alignment horizontal="center" vertical="center"/>
    </xf>
    <xf numFmtId="0" fontId="11" fillId="4" borderId="23" xfId="0" applyFont="1" applyFill="1" applyBorder="1" applyAlignment="1">
      <alignment horizontal="center" vertical="center"/>
    </xf>
    <xf numFmtId="0" fontId="12" fillId="0" borderId="0" xfId="0" applyFont="1" applyAlignment="1">
      <alignment horizontal="center" vertical="center"/>
    </xf>
    <xf numFmtId="0" fontId="1" fillId="0" borderId="20" xfId="0" applyFont="1" applyBorder="1" applyAlignment="1">
      <alignment vertical="center"/>
    </xf>
    <xf numFmtId="0" fontId="1" fillId="0" borderId="25" xfId="0" applyFont="1" applyBorder="1" applyAlignment="1">
      <alignment vertical="center"/>
    </xf>
    <xf numFmtId="0" fontId="1" fillId="0" borderId="24" xfId="0" applyFont="1" applyBorder="1" applyAlignment="1">
      <alignment vertical="center"/>
    </xf>
    <xf numFmtId="0" fontId="11" fillId="4" borderId="0" xfId="0" applyFont="1" applyFill="1" applyAlignment="1">
      <alignment horizontal="center" vertical="center"/>
    </xf>
    <xf numFmtId="0" fontId="1" fillId="0" borderId="7" xfId="0" applyFont="1" applyBorder="1" applyAlignment="1">
      <alignment vertical="center"/>
    </xf>
    <xf numFmtId="0" fontId="1" fillId="0" borderId="16" xfId="0" applyFont="1" applyBorder="1" applyAlignment="1">
      <alignment vertical="center"/>
    </xf>
    <xf numFmtId="0" fontId="1" fillId="0" borderId="13" xfId="0" applyFont="1" applyBorder="1" applyAlignment="1">
      <alignment vertical="center"/>
    </xf>
    <xf numFmtId="0" fontId="1" fillId="0" borderId="22" xfId="0" applyFont="1" applyBorder="1" applyAlignment="1">
      <alignment vertical="center"/>
    </xf>
    <xf numFmtId="9" fontId="12" fillId="0" borderId="0" xfId="0" applyNumberFormat="1" applyFont="1" applyAlignment="1">
      <alignment horizontal="center" vertical="center"/>
    </xf>
    <xf numFmtId="0" fontId="0" fillId="0" borderId="0" xfId="0" applyFont="1" applyAlignment="1">
      <alignment vertical="center"/>
    </xf>
    <xf numFmtId="0" fontId="11" fillId="4" borderId="5" xfId="0" applyFont="1" applyFill="1" applyBorder="1" applyAlignment="1">
      <alignment horizontal="center"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17" xfId="0" applyFont="1" applyBorder="1" applyAlignment="1">
      <alignment vertical="center"/>
    </xf>
    <xf numFmtId="0" fontId="11" fillId="4" borderId="46"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47"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50" xfId="0" applyFont="1" applyFill="1" applyBorder="1" applyAlignment="1">
      <alignment horizontal="center" vertical="center"/>
    </xf>
    <xf numFmtId="0" fontId="11" fillId="4" borderId="16"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51"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14" xfId="0" applyFont="1" applyFill="1" applyBorder="1" applyAlignment="1">
      <alignment horizontal="center" vertical="center"/>
    </xf>
    <xf numFmtId="0" fontId="46" fillId="0" borderId="1" xfId="0" applyFont="1" applyBorder="1" applyAlignment="1">
      <alignment vertical="center" wrapText="1"/>
    </xf>
    <xf numFmtId="0" fontId="46" fillId="0" borderId="30" xfId="0" applyFont="1" applyBorder="1" applyAlignment="1">
      <alignment vertical="center" wrapText="1"/>
    </xf>
    <xf numFmtId="0" fontId="44" fillId="29" borderId="26" xfId="2" applyBorder="1" applyAlignment="1">
      <alignment horizontal="center" vertical="center" wrapText="1"/>
    </xf>
    <xf numFmtId="0" fontId="44" fillId="29" borderId="21" xfId="2" applyBorder="1" applyAlignment="1">
      <alignment horizontal="center" vertical="center" wrapText="1"/>
    </xf>
    <xf numFmtId="0" fontId="45" fillId="30" borderId="26" xfId="3" applyBorder="1" applyAlignment="1">
      <alignment horizontal="center" vertical="center" wrapText="1"/>
    </xf>
    <xf numFmtId="0" fontId="44" fillId="29" borderId="41" xfId="2" applyBorder="1" applyAlignment="1">
      <alignment horizontal="center" vertical="center" wrapText="1"/>
    </xf>
    <xf numFmtId="0" fontId="22" fillId="0" borderId="0" xfId="0" applyFont="1" applyAlignment="1"/>
    <xf numFmtId="0" fontId="47" fillId="0" borderId="0" xfId="0" applyFont="1" applyAlignment="1"/>
    <xf numFmtId="0" fontId="46" fillId="0" borderId="1" xfId="0" applyFont="1" applyBorder="1" applyAlignment="1">
      <alignment horizontal="left" vertical="center" wrapText="1"/>
    </xf>
    <xf numFmtId="0" fontId="46" fillId="0" borderId="38" xfId="0" applyFont="1" applyBorder="1" applyAlignment="1">
      <alignment horizontal="left" vertical="center" wrapText="1"/>
    </xf>
    <xf numFmtId="0" fontId="48" fillId="0" borderId="1" xfId="0" applyFont="1" applyBorder="1" applyAlignment="1">
      <alignment vertical="center" wrapText="1"/>
    </xf>
    <xf numFmtId="0" fontId="48" fillId="0" borderId="3" xfId="0" applyFont="1" applyBorder="1" applyAlignment="1">
      <alignment vertical="center" wrapText="1"/>
    </xf>
    <xf numFmtId="0" fontId="48" fillId="0" borderId="0" xfId="0" applyFont="1" applyAlignment="1">
      <alignment vertical="center" wrapText="1"/>
    </xf>
    <xf numFmtId="0" fontId="48" fillId="3" borderId="0" xfId="0" applyFont="1" applyFill="1" applyAlignment="1">
      <alignment vertical="center" wrapText="1"/>
    </xf>
    <xf numFmtId="0" fontId="48" fillId="3" borderId="0" xfId="0" applyFont="1" applyFill="1" applyAlignment="1">
      <alignment vertical="center"/>
    </xf>
    <xf numFmtId="0" fontId="44" fillId="29" borderId="1" xfId="2" applyBorder="1" applyAlignment="1">
      <alignment horizontal="center" vertical="center" wrapText="1"/>
    </xf>
    <xf numFmtId="0" fontId="14" fillId="14"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14" fillId="16" borderId="1" xfId="0" applyFont="1" applyFill="1" applyBorder="1" applyAlignment="1">
      <alignment horizontal="center" vertical="center" wrapText="1"/>
    </xf>
    <xf numFmtId="0" fontId="30" fillId="17" borderId="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30" fillId="16" borderId="1" xfId="0" applyFont="1" applyFill="1" applyBorder="1" applyAlignment="1">
      <alignment horizontal="center" vertical="center" wrapText="1"/>
    </xf>
    <xf numFmtId="0" fontId="48" fillId="0" borderId="1" xfId="0" applyFont="1" applyBorder="1" applyAlignment="1">
      <alignment vertical="center" wrapText="1"/>
    </xf>
    <xf numFmtId="0" fontId="30" fillId="8" borderId="21" xfId="0" applyFont="1" applyFill="1" applyBorder="1" applyAlignment="1">
      <alignment horizontal="center" vertical="center" wrapText="1"/>
    </xf>
    <xf numFmtId="0" fontId="5" fillId="2" borderId="21" xfId="0" applyFont="1" applyFill="1" applyBorder="1" applyAlignment="1">
      <alignment horizontal="center" vertical="center"/>
    </xf>
    <xf numFmtId="0" fontId="48" fillId="31" borderId="1" xfId="0" applyFont="1" applyFill="1" applyBorder="1" applyAlignment="1">
      <alignment vertical="center"/>
    </xf>
    <xf numFmtId="0" fontId="48" fillId="22" borderId="0" xfId="0" applyFont="1" applyFill="1" applyAlignment="1">
      <alignment vertical="center"/>
    </xf>
    <xf numFmtId="0" fontId="48" fillId="31" borderId="0" xfId="0" applyFont="1" applyFill="1" applyAlignment="1">
      <alignment vertical="center"/>
    </xf>
    <xf numFmtId="0" fontId="14" fillId="15" borderId="26" xfId="0" applyFont="1" applyFill="1" applyBorder="1" applyAlignment="1">
      <alignment horizontal="center" vertical="center" wrapText="1"/>
    </xf>
    <xf numFmtId="0" fontId="49" fillId="19" borderId="1" xfId="2" applyFont="1" applyFill="1" applyBorder="1" applyAlignment="1">
      <alignment horizontal="center" vertical="center" wrapText="1"/>
    </xf>
    <xf numFmtId="0" fontId="49" fillId="20" borderId="1" xfId="2" applyFont="1" applyFill="1" applyBorder="1" applyAlignment="1">
      <alignment horizontal="center" vertical="center" wrapText="1"/>
    </xf>
  </cellXfs>
  <cellStyles count="4">
    <cellStyle name="Insatisfaisant" xfId="2" builtinId="27"/>
    <cellStyle name="Lien hypertexte" xfId="1" builtinId="8"/>
    <cellStyle name="Neutre" xfId="3" builtinId="28"/>
    <cellStyle name="Normal" xfId="0" builtinId="0"/>
  </cellStyles>
  <dxfs count="403">
    <dxf>
      <font>
        <color theme="6"/>
      </font>
      <fill>
        <patternFill>
          <bgColor rgb="FFFFA7A7"/>
        </patternFill>
      </fill>
    </dxf>
    <dxf>
      <font>
        <color theme="6"/>
      </font>
      <fill>
        <patternFill>
          <bgColor rgb="FFFFA3A3"/>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numFmt numFmtId="0" formatCode="General"/>
    </dxf>
    <dxf>
      <numFmt numFmtId="0" formatCode="General"/>
    </dxf>
    <dxf>
      <font>
        <strike val="0"/>
        <outline val="0"/>
        <shadow val="0"/>
        <vertAlign val="baseline"/>
        <sz val="11"/>
      </font>
      <alignment vertical="center" textRotation="0" indent="0" justifyLastLine="0" shrinkToFit="0" readingOrder="0"/>
      <border outline="0">
        <right style="thin">
          <color rgb="FFFFFFFF"/>
        </right>
      </border>
    </dxf>
    <dxf>
      <font>
        <strike val="0"/>
        <outline val="0"/>
        <shadow val="0"/>
        <vertAlign val="baseline"/>
        <sz val="11"/>
      </font>
      <alignment vertical="center" textRotation="0" indent="0" justifyLastLine="0" shrinkToFit="0" readingOrder="0"/>
    </dxf>
    <dxf>
      <font>
        <strike val="0"/>
        <outline val="0"/>
        <shadow val="0"/>
        <vertAlign val="baseline"/>
        <sz val="11"/>
      </font>
      <alignment vertical="center" textRotation="0" indent="0" justifyLastLine="0" shrinkToFit="0" readingOrder="0"/>
    </dxf>
    <dxf>
      <font>
        <strike val="0"/>
        <outline val="0"/>
        <shadow val="0"/>
        <vertAlign val="baseline"/>
        <sz val="11"/>
      </font>
      <alignment vertical="center" textRotation="0" indent="0" justifyLastLine="0" shrinkToFit="0" readingOrder="0"/>
    </dxf>
    <dxf>
      <font>
        <strike val="0"/>
        <outline val="0"/>
        <shadow val="0"/>
        <vertAlign val="baseline"/>
        <sz val="11"/>
      </font>
      <alignment vertical="center" textRotation="0" indent="0" justifyLastLine="0" shrinkToFit="0" readingOrder="0"/>
    </dxf>
    <dxf>
      <font>
        <strike val="0"/>
        <outline val="0"/>
        <shadow val="0"/>
        <vertAlign val="baseline"/>
        <sz val="11"/>
      </font>
      <alignment vertical="center" textRotation="0" indent="0" justifyLastLine="0" shrinkToFit="0" readingOrder="0"/>
    </dxf>
    <dxf>
      <alignment vertical="center" textRotation="0" indent="0" justifyLastLine="0" shrinkToFit="0" readingOrder="0"/>
    </dxf>
    <dxf>
      <font>
        <strike val="0"/>
        <outline val="0"/>
        <shadow val="0"/>
        <vertAlign val="baseline"/>
        <sz val="11"/>
      </font>
      <alignment vertical="center" textRotation="0" indent="0" justifyLastLine="0" shrinkToFit="0" readingOrder="0"/>
    </dxf>
    <dxf>
      <alignment vertical="center" textRotation="0" indent="0" justifyLastLine="0" shrinkToFit="0" readingOrder="0"/>
    </dxf>
    <dxf>
      <font>
        <strike val="0"/>
        <outline val="0"/>
        <shadow val="0"/>
        <vertAlign val="baseline"/>
        <color theme="1"/>
      </font>
      <alignment vertical="center" textRotation="0" indent="0" justifyLastLine="0" shrinkToFit="0" readingOrder="0"/>
      <border outline="0">
        <right style="thin">
          <color rgb="FFFFFFFF"/>
        </right>
      </border>
    </dxf>
    <dxf>
      <font>
        <strike val="0"/>
        <outline val="0"/>
        <shadow val="0"/>
        <vertAlign val="baseline"/>
        <color theme="1"/>
      </font>
      <alignment vertical="center" textRotation="0" indent="0" justifyLastLine="0" shrinkToFit="0" readingOrder="0"/>
    </dxf>
    <dxf>
      <font>
        <strike val="0"/>
        <outline val="0"/>
        <shadow val="0"/>
        <vertAlign val="baseline"/>
        <color theme="1"/>
      </font>
      <alignment vertical="center" textRotation="0" indent="0" justifyLastLine="0" shrinkToFit="0" readingOrder="0"/>
    </dxf>
    <dxf>
      <font>
        <strike val="0"/>
        <outline val="0"/>
        <shadow val="0"/>
        <vertAlign val="baseline"/>
        <color theme="1"/>
      </font>
      <alignment vertical="center" textRotation="0" indent="0" justifyLastLine="0" shrinkToFit="0" readingOrder="0"/>
    </dxf>
    <dxf>
      <font>
        <strike val="0"/>
        <outline val="0"/>
        <shadow val="0"/>
        <vertAlign val="baseline"/>
        <color theme="1"/>
      </font>
      <alignment vertical="center" textRotation="0" indent="0" justifyLastLine="0" shrinkToFit="0" readingOrder="0"/>
    </dxf>
    <dxf>
      <font>
        <strike val="0"/>
        <outline val="0"/>
        <shadow val="0"/>
        <vertAlign val="baseline"/>
        <color theme="1"/>
      </font>
      <alignment vertical="center" textRotation="0" indent="0" justifyLastLine="0" shrinkToFit="0" readingOrder="0"/>
    </dxf>
    <dxf>
      <alignment vertical="center" textRotation="0" indent="0" justifyLastLine="0" shrinkToFit="0" readingOrder="0"/>
    </dxf>
    <dxf>
      <font>
        <strike val="0"/>
        <outline val="0"/>
        <shadow val="0"/>
        <vertAlign val="baseline"/>
        <color theme="1"/>
      </font>
      <alignment vertical="center" textRotation="0" indent="0" justifyLastLine="0" shrinkToFit="0" readingOrder="0"/>
    </dxf>
    <dxf>
      <alignment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CCCCCC"/>
          <bgColor rgb="FFCCCCCC"/>
        </patternFill>
      </fill>
    </dxf>
    <dxf>
      <fill>
        <patternFill patternType="solid">
          <fgColor rgb="FFEFEFEF"/>
          <bgColor rgb="FFEFEFE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D9D9D9"/>
          <bgColor rgb="FFD9D9D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
      <fill>
        <patternFill patternType="solid">
          <fgColor rgb="FFEFEFEF"/>
          <bgColor rgb="FFEFEFEF"/>
        </patternFill>
      </fill>
    </dxf>
    <dxf>
      <fill>
        <patternFill patternType="solid">
          <fgColor rgb="FFD9D9D9"/>
          <bgColor rgb="FFD9D9D9"/>
        </patternFill>
      </fill>
    </dxf>
    <dxf>
      <fill>
        <patternFill patternType="solid">
          <fgColor rgb="FFBDBDBD"/>
          <bgColor rgb="FFBDBDBD"/>
        </patternFill>
      </fill>
    </dxf>
  </dxfs>
  <tableStyles count="24">
    <tableStyle name="Plan de tests-style" pivot="0" count="3" xr9:uid="{00000000-0011-0000-FFFF-FFFF00000000}">
      <tableStyleElement type="headerRow" dxfId="402"/>
      <tableStyleElement type="firstRowStripe" dxfId="401"/>
      <tableStyleElement type="secondRowStripe" dxfId="400"/>
    </tableStyle>
    <tableStyle name="Plan de tests-style 2" pivot="0" count="3" xr9:uid="{00000000-0011-0000-FFFF-FFFF01000000}">
      <tableStyleElement type="headerRow" dxfId="399"/>
      <tableStyleElement type="firstRowStripe" dxfId="398"/>
      <tableStyleElement type="secondRowStripe" dxfId="397"/>
    </tableStyle>
    <tableStyle name="Plan de tests-style 3" pivot="0" count="3" xr9:uid="{00000000-0011-0000-FFFF-FFFF02000000}">
      <tableStyleElement type="headerRow" dxfId="396"/>
      <tableStyleElement type="firstRowStripe" dxfId="395"/>
      <tableStyleElement type="secondRowStripe" dxfId="394"/>
    </tableStyle>
    <tableStyle name="Règles Métiers-style" pivot="0" count="3" xr9:uid="{00000000-0011-0000-FFFF-FFFF03000000}">
      <tableStyleElement type="headerRow" dxfId="393"/>
      <tableStyleElement type="firstRowStripe" dxfId="392"/>
      <tableStyleElement type="secondRowStripe" dxfId="391"/>
    </tableStyle>
    <tableStyle name="Plan de tests-style 4" pivot="0" count="3" xr9:uid="{00000000-0011-0000-FFFF-FFFF04000000}">
      <tableStyleElement type="headerRow" dxfId="390"/>
      <tableStyleElement type="firstRowStripe" dxfId="389"/>
      <tableStyleElement type="secondRowStripe" dxfId="388"/>
    </tableStyle>
    <tableStyle name="Plan de tests-style 5" pivot="0" count="3" xr9:uid="{00000000-0011-0000-FFFF-FFFF05000000}">
      <tableStyleElement type="headerRow" dxfId="387"/>
      <tableStyleElement type="firstRowStripe" dxfId="386"/>
      <tableStyleElement type="secondRowStripe" dxfId="385"/>
    </tableStyle>
    <tableStyle name="Plan de tests-style 6" pivot="0" count="3" xr9:uid="{00000000-0011-0000-FFFF-FFFF06000000}">
      <tableStyleElement type="headerRow" dxfId="384"/>
      <tableStyleElement type="firstRowStripe" dxfId="383"/>
      <tableStyleElement type="secondRowStripe" dxfId="382"/>
    </tableStyle>
    <tableStyle name="Plan de tests-style 7" pivot="0" count="3" xr9:uid="{00000000-0011-0000-FFFF-FFFF07000000}">
      <tableStyleElement type="headerRow" dxfId="381"/>
      <tableStyleElement type="firstRowStripe" dxfId="380"/>
      <tableStyleElement type="secondRowStripe" dxfId="379"/>
    </tableStyle>
    <tableStyle name="Plan de tests-style 8" pivot="0" count="3" xr9:uid="{00000000-0011-0000-FFFF-FFFF08000000}">
      <tableStyleElement type="headerRow" dxfId="378"/>
      <tableStyleElement type="firstRowStripe" dxfId="377"/>
      <tableStyleElement type="secondRowStripe" dxfId="376"/>
    </tableStyle>
    <tableStyle name="Plan de tests-style 9" pivot="0" count="3" xr9:uid="{00000000-0011-0000-FFFF-FFFF09000000}">
      <tableStyleElement type="headerRow" dxfId="375"/>
      <tableStyleElement type="firstRowStripe" dxfId="374"/>
      <tableStyleElement type="secondRowStripe" dxfId="373"/>
    </tableStyle>
    <tableStyle name="Plan de tests-style 10" pivot="0" count="3" xr9:uid="{00000000-0011-0000-FFFF-FFFF0A000000}">
      <tableStyleElement type="headerRow" dxfId="372"/>
      <tableStyleElement type="firstRowStripe" dxfId="371"/>
      <tableStyleElement type="secondRowStripe" dxfId="370"/>
    </tableStyle>
    <tableStyle name="Plan de tests-style 11" pivot="0" count="3" xr9:uid="{00000000-0011-0000-FFFF-FFFF0B000000}">
      <tableStyleElement type="headerRow" dxfId="369"/>
      <tableStyleElement type="firstRowStripe" dxfId="368"/>
      <tableStyleElement type="secondRowStripe" dxfId="367"/>
    </tableStyle>
    <tableStyle name="Plan de tests-style 12" pivot="0" count="3" xr9:uid="{00000000-0011-0000-FFFF-FFFF0C000000}">
      <tableStyleElement type="headerRow" dxfId="366"/>
      <tableStyleElement type="firstRowStripe" dxfId="365"/>
      <tableStyleElement type="secondRowStripe" dxfId="364"/>
    </tableStyle>
    <tableStyle name="Plan de tests-style 13" pivot="0" count="3" xr9:uid="{00000000-0011-0000-FFFF-FFFF0D000000}">
      <tableStyleElement type="headerRow" dxfId="363"/>
      <tableStyleElement type="firstRowStripe" dxfId="362"/>
      <tableStyleElement type="secondRowStripe" dxfId="361"/>
    </tableStyle>
    <tableStyle name="Plan de tests-style 14" pivot="0" count="3" xr9:uid="{00000000-0011-0000-FFFF-FFFF0E000000}">
      <tableStyleElement type="headerRow" dxfId="360"/>
      <tableStyleElement type="firstRowStripe" dxfId="359"/>
      <tableStyleElement type="secondRowStripe" dxfId="358"/>
    </tableStyle>
    <tableStyle name="Plan de tests-style 15" pivot="0" count="3" xr9:uid="{00000000-0011-0000-FFFF-FFFF0F000000}">
      <tableStyleElement type="headerRow" dxfId="357"/>
      <tableStyleElement type="firstRowStripe" dxfId="356"/>
      <tableStyleElement type="secondRowStripe" dxfId="355"/>
    </tableStyle>
    <tableStyle name="Plan de tests-style 16" pivot="0" count="3" xr9:uid="{00000000-0011-0000-FFFF-FFFF10000000}">
      <tableStyleElement type="headerRow" dxfId="354"/>
      <tableStyleElement type="firstRowStripe" dxfId="353"/>
      <tableStyleElement type="secondRowStripe" dxfId="352"/>
    </tableStyle>
    <tableStyle name="Plan de tests-style 17" pivot="0" count="3" xr9:uid="{00000000-0011-0000-FFFF-FFFF11000000}">
      <tableStyleElement type="headerRow" dxfId="351"/>
      <tableStyleElement type="firstRowStripe" dxfId="350"/>
      <tableStyleElement type="secondRowStripe" dxfId="349"/>
    </tableStyle>
    <tableStyle name="Plan de tests-style 18" pivot="0" count="3" xr9:uid="{00000000-0011-0000-FFFF-FFFF12000000}">
      <tableStyleElement type="headerRow" dxfId="348"/>
      <tableStyleElement type="firstRowStripe" dxfId="347"/>
      <tableStyleElement type="secondRowStripe" dxfId="346"/>
    </tableStyle>
    <tableStyle name="Plan de tests-style 19" pivot="0" count="3" xr9:uid="{00000000-0011-0000-FFFF-FFFF13000000}">
      <tableStyleElement type="headerRow" dxfId="345"/>
      <tableStyleElement type="firstRowStripe" dxfId="344"/>
      <tableStyleElement type="secondRowStripe" dxfId="343"/>
    </tableStyle>
    <tableStyle name="Plan de tests-style 20" pivot="0" count="3" xr9:uid="{00000000-0011-0000-FFFF-FFFF14000000}">
      <tableStyleElement type="headerRow" dxfId="342"/>
      <tableStyleElement type="firstRowStripe" dxfId="341"/>
      <tableStyleElement type="secondRowStripe" dxfId="340"/>
    </tableStyle>
    <tableStyle name="Plan de tests-style 21" pivot="0" count="3" xr9:uid="{00000000-0011-0000-FFFF-FFFF15000000}">
      <tableStyleElement type="headerRow" dxfId="339"/>
      <tableStyleElement type="firstRowStripe" dxfId="338"/>
      <tableStyleElement type="secondRowStripe" dxfId="337"/>
    </tableStyle>
    <tableStyle name="User Story-style" pivot="0" count="3" xr9:uid="{00000000-0011-0000-FFFF-FFFF16000000}">
      <tableStyleElement type="headerRow" dxfId="336"/>
      <tableStyleElement type="firstRowStripe" dxfId="335"/>
      <tableStyleElement type="secondRowStripe" dxfId="334"/>
    </tableStyle>
    <tableStyle name="User Story-style 2" pivot="0" count="3" xr9:uid="{00000000-0011-0000-FFFF-FFFF17000000}">
      <tableStyleElement type="headerRow" dxfId="333"/>
      <tableStyleElement type="firstRowStripe" dxfId="332"/>
      <tableStyleElement type="secondRowStripe" dxfId="331"/>
    </tableStyle>
  </tableStyles>
  <colors>
    <mruColors>
      <color rgb="FFFFA3A3"/>
      <color rgb="FFFFA7A7"/>
      <color rgb="FFFFC1C1"/>
      <color rgb="FF515151"/>
      <color rgb="FF2400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Statuts</a:t>
            </a:r>
          </a:p>
        </c:rich>
      </c:tx>
      <c:overlay val="0"/>
      <c:spPr>
        <a:noFill/>
        <a:ln>
          <a:noFill/>
        </a:ln>
        <a:effectLst/>
      </c:spPr>
    </c:title>
    <c:autoTitleDeleted val="0"/>
    <c:plotArea>
      <c:layout/>
      <c:pieChart>
        <c:varyColors val="1"/>
        <c:ser>
          <c:idx val="1"/>
          <c:order val="0"/>
          <c:dPt>
            <c:idx val="0"/>
            <c:bubble3D val="0"/>
            <c:extLst>
              <c:ext xmlns:c16="http://schemas.microsoft.com/office/drawing/2014/chart" uri="{C3380CC4-5D6E-409C-BE32-E72D297353CC}">
                <c16:uniqueId val="{00000014-9CFB-4AA2-8108-6D0F184B2AF6}"/>
              </c:ext>
            </c:extLst>
          </c:dPt>
          <c:dPt>
            <c:idx val="1"/>
            <c:bubble3D val="0"/>
            <c:extLst>
              <c:ext xmlns:c16="http://schemas.microsoft.com/office/drawing/2014/chart" uri="{C3380CC4-5D6E-409C-BE32-E72D297353CC}">
                <c16:uniqueId val="{00000015-9CFB-4AA2-8108-6D0F184B2AF6}"/>
              </c:ext>
            </c:extLst>
          </c:dPt>
          <c:dPt>
            <c:idx val="2"/>
            <c:bubble3D val="0"/>
            <c:extLst>
              <c:ext xmlns:c16="http://schemas.microsoft.com/office/drawing/2014/chart" uri="{C3380CC4-5D6E-409C-BE32-E72D297353CC}">
                <c16:uniqueId val="{00000016-9CFB-4AA2-8108-6D0F184B2AF6}"/>
              </c:ext>
            </c:extLst>
          </c:dPt>
          <c:dLbls>
            <c:spPr>
              <a:noFill/>
              <a:ln>
                <a:noFill/>
              </a:ln>
              <a:effectLst/>
            </c:sp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'Tableau de bord'!$I$12:$I$14</c:f>
              <c:strCache>
                <c:ptCount val="3"/>
                <c:pt idx="0">
                  <c:v>A tester</c:v>
                </c:pt>
                <c:pt idx="1">
                  <c:v>Succès</c:v>
                </c:pt>
                <c:pt idx="2">
                  <c:v>Echec</c:v>
                </c:pt>
              </c:strCache>
            </c:strRef>
          </c:cat>
          <c:val>
            <c:numRef>
              <c:f>'Tableau de bord'!$J$12:$J$14</c:f>
              <c:numCache>
                <c:formatCode>General</c:formatCode>
                <c:ptCount val="3"/>
                <c:pt idx="0">
                  <c:v>181</c:v>
                </c:pt>
                <c:pt idx="1">
                  <c:v>127</c:v>
                </c:pt>
                <c:pt idx="2">
                  <c:v>58</c:v>
                </c:pt>
              </c:numCache>
            </c:numRef>
          </c:val>
          <c:extLst>
            <c:ext xmlns:c16="http://schemas.microsoft.com/office/drawing/2014/chart" uri="{C3380CC4-5D6E-409C-BE32-E72D297353CC}">
              <c16:uniqueId val="{00000013-9CFB-4AA2-8108-6D0F184B2AF6}"/>
            </c:ext>
          </c:extLst>
        </c:ser>
        <c:ser>
          <c:idx val="0"/>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CFB-4AA2-8108-6D0F184B2A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CFB-4AA2-8108-6D0F184B2A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9CFB-4AA2-8108-6D0F184B2A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'Tableau de bord'!$I$12:$I$14</c:f>
              <c:strCache>
                <c:ptCount val="3"/>
                <c:pt idx="0">
                  <c:v>A tester</c:v>
                </c:pt>
                <c:pt idx="1">
                  <c:v>Succès</c:v>
                </c:pt>
                <c:pt idx="2">
                  <c:v>Echec</c:v>
                </c:pt>
              </c:strCache>
            </c:strRef>
          </c:cat>
          <c:val>
            <c:numRef>
              <c:f>'Tableau de bord'!$J$12:$J$14</c:f>
              <c:numCache>
                <c:formatCode>General</c:formatCode>
                <c:ptCount val="3"/>
                <c:pt idx="0">
                  <c:v>181</c:v>
                </c:pt>
                <c:pt idx="1">
                  <c:v>127</c:v>
                </c:pt>
                <c:pt idx="2">
                  <c:v>58</c:v>
                </c:pt>
              </c:numCache>
            </c:numRef>
          </c:val>
          <c:extLst>
            <c:ext xmlns:c16="http://schemas.microsoft.com/office/drawing/2014/chart" uri="{C3380CC4-5D6E-409C-BE32-E72D297353CC}">
              <c16:uniqueId val="{00000012-9CFB-4AA2-8108-6D0F184B2AF6}"/>
            </c:ext>
          </c:extLst>
        </c:ser>
        <c:dLbls>
          <c:dLblPos val="outEnd"/>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rtl="0">
            <a:defRPr sz="15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Qualité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'Tableau de bord'!$I$15:$I$17</c15:sqref>
                  </c15:fullRef>
                </c:ext>
              </c:extLst>
              <c:f>('Tableau de bord'!$I$15,'Tableau de bord'!$I$17)</c:f>
              <c:strCache>
                <c:ptCount val="2"/>
                <c:pt idx="0">
                  <c:v>Avancement</c:v>
                </c:pt>
                <c:pt idx="1">
                  <c:v>Validité</c:v>
                </c:pt>
              </c:strCache>
            </c:strRef>
          </c:cat>
          <c:val>
            <c:numRef>
              <c:extLst>
                <c:ext xmlns:c15="http://schemas.microsoft.com/office/drawing/2012/chart" uri="{02D57815-91ED-43cb-92C2-25804820EDAC}">
                  <c15:fullRef>
                    <c15:sqref>'Tableau de bord'!$J$15:$J$17</c15:sqref>
                  </c15:fullRef>
                </c:ext>
              </c:extLst>
              <c:f>('Tableau de bord'!$J$15,'Tableau de bord'!$J$17)</c:f>
              <c:numCache>
                <c:formatCode>0%</c:formatCode>
                <c:ptCount val="2"/>
                <c:pt idx="0">
                  <c:v>0.50546448087431695</c:v>
                </c:pt>
                <c:pt idx="1">
                  <c:v>0.34699453551912568</c:v>
                </c:pt>
              </c:numCache>
            </c:numRef>
          </c:val>
          <c:extLst>
            <c:ext xmlns:c16="http://schemas.microsoft.com/office/drawing/2014/chart" uri="{C3380CC4-5D6E-409C-BE32-E72D297353CC}">
              <c16:uniqueId val="{00000000-7541-4DD2-8FEF-8BF0F1346DC0}"/>
            </c:ext>
          </c:extLst>
        </c:ser>
        <c:dLbls>
          <c:showLegendKey val="0"/>
          <c:showVal val="0"/>
          <c:showCatName val="0"/>
          <c:showSerName val="0"/>
          <c:showPercent val="0"/>
          <c:showBubbleSize val="0"/>
        </c:dLbls>
        <c:gapWidth val="182"/>
        <c:axId val="912393328"/>
        <c:axId val="637582896"/>
      </c:barChart>
      <c:catAx>
        <c:axId val="9123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7582896"/>
        <c:crosses val="autoZero"/>
        <c:auto val="1"/>
        <c:lblAlgn val="ctr"/>
        <c:lblOffset val="100"/>
        <c:noMultiLvlLbl val="0"/>
      </c:catAx>
      <c:valAx>
        <c:axId val="637582896"/>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12393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Statuts</a:t>
            </a:r>
          </a:p>
        </c:rich>
      </c:tx>
      <c:overlay val="0"/>
      <c:spPr>
        <a:noFill/>
        <a:ln>
          <a:noFill/>
        </a:ln>
        <a:effectLst/>
      </c:spPr>
    </c:title>
    <c:autoTitleDeleted val="0"/>
    <c:plotArea>
      <c:layout/>
      <c:pieChart>
        <c:varyColors val="1"/>
        <c:ser>
          <c:idx val="1"/>
          <c:order val="0"/>
          <c:dPt>
            <c:idx val="0"/>
            <c:bubble3D val="0"/>
            <c:extLst>
              <c:ext xmlns:c16="http://schemas.microsoft.com/office/drawing/2014/chart" uri="{C3380CC4-5D6E-409C-BE32-E72D297353CC}">
                <c16:uniqueId val="{00000000-8411-4E73-9CC5-9C9F174C61A6}"/>
              </c:ext>
            </c:extLst>
          </c:dPt>
          <c:dPt>
            <c:idx val="1"/>
            <c:bubble3D val="0"/>
            <c:extLst>
              <c:ext xmlns:c16="http://schemas.microsoft.com/office/drawing/2014/chart" uri="{C3380CC4-5D6E-409C-BE32-E72D297353CC}">
                <c16:uniqueId val="{00000001-8411-4E73-9CC5-9C9F174C61A6}"/>
              </c:ext>
            </c:extLst>
          </c:dPt>
          <c:dPt>
            <c:idx val="2"/>
            <c:bubble3D val="0"/>
            <c:extLst>
              <c:ext xmlns:c16="http://schemas.microsoft.com/office/drawing/2014/chart" uri="{C3380CC4-5D6E-409C-BE32-E72D297353CC}">
                <c16:uniqueId val="{00000002-8411-4E73-9CC5-9C9F174C61A6}"/>
              </c:ext>
            </c:extLst>
          </c:dPt>
          <c:dLbls>
            <c:spPr>
              <a:noFill/>
              <a:ln>
                <a:noFill/>
              </a:ln>
              <a:effectLst/>
            </c:sp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'Tableau de bord'!$I$12:$I$14</c:f>
              <c:strCache>
                <c:ptCount val="3"/>
                <c:pt idx="0">
                  <c:v>A tester</c:v>
                </c:pt>
                <c:pt idx="1">
                  <c:v>Succès</c:v>
                </c:pt>
                <c:pt idx="2">
                  <c:v>Echec</c:v>
                </c:pt>
              </c:strCache>
            </c:strRef>
          </c:cat>
          <c:val>
            <c:numRef>
              <c:f>'Tableau de bord'!$J$12:$J$14</c:f>
              <c:numCache>
                <c:formatCode>General</c:formatCode>
                <c:ptCount val="3"/>
                <c:pt idx="0">
                  <c:v>181</c:v>
                </c:pt>
                <c:pt idx="1">
                  <c:v>127</c:v>
                </c:pt>
                <c:pt idx="2">
                  <c:v>58</c:v>
                </c:pt>
              </c:numCache>
            </c:numRef>
          </c:val>
          <c:extLst>
            <c:ext xmlns:c16="http://schemas.microsoft.com/office/drawing/2014/chart" uri="{C3380CC4-5D6E-409C-BE32-E72D297353CC}">
              <c16:uniqueId val="{00000003-8411-4E73-9CC5-9C9F174C61A6}"/>
            </c:ext>
          </c:extLst>
        </c:ser>
        <c:ser>
          <c:idx val="0"/>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5-8411-4E73-9CC5-9C9F174C61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8411-4E73-9CC5-9C9F174C61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8411-4E73-9CC5-9C9F174C61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'Tableau de bord'!$I$12:$I$14</c:f>
              <c:strCache>
                <c:ptCount val="3"/>
                <c:pt idx="0">
                  <c:v>A tester</c:v>
                </c:pt>
                <c:pt idx="1">
                  <c:v>Succès</c:v>
                </c:pt>
                <c:pt idx="2">
                  <c:v>Echec</c:v>
                </c:pt>
              </c:strCache>
            </c:strRef>
          </c:cat>
          <c:val>
            <c:numRef>
              <c:f>'Tableau de bord'!$J$12:$J$14</c:f>
              <c:numCache>
                <c:formatCode>General</c:formatCode>
                <c:ptCount val="3"/>
                <c:pt idx="0">
                  <c:v>181</c:v>
                </c:pt>
                <c:pt idx="1">
                  <c:v>127</c:v>
                </c:pt>
                <c:pt idx="2">
                  <c:v>58</c:v>
                </c:pt>
              </c:numCache>
            </c:numRef>
          </c:val>
          <c:extLst>
            <c:ext xmlns:c16="http://schemas.microsoft.com/office/drawing/2014/chart" uri="{C3380CC4-5D6E-409C-BE32-E72D297353CC}">
              <c16:uniqueId val="{0000000A-8411-4E73-9CC5-9C9F174C61A6}"/>
            </c:ext>
          </c:extLst>
        </c:ser>
        <c:dLbls>
          <c:dLblPos val="outEnd"/>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rtl="0">
            <a:defRPr sz="15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344557</xdr:colOff>
      <xdr:row>7</xdr:row>
      <xdr:rowOff>132522</xdr:rowOff>
    </xdr:from>
    <xdr:to>
      <xdr:col>2</xdr:col>
      <xdr:colOff>715617</xdr:colOff>
      <xdr:row>18</xdr:row>
      <xdr:rowOff>79513</xdr:rowOff>
    </xdr:to>
    <xdr:graphicFrame macro="">
      <xdr:nvGraphicFramePr>
        <xdr:cNvPr id="7" name="Graphique 6">
          <a:extLst>
            <a:ext uri="{FF2B5EF4-FFF2-40B4-BE49-F238E27FC236}">
              <a16:creationId xmlns:a16="http://schemas.microsoft.com/office/drawing/2014/main" id="{6CB21279-603E-4B7C-A3AB-58315025B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842683</xdr:colOff>
      <xdr:row>7</xdr:row>
      <xdr:rowOff>134470</xdr:rowOff>
    </xdr:from>
    <xdr:to>
      <xdr:col>7</xdr:col>
      <xdr:colOff>1147482</xdr:colOff>
      <xdr:row>18</xdr:row>
      <xdr:rowOff>25614</xdr:rowOff>
    </xdr:to>
    <xdr:graphicFrame macro="">
      <xdr:nvGraphicFramePr>
        <xdr:cNvPr id="3" name="Graphique 2">
          <a:extLst>
            <a:ext uri="{FF2B5EF4-FFF2-40B4-BE49-F238E27FC236}">
              <a16:creationId xmlns:a16="http://schemas.microsoft.com/office/drawing/2014/main" id="{E9585D4F-61CD-4590-8B33-744C14696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134470</xdr:colOff>
      <xdr:row>8</xdr:row>
      <xdr:rowOff>0</xdr:rowOff>
    </xdr:from>
    <xdr:to>
      <xdr:col>2</xdr:col>
      <xdr:colOff>1142024</xdr:colOff>
      <xdr:row>18</xdr:row>
      <xdr:rowOff>135250</xdr:rowOff>
    </xdr:to>
    <xdr:graphicFrame macro="">
      <xdr:nvGraphicFramePr>
        <xdr:cNvPr id="6" name="Graphique 5">
          <a:extLst>
            <a:ext uri="{FF2B5EF4-FFF2-40B4-BE49-F238E27FC236}">
              <a16:creationId xmlns:a16="http://schemas.microsoft.com/office/drawing/2014/main" id="{762A7E5B-416E-4766-8CB8-E8CE296F4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Table_23" displayName="Table_23" ref="A81:G84" headerRowDxfId="330" dataDxfId="329" totalsRowDxfId="328">
  <tableColumns count="7">
    <tableColumn id="1" xr3:uid="{00000000-0010-0000-0000-000001000000}" name="ID" dataDxfId="327"/>
    <tableColumn id="2" xr3:uid="{00000000-0010-0000-0000-000002000000}" name="Sprint" dataDxfId="326"/>
    <tableColumn id="3" xr3:uid="{00000000-0010-0000-0000-000003000000}" name="En tant que" dataDxfId="325"/>
    <tableColumn id="4" xr3:uid="{00000000-0010-0000-0000-000004000000}" name="Je peux" dataDxfId="324"/>
    <tableColumn id="5" xr3:uid="{00000000-0010-0000-0000-000005000000}" name="Afin de " dataDxfId="323"/>
    <tableColumn id="11" xr3:uid="{B68C5AB4-7D8E-4BC4-8127-AB68965DA06F}" name="NB RM" dataDxfId="311">
      <calculatedColumnFormula>COUNTIF('Règles Métiers'!A:J,'User Story'!A90)</calculatedColumnFormula>
    </tableColumn>
    <tableColumn id="6" xr3:uid="{00000000-0010-0000-0000-000006000000}" name="Règles Métiers" dataDxfId="322"/>
  </tableColumns>
  <tableStyleInfo name="User Stor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le_24" displayName="Table_24" ref="A89:G93" headerRowDxfId="321" dataDxfId="320" totalsRowDxfId="319">
  <tableColumns count="7">
    <tableColumn id="1" xr3:uid="{00000000-0010-0000-0100-000001000000}" name="ID" dataDxfId="318"/>
    <tableColumn id="2" xr3:uid="{00000000-0010-0000-0100-000002000000}" name="Sprint" dataDxfId="317"/>
    <tableColumn id="3" xr3:uid="{00000000-0010-0000-0100-000003000000}" name="En tant que" dataDxfId="316"/>
    <tableColumn id="4" xr3:uid="{00000000-0010-0000-0100-000004000000}" name="Je peux" dataDxfId="315"/>
    <tableColumn id="5" xr3:uid="{00000000-0010-0000-0100-000005000000}" name="Afin de " dataDxfId="314"/>
    <tableColumn id="11" xr3:uid="{500791E9-4F84-44EB-A1D6-D70C780A873E}" name="NB RM" dataDxfId="312">
      <calculatedColumnFormula>COUNTIF('Règles Métiers'!A:J,'User Story'!A90)</calculatedColumnFormula>
    </tableColumn>
    <tableColumn id="6" xr3:uid="{00000000-0010-0000-0100-000006000000}" name="Règles Métiers" dataDxfId="313"/>
  </tableColumns>
  <tableStyleInfo name="User Story-style 2" showFirstColumn="1" showLastColumn="1" showRowStripes="1" showColumnStripes="0"/>
</table>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FFC000"/>
      </a:accent1>
      <a:accent2>
        <a:srgbClr val="00B05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B0F00"/>
  </sheetPr>
  <dimension ref="A1:N83"/>
  <sheetViews>
    <sheetView showGridLines="0" zoomScale="85" zoomScaleNormal="85" workbookViewId="0">
      <selection activeCell="B4" sqref="B4"/>
    </sheetView>
  </sheetViews>
  <sheetFormatPr baseColWidth="10" defaultColWidth="14.42578125" defaultRowHeight="15.75" customHeight="1"/>
  <cols>
    <col min="2" max="2" width="31" customWidth="1"/>
    <col min="3" max="3" width="24.85546875" customWidth="1"/>
    <col min="7" max="7" width="22.140625" customWidth="1"/>
    <col min="8" max="8" width="19.28515625" customWidth="1"/>
    <col min="9" max="9" width="32.140625" customWidth="1"/>
  </cols>
  <sheetData>
    <row r="1" spans="1:14" ht="40.15" customHeight="1">
      <c r="A1" s="2"/>
      <c r="B1" s="2"/>
      <c r="C1" s="3"/>
      <c r="D1" s="1"/>
      <c r="E1" s="4" t="s">
        <v>0</v>
      </c>
      <c r="F1" s="1"/>
      <c r="G1" s="1"/>
      <c r="H1" s="1"/>
      <c r="I1" s="1"/>
      <c r="J1" s="1"/>
      <c r="K1" s="1"/>
      <c r="L1" s="1"/>
    </row>
    <row r="2" spans="1:14" ht="21" customHeight="1">
      <c r="A2" s="60" t="s">
        <v>1</v>
      </c>
      <c r="B2" s="61" t="s">
        <v>1532</v>
      </c>
      <c r="C2" s="2"/>
      <c r="D2" s="1"/>
      <c r="E2" s="6" t="s">
        <v>4</v>
      </c>
      <c r="F2" s="1"/>
      <c r="G2" s="1"/>
      <c r="H2" s="1"/>
      <c r="I2" s="1"/>
      <c r="J2" s="1"/>
      <c r="K2" s="1"/>
      <c r="L2" s="1"/>
    </row>
    <row r="3" spans="1:14" ht="36.6" customHeight="1">
      <c r="A3" s="145" t="s">
        <v>680</v>
      </c>
      <c r="B3" s="146" t="s">
        <v>1686</v>
      </c>
      <c r="C3" s="2"/>
      <c r="D3" s="2"/>
      <c r="E3" s="2"/>
      <c r="F3" s="2"/>
      <c r="G3" s="1"/>
      <c r="H3" s="1"/>
      <c r="I3" s="1"/>
      <c r="J3" s="1"/>
      <c r="K3" s="7"/>
      <c r="L3" s="1"/>
    </row>
    <row r="6" spans="1:14" ht="30">
      <c r="A6" s="8" t="s">
        <v>5</v>
      </c>
      <c r="B6" s="9"/>
      <c r="C6" s="9"/>
      <c r="D6" s="9"/>
      <c r="E6" s="9"/>
      <c r="F6" s="9"/>
      <c r="G6" s="9"/>
      <c r="H6" s="9"/>
      <c r="I6" s="9"/>
      <c r="J6" s="9"/>
      <c r="K6" s="9"/>
      <c r="L6" s="9"/>
    </row>
    <row r="9" spans="1:14" ht="13.9" customHeight="1">
      <c r="A9" s="98"/>
      <c r="B9" s="98"/>
      <c r="C9" s="98"/>
      <c r="I9" s="363" t="s">
        <v>8</v>
      </c>
      <c r="J9" s="363"/>
    </row>
    <row r="10" spans="1:14" ht="14.25">
      <c r="A10" s="98"/>
      <c r="B10" s="98"/>
      <c r="C10" s="98"/>
      <c r="I10" s="266" t="s">
        <v>9</v>
      </c>
      <c r="J10" s="265" t="s">
        <v>10</v>
      </c>
    </row>
    <row r="11" spans="1:14" ht="15">
      <c r="A11" s="98"/>
      <c r="B11" s="98"/>
      <c r="C11" s="98"/>
      <c r="I11" s="267" t="s">
        <v>16</v>
      </c>
      <c r="J11" s="261">
        <f>COUNTIF('Plan de tests'!A:A,"UC_*")</f>
        <v>366</v>
      </c>
    </row>
    <row r="12" spans="1:14" ht="15">
      <c r="A12" s="98"/>
      <c r="B12" s="98"/>
      <c r="C12" s="98"/>
      <c r="I12" s="268" t="s">
        <v>7</v>
      </c>
      <c r="J12" s="262">
        <f>COUNTIFS('Plan de tests'!H:H,"A tester")</f>
        <v>181</v>
      </c>
    </row>
    <row r="13" spans="1:14" ht="15">
      <c r="A13" s="98"/>
      <c r="B13" s="98"/>
      <c r="C13" s="98"/>
      <c r="I13" s="267" t="s">
        <v>12</v>
      </c>
      <c r="J13" s="263">
        <f>COUNTIFS('Plan de tests'!H:H,"Succès")</f>
        <v>127</v>
      </c>
    </row>
    <row r="14" spans="1:14" ht="15">
      <c r="A14" s="98"/>
      <c r="B14" s="98"/>
      <c r="C14" s="98"/>
      <c r="I14" s="268" t="s">
        <v>13</v>
      </c>
      <c r="J14" s="264">
        <f>COUNTIFS('Plan de tests'!H:H,"Echec")</f>
        <v>58</v>
      </c>
      <c r="N14" s="98"/>
    </row>
    <row r="15" spans="1:14" ht="13.15" customHeight="1">
      <c r="A15" s="98"/>
      <c r="B15" s="98"/>
      <c r="C15" s="98"/>
      <c r="I15" s="350" t="s">
        <v>14</v>
      </c>
      <c r="J15" s="364">
        <f>(J13+J14)/J11</f>
        <v>0.50546448087431695</v>
      </c>
    </row>
    <row r="16" spans="1:14" ht="13.15" customHeight="1">
      <c r="A16" s="98"/>
      <c r="B16" s="98"/>
      <c r="C16" s="98"/>
      <c r="I16" s="351"/>
      <c r="J16" s="365"/>
    </row>
    <row r="17" spans="1:12" ht="13.15" customHeight="1">
      <c r="A17" s="98"/>
      <c r="B17" s="98"/>
      <c r="C17" s="98"/>
      <c r="I17" s="352" t="s">
        <v>15</v>
      </c>
      <c r="J17" s="366">
        <f>(J13/J11)</f>
        <v>0.34699453551912568</v>
      </c>
    </row>
    <row r="18" spans="1:12" ht="15.75" customHeight="1">
      <c r="A18" s="98"/>
      <c r="B18" s="98"/>
      <c r="C18" s="98"/>
      <c r="I18" s="353"/>
      <c r="J18" s="367"/>
    </row>
    <row r="20" spans="1:12" ht="30">
      <c r="A20" s="8" t="s">
        <v>57</v>
      </c>
      <c r="B20" s="9"/>
      <c r="C20" s="9"/>
      <c r="D20" s="9"/>
      <c r="E20" s="9"/>
      <c r="F20" s="9"/>
      <c r="G20" s="9"/>
      <c r="H20" s="9"/>
      <c r="I20" s="9"/>
      <c r="J20" s="9"/>
      <c r="K20" s="9"/>
      <c r="L20" s="9"/>
    </row>
    <row r="22" spans="1:12" ht="15.75" customHeight="1" thickBot="1"/>
    <row r="23" spans="1:12" ht="30" customHeight="1" thickBot="1">
      <c r="A23" s="299" t="s">
        <v>58</v>
      </c>
      <c r="B23" s="299" t="s">
        <v>61</v>
      </c>
      <c r="C23" s="299" t="s">
        <v>62</v>
      </c>
      <c r="D23" s="299" t="s">
        <v>17</v>
      </c>
      <c r="E23" s="299" t="s">
        <v>63</v>
      </c>
      <c r="F23" s="299" t="s">
        <v>7</v>
      </c>
      <c r="G23" s="299" t="s">
        <v>12</v>
      </c>
      <c r="H23" s="299" t="s">
        <v>13</v>
      </c>
      <c r="I23" s="361" t="s">
        <v>14</v>
      </c>
      <c r="J23" s="362"/>
      <c r="K23" s="361" t="s">
        <v>15</v>
      </c>
      <c r="L23" s="362"/>
    </row>
    <row r="24" spans="1:12" s="98" customFormat="1" ht="30" customHeight="1" thickBot="1">
      <c r="A24" s="300" t="s">
        <v>1534</v>
      </c>
      <c r="B24" s="300" t="s">
        <v>1535</v>
      </c>
      <c r="C24" s="301" t="s">
        <v>73</v>
      </c>
      <c r="D24" s="300" t="s">
        <v>1536</v>
      </c>
      <c r="E24" s="300">
        <f>SUM(E25:E27)</f>
        <v>21</v>
      </c>
      <c r="F24" s="300">
        <f>SUM(F25:F27)</f>
        <v>0</v>
      </c>
      <c r="G24" s="300">
        <f>SUM(G25:G27)</f>
        <v>12</v>
      </c>
      <c r="H24" s="300">
        <f>SUM(H25:H27)</f>
        <v>7</v>
      </c>
      <c r="I24" s="354">
        <f>(G24+H24)/E24</f>
        <v>0.90476190476190477</v>
      </c>
      <c r="J24" s="349"/>
      <c r="K24" s="354">
        <f>G24/E24</f>
        <v>0.5714285714285714</v>
      </c>
      <c r="L24" s="349"/>
    </row>
    <row r="25" spans="1:12" s="98" customFormat="1" ht="30" customHeight="1" thickBot="1">
      <c r="A25" s="302" t="s">
        <v>1540</v>
      </c>
      <c r="B25" s="303" t="s">
        <v>1535</v>
      </c>
      <c r="C25" s="303"/>
      <c r="D25" s="303" t="s">
        <v>1613</v>
      </c>
      <c r="E25" s="303">
        <f>COUNTIF('Plan de tests'!A:A,"*"&amp;'Tableau de bord'!$D25&amp;"*")</f>
        <v>7</v>
      </c>
      <c r="F25" s="303">
        <f>COUNTIFS('Plan de tests'!A:A,"*"&amp;'Tableau de bord'!$D25&amp;"*",'Plan de tests'!H:H,"A tester")</f>
        <v>0</v>
      </c>
      <c r="G25" s="303">
        <f>COUNTIFS('Plan de tests'!A:A,"*"&amp;'Tableau de bord'!$D25&amp;"*",'Plan de tests'!H:H,"Succès")</f>
        <v>4</v>
      </c>
      <c r="H25" s="303">
        <f>COUNTIFS('Plan de tests'!A:A,"*"&amp;'Tableau de bord'!$D25&amp;"*",'Plan de tests'!H:H,"Echec")</f>
        <v>3</v>
      </c>
      <c r="I25" s="348"/>
      <c r="J25" s="349"/>
      <c r="K25" s="348"/>
      <c r="L25" s="349"/>
    </row>
    <row r="26" spans="1:12" s="98" customFormat="1" ht="30" customHeight="1" thickBot="1">
      <c r="A26" s="309" t="s">
        <v>1614</v>
      </c>
      <c r="B26" s="310" t="s">
        <v>1615</v>
      </c>
      <c r="C26" s="310"/>
      <c r="D26" s="310" t="s">
        <v>1618</v>
      </c>
      <c r="E26" s="310">
        <f>COUNTIF('Plan de tests'!A:A,"*"&amp;'Tableau de bord'!$D26&amp;"*")</f>
        <v>7</v>
      </c>
      <c r="F26" s="310">
        <f>COUNTIFS('Plan de tests'!A:A,"*"&amp;'Tableau de bord'!$D26&amp;"*",'Plan de tests'!H:H,"A tester")</f>
        <v>0</v>
      </c>
      <c r="G26" s="310">
        <f>COUNTIFS('Plan de tests'!A:A,"*"&amp;'Tableau de bord'!$D25&amp;"*",'Plan de tests'!H:H,"Succès")</f>
        <v>4</v>
      </c>
      <c r="H26" s="310">
        <f>COUNTIFS('Plan de tests'!A:A,"*"&amp;'Tableau de bord'!$D26&amp;"*",'Plan de tests'!H:H,"Echec")</f>
        <v>2</v>
      </c>
      <c r="I26" s="368"/>
      <c r="J26" s="369"/>
      <c r="K26" s="368"/>
      <c r="L26" s="369"/>
    </row>
    <row r="27" spans="1:12" s="98" customFormat="1" ht="30" customHeight="1" thickBot="1">
      <c r="A27" s="302" t="s">
        <v>1616</v>
      </c>
      <c r="B27" s="303" t="s">
        <v>1617</v>
      </c>
      <c r="C27" s="303"/>
      <c r="D27" s="303" t="s">
        <v>1619</v>
      </c>
      <c r="E27" s="303">
        <f>COUNTIF('Plan de tests'!A:A,"*"&amp;'Tableau de bord'!$D27&amp;"*")</f>
        <v>7</v>
      </c>
      <c r="F27" s="303">
        <f>COUNTIFS('Plan de tests'!A:A,"*"&amp;'Tableau de bord'!$D27&amp;"*",'Plan de tests'!H:H,"A tester")</f>
        <v>0</v>
      </c>
      <c r="G27" s="303">
        <f>COUNTIFS('Plan de tests'!A:A,"*"&amp;'Tableau de bord'!$D25&amp;"*",'Plan de tests'!H:H,"Succès")</f>
        <v>4</v>
      </c>
      <c r="H27" s="303">
        <f>COUNTIFS('Plan de tests'!A:A,"*"&amp;'Tableau de bord'!$D27&amp;"*",'Plan de tests'!H:H,"Echec")</f>
        <v>2</v>
      </c>
      <c r="I27" s="370"/>
      <c r="J27" s="371"/>
      <c r="K27" s="370"/>
      <c r="L27" s="371"/>
    </row>
    <row r="28" spans="1:12" ht="29.25" customHeight="1" thickBot="1">
      <c r="A28" s="300" t="s">
        <v>70</v>
      </c>
      <c r="B28" s="300" t="s">
        <v>72</v>
      </c>
      <c r="C28" s="301" t="s">
        <v>73</v>
      </c>
      <c r="D28" s="300" t="s">
        <v>74</v>
      </c>
      <c r="E28" s="300">
        <f t="shared" ref="E28" si="0">SUM(E29:E33)</f>
        <v>53</v>
      </c>
      <c r="F28" s="300">
        <f>SUM(F29:F33)</f>
        <v>0</v>
      </c>
      <c r="G28" s="300">
        <f>SUM(G29:G33)</f>
        <v>41</v>
      </c>
      <c r="H28" s="300">
        <f>SUM(H29:H33)</f>
        <v>12</v>
      </c>
      <c r="I28" s="354">
        <f>(G28+H28)/E28</f>
        <v>1</v>
      </c>
      <c r="J28" s="349"/>
      <c r="K28" s="354">
        <f>G28/E28</f>
        <v>0.77358490566037741</v>
      </c>
      <c r="L28" s="349"/>
    </row>
    <row r="29" spans="1:12" ht="21" customHeight="1" thickBot="1">
      <c r="A29" s="302" t="s">
        <v>83</v>
      </c>
      <c r="B29" s="303" t="s">
        <v>85</v>
      </c>
      <c r="C29" s="303"/>
      <c r="D29" s="303" t="s">
        <v>90</v>
      </c>
      <c r="E29" s="303">
        <f>COUNTIF('Plan de tests'!A:A,"*"&amp;'Tableau de bord'!$D29&amp;"*")</f>
        <v>21</v>
      </c>
      <c r="F29" s="303">
        <f>COUNTIFS('Plan de tests'!A:A,"*"&amp;'Tableau de bord'!$D29&amp;"*",'Plan de tests'!H:H,"A tester")</f>
        <v>0</v>
      </c>
      <c r="G29" s="303">
        <f>COUNTIFS('Plan de tests'!A:A,"*"&amp;'Tableau de bord'!$D29&amp;"*",'Plan de tests'!H:H,"Succès")</f>
        <v>18</v>
      </c>
      <c r="H29" s="303">
        <f>COUNTIFS('Plan de tests'!A:A,"*"&amp;'Tableau de bord'!$D29&amp;"*",'Plan de tests'!H:H,"Echec")</f>
        <v>3</v>
      </c>
      <c r="I29" s="348"/>
      <c r="J29" s="349"/>
      <c r="K29" s="348"/>
      <c r="L29" s="349"/>
    </row>
    <row r="30" spans="1:12" ht="20.45" customHeight="1" thickBot="1">
      <c r="A30" s="304" t="s">
        <v>99</v>
      </c>
      <c r="B30" s="305" t="s">
        <v>100</v>
      </c>
      <c r="C30" s="305"/>
      <c r="D30" s="305" t="s">
        <v>102</v>
      </c>
      <c r="E30" s="305">
        <f>COUNTIF('Plan de tests'!A:A,"*"&amp;'Tableau de bord'!$D30&amp;"*")</f>
        <v>6</v>
      </c>
      <c r="F30" s="305">
        <f>COUNTIFS('Plan de tests'!A:A,"*"&amp;'Tableau de bord'!$D30&amp;"*",'Plan de tests'!H:H,"A tester")</f>
        <v>0</v>
      </c>
      <c r="G30" s="305">
        <f>COUNTIFS('Plan de tests'!A:A,"*"&amp;'Tableau de bord'!$D30&amp;"*",'Plan de tests'!H:H,"Succès")</f>
        <v>3</v>
      </c>
      <c r="H30" s="305">
        <f>COUNTIFS('Plan de tests'!A:A,"*"&amp;'Tableau de bord'!$D30&amp;"*",'Plan de tests'!H:H,"Echec")</f>
        <v>3</v>
      </c>
      <c r="I30" s="360"/>
      <c r="J30" s="349"/>
      <c r="K30" s="360"/>
      <c r="L30" s="349"/>
    </row>
    <row r="31" spans="1:12" s="98" customFormat="1" ht="20.45" customHeight="1" thickBot="1">
      <c r="A31" s="306" t="s">
        <v>99</v>
      </c>
      <c r="B31" s="307" t="s">
        <v>1378</v>
      </c>
      <c r="C31" s="308"/>
      <c r="D31" s="307" t="s">
        <v>1379</v>
      </c>
      <c r="E31" s="308">
        <f>COUNTIF('Plan de tests'!A:A,"*"&amp;'Tableau de bord'!$D31&amp;"*")</f>
        <v>16</v>
      </c>
      <c r="F31" s="308">
        <f>COUNTIFS('Plan de tests'!A:A,"*"&amp;'Tableau de bord'!$D31&amp;"*",'Plan de tests'!H:H,"A tester")</f>
        <v>0</v>
      </c>
      <c r="G31" s="308">
        <f>COUNTIFS('Plan de tests'!A:A,"*"&amp;'Tableau de bord'!$D31&amp;"*",'Plan de tests'!H:H,"Succès")</f>
        <v>14</v>
      </c>
      <c r="H31" s="308">
        <f>COUNTIFS('Plan de tests'!A:A,"*"&amp;'Tableau de bord'!$D31&amp;"*",'Plan de tests'!H:H,"Echec")</f>
        <v>2</v>
      </c>
      <c r="I31" s="359"/>
      <c r="J31" s="358"/>
      <c r="K31" s="359"/>
      <c r="L31" s="358"/>
    </row>
    <row r="32" spans="1:12" ht="21.6" customHeight="1" thickBot="1">
      <c r="A32" s="309" t="s">
        <v>112</v>
      </c>
      <c r="B32" s="310" t="s">
        <v>113</v>
      </c>
      <c r="C32" s="310"/>
      <c r="D32" s="310" t="s">
        <v>114</v>
      </c>
      <c r="E32" s="310">
        <f>COUNTIF('Plan de tests'!A:A,"*"&amp;'Tableau de bord'!$D32&amp;"*")</f>
        <v>2</v>
      </c>
      <c r="F32" s="310">
        <f>COUNTIFS('Plan de tests'!A:A,"*"&amp;'Tableau de bord'!$D32&amp;"*",'Plan de tests'!H:H,"A tester")</f>
        <v>0</v>
      </c>
      <c r="G32" s="310">
        <f>COUNTIFS('Plan de tests'!A:A,"*"&amp;'Tableau de bord'!$D32&amp;"*",'Plan de tests'!H:H,"Succès")</f>
        <v>1</v>
      </c>
      <c r="H32" s="310">
        <f>COUNTIFS('Plan de tests'!A:A,"*"&amp;'Tableau de bord'!$D32&amp;"*",'Plan de tests'!H:H,"Echec")</f>
        <v>1</v>
      </c>
      <c r="I32" s="355"/>
      <c r="J32" s="356"/>
      <c r="K32" s="355"/>
      <c r="L32" s="356"/>
    </row>
    <row r="33" spans="1:12" ht="24.6" customHeight="1" thickBot="1">
      <c r="A33" s="306" t="s">
        <v>120</v>
      </c>
      <c r="B33" s="308" t="s">
        <v>121</v>
      </c>
      <c r="C33" s="308"/>
      <c r="D33" s="308" t="s">
        <v>123</v>
      </c>
      <c r="E33" s="308">
        <f>COUNTIF('Plan de tests'!A:A,"*"&amp;'Tableau de bord'!$D33&amp;"*")</f>
        <v>8</v>
      </c>
      <c r="F33" s="308">
        <f>COUNTIFS('Plan de tests'!A:A,"*"&amp;'Tableau de bord'!$D33&amp;"*",'Plan de tests'!H:H,"A tester")</f>
        <v>0</v>
      </c>
      <c r="G33" s="308">
        <f>COUNTIFS('Plan de tests'!A:A,"*"&amp;'Tableau de bord'!$D33&amp;"*",'Plan de tests'!H:H,"Succès")</f>
        <v>5</v>
      </c>
      <c r="H33" s="308">
        <f>COUNTIFS('Plan de tests'!A:A,"*"&amp;'Tableau de bord'!$D33&amp;"*",'Plan de tests'!H:H,"Echec")</f>
        <v>3</v>
      </c>
      <c r="I33" s="359"/>
      <c r="J33" s="358"/>
      <c r="K33" s="359"/>
      <c r="L33" s="358"/>
    </row>
    <row r="34" spans="1:12" ht="23.45" customHeight="1" thickBot="1">
      <c r="A34" s="300" t="s">
        <v>142</v>
      </c>
      <c r="B34" s="300" t="s">
        <v>143</v>
      </c>
      <c r="C34" s="301" t="s">
        <v>73</v>
      </c>
      <c r="D34" s="300" t="s">
        <v>144</v>
      </c>
      <c r="E34" s="300">
        <f t="shared" ref="E34" si="1">SUM(E35:E38)</f>
        <v>13</v>
      </c>
      <c r="F34" s="300">
        <f>SUM(F35:F38)</f>
        <v>0</v>
      </c>
      <c r="G34" s="300">
        <f>SUM(G35:G38)</f>
        <v>6</v>
      </c>
      <c r="H34" s="300">
        <f>SUM(H35:H38)</f>
        <v>7</v>
      </c>
      <c r="I34" s="354">
        <f>(G34+H34)/E34</f>
        <v>1</v>
      </c>
      <c r="J34" s="349"/>
      <c r="K34" s="354">
        <f>G34/E34</f>
        <v>0.46153846153846156</v>
      </c>
      <c r="L34" s="349"/>
    </row>
    <row r="35" spans="1:12" ht="20.45" customHeight="1" thickBot="1">
      <c r="A35" s="302" t="s">
        <v>152</v>
      </c>
      <c r="B35" s="303" t="s">
        <v>153</v>
      </c>
      <c r="C35" s="303"/>
      <c r="D35" s="303" t="s">
        <v>155</v>
      </c>
      <c r="E35" s="303">
        <f>COUNTIF('Plan de tests'!A:A,"*"&amp;'Tableau de bord'!$D35&amp;"*")</f>
        <v>4</v>
      </c>
      <c r="F35" s="303">
        <f>COUNTIFS('Plan de tests'!A:A,"*"&amp;'Tableau de bord'!$D35&amp;"*",'Plan de tests'!H:H,"A tester")</f>
        <v>0</v>
      </c>
      <c r="G35" s="303">
        <f>COUNTIFS('Plan de tests'!A:A,"*"&amp;'Tableau de bord'!$D35&amp;"*",'Plan de tests'!H:H,"Succès")</f>
        <v>1</v>
      </c>
      <c r="H35" s="303">
        <f>COUNTIFS('Plan de tests'!A:A,"*"&amp;'Tableau de bord'!$D35&amp;"*",'Plan de tests'!H:H,"Echec")</f>
        <v>3</v>
      </c>
      <c r="I35" s="348"/>
      <c r="J35" s="349"/>
      <c r="K35" s="348"/>
      <c r="L35" s="349"/>
    </row>
    <row r="36" spans="1:12" ht="21" customHeight="1" thickBot="1">
      <c r="A36" s="304" t="s">
        <v>166</v>
      </c>
      <c r="B36" s="305" t="s">
        <v>168</v>
      </c>
      <c r="C36" s="305"/>
      <c r="D36" s="305" t="s">
        <v>169</v>
      </c>
      <c r="E36" s="305">
        <f>COUNTIF('Plan de tests'!A:A,"*"&amp;'Tableau de bord'!$D36&amp;"*")</f>
        <v>4</v>
      </c>
      <c r="F36" s="305">
        <f>COUNTIFS('Plan de tests'!A:A,"*"&amp;'Tableau de bord'!$D36&amp;"*",'Plan de tests'!H:H,"A tester")</f>
        <v>0</v>
      </c>
      <c r="G36" s="305">
        <f>COUNTIFS('Plan de tests'!A:A,"*"&amp;'Tableau de bord'!$D36&amp;"*",'Plan de tests'!H:H,"Succès")</f>
        <v>2</v>
      </c>
      <c r="H36" s="305">
        <f>COUNTIFS('Plan de tests'!A:A,"*"&amp;'Tableau de bord'!$D36&amp;"*",'Plan de tests'!H:H,"Echec")</f>
        <v>2</v>
      </c>
      <c r="I36" s="360"/>
      <c r="J36" s="349"/>
      <c r="K36" s="360"/>
      <c r="L36" s="349"/>
    </row>
    <row r="37" spans="1:12" ht="19.149999999999999" customHeight="1" thickBot="1">
      <c r="A37" s="302" t="s">
        <v>186</v>
      </c>
      <c r="B37" s="303" t="s">
        <v>187</v>
      </c>
      <c r="C37" s="303"/>
      <c r="D37" s="303" t="s">
        <v>189</v>
      </c>
      <c r="E37" s="303">
        <f>COUNTIF('Plan de tests'!A:A,"*"&amp;'Tableau de bord'!$D37&amp;"*")</f>
        <v>2</v>
      </c>
      <c r="F37" s="303">
        <f>COUNTIFS('Plan de tests'!A:A,"*"&amp;'Tableau de bord'!$D37&amp;"*",'Plan de tests'!H:H,"A tester")</f>
        <v>0</v>
      </c>
      <c r="G37" s="303">
        <f>COUNTIFS('Plan de tests'!A:A,"*"&amp;'Tableau de bord'!$D37&amp;"*",'Plan de tests'!H:H,"Succès")</f>
        <v>1</v>
      </c>
      <c r="H37" s="303">
        <f>COUNTIFS('Plan de tests'!A:A,"*"&amp;'Tableau de bord'!$D37&amp;"*",'Plan de tests'!H:H,"Echec")</f>
        <v>1</v>
      </c>
      <c r="I37" s="348"/>
      <c r="J37" s="349"/>
      <c r="K37" s="348"/>
      <c r="L37" s="349"/>
    </row>
    <row r="38" spans="1:12" ht="22.15" customHeight="1" thickBot="1">
      <c r="A38" s="304" t="s">
        <v>201</v>
      </c>
      <c r="B38" s="305" t="s">
        <v>202</v>
      </c>
      <c r="C38" s="305"/>
      <c r="D38" s="305" t="s">
        <v>203</v>
      </c>
      <c r="E38" s="305">
        <f>COUNTIF('Plan de tests'!A:A,"*"&amp;'Tableau de bord'!$D38&amp;"*")</f>
        <v>3</v>
      </c>
      <c r="F38" s="305">
        <f>COUNTIFS('Plan de tests'!A:A,"*"&amp;'Tableau de bord'!$D38&amp;"*",'Plan de tests'!H:H,"A tester")</f>
        <v>0</v>
      </c>
      <c r="G38" s="305">
        <f>COUNTIFS('Plan de tests'!A:A,"*"&amp;'Tableau de bord'!$D38&amp;"*",'Plan de tests'!H:H,"Succès")</f>
        <v>2</v>
      </c>
      <c r="H38" s="305">
        <f>COUNTIFS('Plan de tests'!A:A,"*"&amp;'Tableau de bord'!$D38&amp;"*",'Plan de tests'!H:H,"Echec")</f>
        <v>1</v>
      </c>
      <c r="I38" s="360"/>
      <c r="J38" s="349"/>
      <c r="K38" s="360"/>
      <c r="L38" s="349"/>
    </row>
    <row r="39" spans="1:12" ht="24" customHeight="1" thickBot="1">
      <c r="A39" s="300">
        <v>3</v>
      </c>
      <c r="B39" s="300" t="s">
        <v>220</v>
      </c>
      <c r="C39" s="301" t="s">
        <v>73</v>
      </c>
      <c r="D39" s="300" t="s">
        <v>223</v>
      </c>
      <c r="E39" s="300">
        <f t="shared" ref="E39" si="2">SUM(E40:E43)</f>
        <v>13</v>
      </c>
      <c r="F39" s="300">
        <f>SUM(F40:F43)</f>
        <v>0</v>
      </c>
      <c r="G39" s="300">
        <f>SUM(G40:G43)</f>
        <v>9</v>
      </c>
      <c r="H39" s="300">
        <f>SUM(H40:H43)</f>
        <v>4</v>
      </c>
      <c r="I39" s="354">
        <f>(G39+H39)/E39</f>
        <v>1</v>
      </c>
      <c r="J39" s="349"/>
      <c r="K39" s="354">
        <f>G39/E39</f>
        <v>0.69230769230769229</v>
      </c>
      <c r="L39" s="349"/>
    </row>
    <row r="40" spans="1:12" ht="20.45" customHeight="1" thickBot="1">
      <c r="A40" s="302" t="s">
        <v>233</v>
      </c>
      <c r="B40" s="303" t="s">
        <v>234</v>
      </c>
      <c r="C40" s="303"/>
      <c r="D40" s="303" t="s">
        <v>235</v>
      </c>
      <c r="E40" s="303">
        <f>COUNTIF('Plan de tests'!A:A,"*"&amp;'Tableau de bord'!$D40&amp;"*")</f>
        <v>4</v>
      </c>
      <c r="F40" s="303">
        <f>COUNTIFS('Plan de tests'!A:A,"*"&amp;'Tableau de bord'!$D40&amp;"*",'Plan de tests'!H:H,"A tester")</f>
        <v>0</v>
      </c>
      <c r="G40" s="303">
        <f>COUNTIFS('Plan de tests'!A:A,"*"&amp;'Tableau de bord'!$D40&amp;"*",'Plan de tests'!H:H,"Succès")</f>
        <v>3</v>
      </c>
      <c r="H40" s="303">
        <f>COUNTIFS('Plan de tests'!A:A,"*"&amp;'Tableau de bord'!$D40&amp;"*",'Plan de tests'!H:H,"Echec")</f>
        <v>1</v>
      </c>
      <c r="I40" s="348"/>
      <c r="J40" s="349"/>
      <c r="K40" s="348"/>
      <c r="L40" s="349"/>
    </row>
    <row r="41" spans="1:12" ht="19.149999999999999" customHeight="1" thickBot="1">
      <c r="A41" s="304" t="s">
        <v>252</v>
      </c>
      <c r="B41" s="305" t="s">
        <v>253</v>
      </c>
      <c r="C41" s="305"/>
      <c r="D41" s="305" t="s">
        <v>254</v>
      </c>
      <c r="E41" s="305">
        <f>COUNTIF('Plan de tests'!A:A,"*"&amp;'Tableau de bord'!$D41&amp;"*")</f>
        <v>4</v>
      </c>
      <c r="F41" s="305">
        <f>COUNTIFS('Plan de tests'!A:A,"*"&amp;'Tableau de bord'!$D41&amp;"*",'Plan de tests'!H:H,"A tester")</f>
        <v>0</v>
      </c>
      <c r="G41" s="305">
        <f>COUNTIFS('Plan de tests'!A:A,"*"&amp;'Tableau de bord'!$D41&amp;"*",'Plan de tests'!H:H,"Succès")</f>
        <v>3</v>
      </c>
      <c r="H41" s="305">
        <f>COUNTIFS('Plan de tests'!A:A,"*"&amp;'Tableau de bord'!$D41&amp;"*",'Plan de tests'!H:H,"Echec")</f>
        <v>1</v>
      </c>
      <c r="I41" s="360"/>
      <c r="J41" s="349"/>
      <c r="K41" s="360"/>
      <c r="L41" s="349"/>
    </row>
    <row r="42" spans="1:12" ht="21" customHeight="1" thickBot="1">
      <c r="A42" s="302" t="s">
        <v>260</v>
      </c>
      <c r="B42" s="303" t="s">
        <v>261</v>
      </c>
      <c r="C42" s="303"/>
      <c r="D42" s="303" t="s">
        <v>262</v>
      </c>
      <c r="E42" s="303">
        <f>COUNTIF('Plan de tests'!A:A,"*"&amp;'Tableau de bord'!$D42&amp;"*")</f>
        <v>2</v>
      </c>
      <c r="F42" s="303">
        <f>COUNTIFS('Plan de tests'!A:A,"*"&amp;'Tableau de bord'!$D42&amp;"*",'Plan de tests'!H:H,"A tester")</f>
        <v>0</v>
      </c>
      <c r="G42" s="303">
        <f>COUNTIFS('Plan de tests'!A:A,"*"&amp;'Tableau de bord'!$D42&amp;"*",'Plan de tests'!H:H,"Succès")</f>
        <v>1</v>
      </c>
      <c r="H42" s="303">
        <f>COUNTIFS('Plan de tests'!A:A,"*"&amp;'Tableau de bord'!$D42&amp;"*",'Plan de tests'!H:H,"Echec")</f>
        <v>1</v>
      </c>
      <c r="I42" s="348"/>
      <c r="J42" s="349"/>
      <c r="K42" s="348"/>
      <c r="L42" s="349"/>
    </row>
    <row r="43" spans="1:12" ht="22.15" customHeight="1" thickBot="1">
      <c r="A43" s="304" t="s">
        <v>267</v>
      </c>
      <c r="B43" s="305" t="s">
        <v>269</v>
      </c>
      <c r="C43" s="305"/>
      <c r="D43" s="305" t="s">
        <v>270</v>
      </c>
      <c r="E43" s="305">
        <f>COUNTIF('Plan de tests'!A:A,"*"&amp;'Tableau de bord'!$D43&amp;"*")</f>
        <v>3</v>
      </c>
      <c r="F43" s="305">
        <f>COUNTIFS('Plan de tests'!A:A,"*"&amp;'Tableau de bord'!$D43&amp;"*",'Plan de tests'!H:H,"A tester")</f>
        <v>0</v>
      </c>
      <c r="G43" s="305">
        <f>COUNTIFS('Plan de tests'!A:A,"*"&amp;'Tableau de bord'!$D43&amp;"*",'Plan de tests'!H:H,"Succès")</f>
        <v>2</v>
      </c>
      <c r="H43" s="305">
        <f>COUNTIFS('Plan de tests'!A:A,"*"&amp;'Tableau de bord'!$D43&amp;"*",'Plan de tests'!H:H,"Echec")</f>
        <v>1</v>
      </c>
      <c r="I43" s="360"/>
      <c r="J43" s="349"/>
      <c r="K43" s="360"/>
      <c r="L43" s="349"/>
    </row>
    <row r="44" spans="1:12" ht="24" customHeight="1" thickBot="1">
      <c r="A44" s="300" t="s">
        <v>275</v>
      </c>
      <c r="B44" s="300" t="s">
        <v>277</v>
      </c>
      <c r="C44" s="311" t="s">
        <v>73</v>
      </c>
      <c r="D44" s="300" t="s">
        <v>278</v>
      </c>
      <c r="E44" s="300">
        <f t="shared" ref="E44" si="3">SUM(E45:E48)</f>
        <v>11</v>
      </c>
      <c r="F44" s="300">
        <f>SUM(F45:F48)</f>
        <v>4</v>
      </c>
      <c r="G44" s="300">
        <f>SUM(G45:G48)</f>
        <v>2</v>
      </c>
      <c r="H44" s="312">
        <f>SUM(H29:H33)</f>
        <v>12</v>
      </c>
      <c r="I44" s="354">
        <f>(G44+H44)/E44</f>
        <v>1.2727272727272727</v>
      </c>
      <c r="J44" s="349"/>
      <c r="K44" s="354">
        <f>G44/E44</f>
        <v>0.18181818181818182</v>
      </c>
      <c r="L44" s="349"/>
    </row>
    <row r="45" spans="1:12" ht="21" customHeight="1" thickBot="1">
      <c r="A45" s="302" t="s">
        <v>292</v>
      </c>
      <c r="B45" s="303" t="s">
        <v>293</v>
      </c>
      <c r="C45" s="303"/>
      <c r="D45" s="303" t="s">
        <v>294</v>
      </c>
      <c r="E45" s="303">
        <f>COUNTIF('Plan de tests'!A:A,"*"&amp;'Tableau de bord'!$D45&amp;"*")</f>
        <v>2</v>
      </c>
      <c r="F45" s="303">
        <f>COUNTIFS('Plan de tests'!A:A,"*"&amp;'Tableau de bord'!$D45&amp;"*",'Plan de tests'!H:H,"A tester")</f>
        <v>0</v>
      </c>
      <c r="G45" s="303">
        <f>COUNTIFS('Plan de tests'!A:A,"*"&amp;'Tableau de bord'!$D45&amp;"*",'Plan de tests'!H:H,"Succès")</f>
        <v>0</v>
      </c>
      <c r="H45" s="303">
        <f>COUNTIFS('Plan de tests'!A:A,"*"&amp;'Tableau de bord'!$D45&amp;"*",'Plan de tests'!H:H,"Echec")</f>
        <v>2</v>
      </c>
      <c r="I45" s="348"/>
      <c r="J45" s="349"/>
      <c r="K45" s="348"/>
      <c r="L45" s="349"/>
    </row>
    <row r="46" spans="1:12" ht="20.45" customHeight="1" thickBot="1">
      <c r="A46" s="304" t="s">
        <v>302</v>
      </c>
      <c r="B46" s="305" t="s">
        <v>303</v>
      </c>
      <c r="C46" s="305"/>
      <c r="D46" s="305" t="s">
        <v>305</v>
      </c>
      <c r="E46" s="305">
        <f>COUNTIF('Plan de tests'!A:A,"*"&amp;'Tableau de bord'!$D46&amp;"*")</f>
        <v>4</v>
      </c>
      <c r="F46" s="305">
        <f>COUNTIFS('Plan de tests'!A:A,"*"&amp;'Tableau de bord'!$D46&amp;"*",'Plan de tests'!H:H,"A tester")</f>
        <v>0</v>
      </c>
      <c r="G46" s="305">
        <f>COUNTIFS('Plan de tests'!A:A,"*"&amp;'Tableau de bord'!$D46&amp;"*",'Plan de tests'!H:H,"Succès")</f>
        <v>1</v>
      </c>
      <c r="H46" s="305">
        <f>COUNTIFS('Plan de tests'!A:A,"*"&amp;'Tableau de bord'!$D46&amp;"*",'Plan de tests'!H:H,"Echec")</f>
        <v>3</v>
      </c>
      <c r="I46" s="360"/>
      <c r="J46" s="349"/>
      <c r="K46" s="360"/>
      <c r="L46" s="349"/>
    </row>
    <row r="47" spans="1:12" ht="18.600000000000001" customHeight="1" thickBot="1">
      <c r="A47" s="302" t="s">
        <v>315</v>
      </c>
      <c r="B47" s="303" t="s">
        <v>316</v>
      </c>
      <c r="C47" s="303"/>
      <c r="D47" s="303" t="s">
        <v>317</v>
      </c>
      <c r="E47" s="303">
        <f>COUNTIF('Plan de tests'!A:A,"*"&amp;'Tableau de bord'!$D47&amp;"*")</f>
        <v>2</v>
      </c>
      <c r="F47" s="303">
        <f>COUNTIFS('Plan de tests'!A:A,"*"&amp;'Tableau de bord'!$D47&amp;"*",'Plan de tests'!H:H,"A tester")</f>
        <v>1</v>
      </c>
      <c r="G47" s="303">
        <f>COUNTIFS('Plan de tests'!A:A,"*"&amp;'Tableau de bord'!$D47&amp;"*",'Plan de tests'!H:H,"Succès")</f>
        <v>1</v>
      </c>
      <c r="H47" s="303">
        <f>COUNTIFS('Plan de tests'!A:A,"*"&amp;'Tableau de bord'!$D47&amp;"*",'Plan de tests'!H:H,"Echec")</f>
        <v>0</v>
      </c>
      <c r="I47" s="348"/>
      <c r="J47" s="349"/>
      <c r="K47" s="348"/>
      <c r="L47" s="349"/>
    </row>
    <row r="48" spans="1:12" ht="23.45" customHeight="1" thickBot="1">
      <c r="A48" s="304" t="s">
        <v>327</v>
      </c>
      <c r="B48" s="305" t="s">
        <v>328</v>
      </c>
      <c r="C48" s="305"/>
      <c r="D48" s="305" t="s">
        <v>329</v>
      </c>
      <c r="E48" s="305">
        <f>COUNTIF('Plan de tests'!A:A,"*"&amp;'Tableau de bord'!$D48&amp;"*")</f>
        <v>3</v>
      </c>
      <c r="F48" s="305">
        <f>COUNTIFS('Plan de tests'!A:A,"*"&amp;'Tableau de bord'!$D48&amp;"*",'Plan de tests'!H:H,"A tester")</f>
        <v>3</v>
      </c>
      <c r="G48" s="305">
        <f>COUNTIFS('Plan de tests'!A:A,"*"&amp;'Tableau de bord'!$D48&amp;"*",'Plan de tests'!H:H,"Succès")</f>
        <v>0</v>
      </c>
      <c r="H48" s="305">
        <f>COUNTIFS('Plan de tests'!A:A,"*"&amp;'Tableau de bord'!$D48&amp;"*",'Plan de tests'!H:H,"Echec")</f>
        <v>0</v>
      </c>
      <c r="I48" s="360"/>
      <c r="J48" s="349"/>
      <c r="K48" s="360"/>
      <c r="L48" s="349"/>
    </row>
    <row r="49" spans="1:12" ht="24" customHeight="1" thickBot="1">
      <c r="A49" s="300" t="s">
        <v>335</v>
      </c>
      <c r="B49" s="300" t="s">
        <v>336</v>
      </c>
      <c r="C49" s="311" t="s">
        <v>73</v>
      </c>
      <c r="D49" s="300" t="s">
        <v>337</v>
      </c>
      <c r="E49" s="300">
        <f t="shared" ref="E49" si="4">SUM(E50:E52)</f>
        <v>31</v>
      </c>
      <c r="F49" s="300">
        <f>SUM(F50:F52)</f>
        <v>1</v>
      </c>
      <c r="G49" s="300">
        <f>SUM(G50:G52)</f>
        <v>21</v>
      </c>
      <c r="H49" s="312">
        <f>SUM(H45:H48)</f>
        <v>5</v>
      </c>
      <c r="I49" s="354">
        <f>(G49+H49)/E49</f>
        <v>0.83870967741935487</v>
      </c>
      <c r="J49" s="349"/>
      <c r="K49" s="354">
        <f>G49/E49</f>
        <v>0.67741935483870963</v>
      </c>
      <c r="L49" s="349"/>
    </row>
    <row r="50" spans="1:12" ht="35.450000000000003" customHeight="1" thickBot="1">
      <c r="A50" s="302" t="s">
        <v>338</v>
      </c>
      <c r="B50" s="313" t="s">
        <v>773</v>
      </c>
      <c r="C50" s="303"/>
      <c r="D50" s="314" t="s">
        <v>339</v>
      </c>
      <c r="E50" s="303">
        <f>COUNTIF('Plan de tests'!A:A,"*"&amp;'Tableau de bord'!$D50&amp;"*")</f>
        <v>16</v>
      </c>
      <c r="F50" s="303">
        <f>COUNTIFS('Plan de tests'!A:A,"*"&amp;'Tableau de bord'!$D50&amp;"*",'Plan de tests'!H:H,"A tester")</f>
        <v>0</v>
      </c>
      <c r="G50" s="303">
        <f>COUNTIFS('Plan de tests'!A:A,"*"&amp;'Tableau de bord'!$D50&amp;"*",'Plan de tests'!H:H,"Succès")</f>
        <v>12</v>
      </c>
      <c r="H50" s="303">
        <f>COUNTIFS('Plan de tests'!A:A,"*"&amp;'Tableau de bord'!$D50&amp;"*",'Plan de tests'!H:H,"Echec")</f>
        <v>4</v>
      </c>
      <c r="I50" s="348"/>
      <c r="J50" s="349"/>
      <c r="K50" s="348"/>
      <c r="L50" s="349"/>
    </row>
    <row r="51" spans="1:12" ht="28.9" customHeight="1" thickBot="1">
      <c r="A51" s="304" t="s">
        <v>340</v>
      </c>
      <c r="B51" s="305" t="s">
        <v>353</v>
      </c>
      <c r="C51" s="305"/>
      <c r="D51" s="315" t="s">
        <v>341</v>
      </c>
      <c r="E51" s="305">
        <f>COUNTIF('Plan de tests'!A:A,"*"&amp;'Tableau de bord'!$D51&amp;"*")</f>
        <v>8</v>
      </c>
      <c r="F51" s="305">
        <f>COUNTIFS('Plan de tests'!A:A,"*"&amp;'Tableau de bord'!$D51&amp;"*",'Plan de tests'!H:H,"A tester")</f>
        <v>1</v>
      </c>
      <c r="G51" s="305">
        <f>COUNTIFS('Plan de tests'!A:A,"*"&amp;'Tableau de bord'!$D51&amp;"*",'Plan de tests'!H:H,"Succès")</f>
        <v>3</v>
      </c>
      <c r="H51" s="305">
        <f>COUNTIFS('Plan de tests'!A:A,"*"&amp;'Tableau de bord'!$D51&amp;"*",'Plan de tests'!H:H,"Echec")</f>
        <v>4</v>
      </c>
      <c r="I51" s="360"/>
      <c r="J51" s="349"/>
      <c r="K51" s="360"/>
      <c r="L51" s="349"/>
    </row>
    <row r="52" spans="1:12" ht="33.75" customHeight="1" thickBot="1">
      <c r="A52" s="302" t="s">
        <v>345</v>
      </c>
      <c r="B52" s="316" t="s">
        <v>1491</v>
      </c>
      <c r="C52" s="303"/>
      <c r="D52" s="314" t="s">
        <v>1493</v>
      </c>
      <c r="E52" s="303">
        <f>COUNTIF('Plan de tests'!A:A,"*"&amp;'Tableau de bord'!$D52&amp;"*")</f>
        <v>7</v>
      </c>
      <c r="F52" s="303">
        <f>COUNTIFS('Plan de tests'!A:A,"*"&amp;'Tableau de bord'!$D52&amp;"*",'Plan de tests'!H:H,"A tester")</f>
        <v>0</v>
      </c>
      <c r="G52" s="303">
        <f>COUNTIFS('Plan de tests'!A:A,"*"&amp;'Tableau de bord'!$D52&amp;"*",'Plan de tests'!H:H,"Succès")</f>
        <v>6</v>
      </c>
      <c r="H52" s="303">
        <f>COUNTIFS('Plan de tests'!A:A,"*"&amp;'Tableau de bord'!$D52&amp;"*",'Plan de tests'!H:H,"Echec")</f>
        <v>1</v>
      </c>
      <c r="I52" s="348"/>
      <c r="J52" s="349"/>
      <c r="K52" s="348"/>
      <c r="L52" s="349"/>
    </row>
    <row r="53" spans="1:12" ht="24" customHeight="1" thickBot="1">
      <c r="A53" s="300">
        <v>6</v>
      </c>
      <c r="B53" s="300" t="s">
        <v>348</v>
      </c>
      <c r="C53" s="311" t="s">
        <v>73</v>
      </c>
      <c r="D53" s="300" t="s">
        <v>349</v>
      </c>
      <c r="E53" s="300">
        <f t="shared" ref="E53" si="5">SUM(E54)</f>
        <v>7</v>
      </c>
      <c r="F53" s="300">
        <f>SUM(F54)</f>
        <v>0</v>
      </c>
      <c r="G53" s="300">
        <f>SUM(G54)</f>
        <v>2</v>
      </c>
      <c r="H53" s="312">
        <f>SUM(H54)</f>
        <v>5</v>
      </c>
      <c r="I53" s="354">
        <f>(G53+H53)/E53</f>
        <v>1</v>
      </c>
      <c r="J53" s="349"/>
      <c r="K53" s="354">
        <f>G53/E53</f>
        <v>0.2857142857142857</v>
      </c>
      <c r="L53" s="349"/>
    </row>
    <row r="54" spans="1:12" ht="21" customHeight="1" thickBot="1">
      <c r="A54" s="302" t="s">
        <v>352</v>
      </c>
      <c r="B54" s="303" t="s">
        <v>353</v>
      </c>
      <c r="C54" s="303"/>
      <c r="D54" s="314" t="s">
        <v>354</v>
      </c>
      <c r="E54" s="303">
        <f>COUNTIF('Plan de tests'!A:A,"*"&amp;'Tableau de bord'!$D54&amp;"*")</f>
        <v>7</v>
      </c>
      <c r="F54" s="303">
        <f>COUNTIFS('Plan de tests'!A:A,"*"&amp;'Tableau de bord'!$D54&amp;"*",'Plan de tests'!H:H,"A tester")</f>
        <v>0</v>
      </c>
      <c r="G54" s="303">
        <f>COUNTIFS('Plan de tests'!A:A,"*"&amp;'Tableau de bord'!$D54&amp;"*",'Plan de tests'!H:H,"Succès")</f>
        <v>2</v>
      </c>
      <c r="H54" s="303">
        <f>COUNTIFS('Plan de tests'!A:A,"*"&amp;'Tableau de bord'!$D54&amp;"*",'Plan de tests'!H:H,"Echec")</f>
        <v>5</v>
      </c>
      <c r="I54" s="348"/>
      <c r="J54" s="349"/>
      <c r="K54" s="348"/>
      <c r="L54" s="349"/>
    </row>
    <row r="55" spans="1:12" ht="23.45" customHeight="1" thickBot="1">
      <c r="A55" s="300">
        <v>7</v>
      </c>
      <c r="B55" s="300" t="s">
        <v>654</v>
      </c>
      <c r="C55" s="311" t="s">
        <v>73</v>
      </c>
      <c r="D55" s="300" t="s">
        <v>529</v>
      </c>
      <c r="E55" s="300">
        <f>SUM(E56:E63)</f>
        <v>69</v>
      </c>
      <c r="F55" s="300">
        <f>SUM(F56:F63)</f>
        <v>43</v>
      </c>
      <c r="G55" s="300">
        <f>SUM(G56:G63)</f>
        <v>20</v>
      </c>
      <c r="H55" s="312">
        <f>SUM(H56:H63)</f>
        <v>6</v>
      </c>
      <c r="I55" s="354">
        <f>(G55+H55)/E55</f>
        <v>0.37681159420289856</v>
      </c>
      <c r="J55" s="349"/>
      <c r="K55" s="354">
        <f>G55/E55</f>
        <v>0.28985507246376813</v>
      </c>
      <c r="L55" s="349"/>
    </row>
    <row r="56" spans="1:12" ht="28.15" customHeight="1" thickBot="1">
      <c r="A56" s="317" t="s">
        <v>667</v>
      </c>
      <c r="B56" s="318" t="s">
        <v>657</v>
      </c>
      <c r="C56" s="303"/>
      <c r="D56" s="314" t="s">
        <v>655</v>
      </c>
      <c r="E56" s="303">
        <f>COUNTIF('Plan de tests'!A:A,"*"&amp;'Tableau de bord'!$D56&amp;"*")</f>
        <v>9</v>
      </c>
      <c r="F56" s="303">
        <f>COUNTIFS('Plan de tests'!A:A,"*"&amp;'Tableau de bord'!$D56&amp;"*",'Plan de tests'!H:H,"A tester")</f>
        <v>0</v>
      </c>
      <c r="G56" s="303">
        <f>COUNTIFS('Plan de tests'!A:A,"*"&amp;'Tableau de bord'!$D56&amp;"*",'Plan de tests'!H:H,"Succès")</f>
        <v>8</v>
      </c>
      <c r="H56" s="303">
        <f>COUNTIFS('Plan de tests'!A:A,"*"&amp;'Tableau de bord'!$D56&amp;"*",'Plan de tests'!H:H,"Echec")</f>
        <v>1</v>
      </c>
      <c r="I56" s="348"/>
      <c r="J56" s="349"/>
      <c r="K56" s="348"/>
      <c r="L56" s="349"/>
    </row>
    <row r="57" spans="1:12" ht="23.45" customHeight="1" thickBot="1">
      <c r="A57" s="319" t="s">
        <v>668</v>
      </c>
      <c r="B57" s="320" t="s">
        <v>656</v>
      </c>
      <c r="C57" s="305"/>
      <c r="D57" s="315" t="s">
        <v>658</v>
      </c>
      <c r="E57" s="305">
        <f>COUNTIF('Plan de tests'!A:A,"*"&amp;'Tableau de bord'!$D57&amp;"*")</f>
        <v>7</v>
      </c>
      <c r="F57" s="305">
        <f>COUNTIFS('Plan de tests'!A:A,"*"&amp;'Tableau de bord'!$D57&amp;"*",'Plan de tests'!H:H,"A tester")</f>
        <v>1</v>
      </c>
      <c r="G57" s="305">
        <f>COUNTIFS('Plan de tests'!A:A,"*"&amp;'Tableau de bord'!$D57&amp;"*",'Plan de tests'!H:H,"Succès")</f>
        <v>3</v>
      </c>
      <c r="H57" s="305">
        <f>COUNTIFS('Plan de tests'!A:A,"*"&amp;'Tableau de bord'!$D57&amp;"*",'Plan de tests'!H:H,"Echec")</f>
        <v>3</v>
      </c>
      <c r="I57" s="360"/>
      <c r="J57" s="349"/>
      <c r="K57" s="360"/>
      <c r="L57" s="349"/>
    </row>
    <row r="58" spans="1:12" ht="29.25" thickBot="1">
      <c r="A58" s="317" t="s">
        <v>659</v>
      </c>
      <c r="B58" s="316" t="s">
        <v>660</v>
      </c>
      <c r="C58" s="303"/>
      <c r="D58" s="314" t="s">
        <v>661</v>
      </c>
      <c r="E58" s="303">
        <f>COUNTIF('Plan de tests'!A:A,"*"&amp;'Tableau de bord'!$D58&amp;"*")</f>
        <v>7</v>
      </c>
      <c r="F58" s="303">
        <f>COUNTIFS('Plan de tests'!A:A,"*"&amp;'Tableau de bord'!$D58&amp;"*",'Plan de tests'!H:H,"A tester")</f>
        <v>7</v>
      </c>
      <c r="G58" s="303">
        <f>COUNTIFS('Plan de tests'!A:A,"*"&amp;'Tableau de bord'!$D58&amp;"*",'Plan de tests'!H:H,"Succès")</f>
        <v>0</v>
      </c>
      <c r="H58" s="303">
        <f>COUNTIFS('Plan de tests'!A:A,"*"&amp;'Tableau de bord'!$D58&amp;"*",'Plan de tests'!H:H,"Echec")</f>
        <v>0</v>
      </c>
      <c r="I58" s="348"/>
      <c r="J58" s="349"/>
      <c r="K58" s="348"/>
      <c r="L58" s="349"/>
    </row>
    <row r="59" spans="1:12" ht="31.9" customHeight="1" thickBot="1">
      <c r="A59" s="321" t="s">
        <v>662</v>
      </c>
      <c r="B59" s="322" t="s">
        <v>663</v>
      </c>
      <c r="C59" s="310"/>
      <c r="D59" s="323" t="s">
        <v>664</v>
      </c>
      <c r="E59" s="310">
        <f>COUNTIF('Plan de tests'!A:A,"*"&amp;'Tableau de bord'!$D59&amp;"*")</f>
        <v>7</v>
      </c>
      <c r="F59" s="310">
        <f>COUNTIFS('Plan de tests'!A:A,"*"&amp;'Tableau de bord'!$D59&amp;"*",'Plan de tests'!H:H,"A tester")</f>
        <v>7</v>
      </c>
      <c r="G59" s="310">
        <f>COUNTIFS('Plan de tests'!A:A,"*"&amp;'Tableau de bord'!$D59&amp;"*",'Plan de tests'!H:H,"Succès")</f>
        <v>0</v>
      </c>
      <c r="H59" s="310">
        <f>COUNTIFS('Plan de tests'!A:A,"*"&amp;'Tableau de bord'!$D59&amp;"*",'Plan de tests'!H:H,"Echec")</f>
        <v>0</v>
      </c>
      <c r="I59" s="355"/>
      <c r="J59" s="356"/>
      <c r="K59" s="355"/>
      <c r="L59" s="356"/>
    </row>
    <row r="60" spans="1:12" ht="35.450000000000003" customHeight="1" thickBot="1">
      <c r="A60" s="324" t="s">
        <v>669</v>
      </c>
      <c r="B60" s="325" t="s">
        <v>665</v>
      </c>
      <c r="C60" s="308"/>
      <c r="D60" s="326" t="s">
        <v>666</v>
      </c>
      <c r="E60" s="308">
        <f>COUNTIF('Plan de tests'!A:A,"*"&amp;'Tableau de bord'!$D60&amp;"*")</f>
        <v>11</v>
      </c>
      <c r="F60" s="308">
        <f>COUNTIFS('Plan de tests'!A:A,"*"&amp;'Tableau de bord'!$D60&amp;"*",'Plan de tests'!H:H,"A tester")</f>
        <v>11</v>
      </c>
      <c r="G60" s="308">
        <f>COUNTIFS('Plan de tests'!A:A,"*"&amp;'Tableau de bord'!$D60&amp;"*",'Plan de tests'!H:H,"Succès")</f>
        <v>0</v>
      </c>
      <c r="H60" s="308">
        <f>COUNTIFS('Plan de tests'!A:A,"*"&amp;'Tableau de bord'!$D60&amp;"*",'Plan de tests'!H:H,"Echec")</f>
        <v>0</v>
      </c>
      <c r="I60" s="359"/>
      <c r="J60" s="358"/>
      <c r="K60" s="359"/>
      <c r="L60" s="358"/>
    </row>
    <row r="61" spans="1:12" ht="33" customHeight="1" thickBot="1">
      <c r="A61" s="321" t="s">
        <v>670</v>
      </c>
      <c r="B61" s="322" t="s">
        <v>675</v>
      </c>
      <c r="C61" s="310"/>
      <c r="D61" s="323" t="s">
        <v>671</v>
      </c>
      <c r="E61" s="310">
        <f>COUNTIF('Plan de tests'!A:A,"*"&amp;'Tableau de bord'!$D61&amp;"*")</f>
        <v>8</v>
      </c>
      <c r="F61" s="310">
        <f>COUNTIFS('Plan de tests'!A:A,"*"&amp;'Tableau de bord'!$D61&amp;"*",'Plan de tests'!H:H,"A tester")</f>
        <v>8</v>
      </c>
      <c r="G61" s="310">
        <f>COUNTIFS('Plan de tests'!A:A,"*"&amp;'Tableau de bord'!$D61&amp;"*",'Plan de tests'!H:H,"Succès")</f>
        <v>0</v>
      </c>
      <c r="H61" s="310">
        <f>COUNTIFS('Plan de tests'!A:A,"*"&amp;'Tableau de bord'!$D61&amp;"*",'Plan de tests'!H:H,"Echec")</f>
        <v>0</v>
      </c>
      <c r="I61" s="355"/>
      <c r="J61" s="356"/>
      <c r="K61" s="355"/>
      <c r="L61" s="356"/>
    </row>
    <row r="62" spans="1:12" ht="33" customHeight="1" thickBot="1">
      <c r="A62" s="324" t="s">
        <v>672</v>
      </c>
      <c r="B62" s="325" t="s">
        <v>674</v>
      </c>
      <c r="C62" s="308"/>
      <c r="D62" s="326" t="s">
        <v>676</v>
      </c>
      <c r="E62" s="308">
        <f>COUNTIF('Plan de tests'!A:A,"*"&amp;'Tableau de bord'!$D62&amp;"*")</f>
        <v>8</v>
      </c>
      <c r="F62" s="308">
        <f>COUNTIFS('Plan de tests'!A:A,"*"&amp;'Tableau de bord'!$D62&amp;"*",'Plan de tests'!H:H,"A tester")</f>
        <v>8</v>
      </c>
      <c r="G62" s="308">
        <f>COUNTIFS('Plan de tests'!A:A,"*"&amp;'Tableau de bord'!$D62&amp;"*",'Plan de tests'!H:H,"Succès")</f>
        <v>0</v>
      </c>
      <c r="H62" s="308">
        <f>COUNTIFS('Plan de tests'!A:A,"*"&amp;'Tableau de bord'!$D62&amp;"*",'Plan de tests'!H:H,"Echec")</f>
        <v>0</v>
      </c>
      <c r="I62" s="359"/>
      <c r="J62" s="358"/>
      <c r="K62" s="359"/>
      <c r="L62" s="358"/>
    </row>
    <row r="63" spans="1:12" ht="34.15" customHeight="1" thickBot="1">
      <c r="A63" s="321" t="s">
        <v>673</v>
      </c>
      <c r="B63" s="322" t="s">
        <v>677</v>
      </c>
      <c r="C63" s="310"/>
      <c r="D63" s="323" t="s">
        <v>678</v>
      </c>
      <c r="E63" s="310">
        <f>COUNTIF('Plan de tests'!A:A,"*"&amp;'Tableau de bord'!$D63&amp;"*")</f>
        <v>12</v>
      </c>
      <c r="F63" s="310">
        <f>COUNTIFS('Plan de tests'!A:A,"*"&amp;'Tableau de bord'!$D63&amp;"*",'Plan de tests'!H:H,"A tester")</f>
        <v>1</v>
      </c>
      <c r="G63" s="310">
        <f>COUNTIFS('Plan de tests'!A:A,"*"&amp;'Tableau de bord'!$D63&amp;"*",'Plan de tests'!H:H,"Succès")</f>
        <v>9</v>
      </c>
      <c r="H63" s="310">
        <f>COUNTIFS('Plan de tests'!A:A,"*"&amp;'Tableau de bord'!$D63&amp;"*",'Plan de tests'!H:H,"Echec")</f>
        <v>2</v>
      </c>
      <c r="I63" s="355"/>
      <c r="J63" s="356"/>
      <c r="K63" s="355"/>
      <c r="L63" s="356"/>
    </row>
    <row r="64" spans="1:12" ht="19.899999999999999" customHeight="1" thickBot="1">
      <c r="A64" s="300">
        <v>8</v>
      </c>
      <c r="B64" s="300" t="s">
        <v>759</v>
      </c>
      <c r="C64" s="311" t="s">
        <v>73</v>
      </c>
      <c r="D64" s="300" t="s">
        <v>760</v>
      </c>
      <c r="E64" s="300">
        <f>SUM(E65:E68)</f>
        <v>17</v>
      </c>
      <c r="F64" s="300">
        <f>SUM(F65:F68)</f>
        <v>17</v>
      </c>
      <c r="G64" s="300">
        <f>SUM(G65:G68)</f>
        <v>0</v>
      </c>
      <c r="H64" s="312">
        <f>SUM(H65:H68)</f>
        <v>0</v>
      </c>
      <c r="I64" s="354">
        <f>(G64+H64)/E64</f>
        <v>0</v>
      </c>
      <c r="J64" s="349"/>
      <c r="K64" s="354">
        <f>G64/E64</f>
        <v>0</v>
      </c>
      <c r="L64" s="349"/>
    </row>
    <row r="65" spans="1:12" ht="22.15" customHeight="1" thickBot="1">
      <c r="A65" s="317" t="s">
        <v>761</v>
      </c>
      <c r="B65" s="318" t="s">
        <v>762</v>
      </c>
      <c r="C65" s="303"/>
      <c r="D65" s="314" t="s">
        <v>763</v>
      </c>
      <c r="E65" s="303">
        <f>COUNTIF('Plan de tests'!A:A,"*"&amp;'Tableau de bord'!$D65&amp;"*")</f>
        <v>5</v>
      </c>
      <c r="F65" s="303">
        <f>COUNTIFS('Plan de tests'!A:A,"*"&amp;'Tableau de bord'!$D65&amp;"*",'Plan de tests'!H:H,"A tester")</f>
        <v>5</v>
      </c>
      <c r="G65" s="303">
        <f>COUNTIFS('Plan de tests'!A:A,"*"&amp;'Tableau de bord'!$D65&amp;"*",'Plan de tests'!H:H,"Succès")</f>
        <v>0</v>
      </c>
      <c r="H65" s="303">
        <f>COUNTIFS('Plan de tests'!A:A,"*"&amp;'Tableau de bord'!$D65&amp;"*",'Plan de tests'!H:H,"Echec")</f>
        <v>0</v>
      </c>
      <c r="I65" s="348"/>
      <c r="J65" s="349"/>
      <c r="K65" s="348"/>
      <c r="L65" s="349"/>
    </row>
    <row r="66" spans="1:12" ht="24" customHeight="1" thickBot="1">
      <c r="A66" s="327" t="s">
        <v>764</v>
      </c>
      <c r="B66" s="328" t="s">
        <v>765</v>
      </c>
      <c r="C66" s="329"/>
      <c r="D66" s="330" t="s">
        <v>766</v>
      </c>
      <c r="E66" s="310">
        <f>COUNTIF('Plan de tests'!A:A,"*"&amp;'Tableau de bord'!$D66&amp;"*")</f>
        <v>4</v>
      </c>
      <c r="F66" s="310">
        <f>COUNTIFS('Plan de tests'!A:A,"*"&amp;'Tableau de bord'!$D66&amp;"*",'Plan de tests'!H:H,"A tester")</f>
        <v>4</v>
      </c>
      <c r="G66" s="310">
        <f>COUNTIFS('Plan de tests'!A:A,"*"&amp;'Tableau de bord'!$D66&amp;"*",'Plan de tests'!H:H,"Succès")</f>
        <v>0</v>
      </c>
      <c r="H66" s="310">
        <f>COUNTIFS('Plan de tests'!A:A,"*"&amp;'Tableau de bord'!$D66&amp;"*",'Plan de tests'!H:H,"Echec")</f>
        <v>0</v>
      </c>
      <c r="I66" s="355"/>
      <c r="J66" s="356"/>
      <c r="K66" s="355"/>
      <c r="L66" s="356"/>
    </row>
    <row r="67" spans="1:12" ht="26.45" customHeight="1" thickBot="1">
      <c r="A67" s="317" t="s">
        <v>767</v>
      </c>
      <c r="B67" s="316" t="s">
        <v>768</v>
      </c>
      <c r="C67" s="303"/>
      <c r="D67" s="314" t="s">
        <v>769</v>
      </c>
      <c r="E67" s="303">
        <f>COUNTIF('Plan de tests'!A:A,"*"&amp;'Tableau de bord'!$D67&amp;"*")</f>
        <v>4</v>
      </c>
      <c r="F67" s="303">
        <f>COUNTIFS('Plan de tests'!A:A,"*"&amp;'Tableau de bord'!$D67&amp;"*",'Plan de tests'!H:H,"A tester")</f>
        <v>4</v>
      </c>
      <c r="G67" s="303">
        <f>COUNTIFS('Plan de tests'!A:A,"*"&amp;'Tableau de bord'!$D67&amp;"*",'Plan de tests'!H:H,"Succès")</f>
        <v>0</v>
      </c>
      <c r="H67" s="303">
        <f>COUNTIFS('Plan de tests'!A:A,"*"&amp;'Tableau de bord'!$D67&amp;"*",'Plan de tests'!H:H,"Echec")</f>
        <v>0</v>
      </c>
      <c r="I67" s="348"/>
      <c r="J67" s="349"/>
      <c r="K67" s="348"/>
      <c r="L67" s="349"/>
    </row>
    <row r="68" spans="1:12" ht="31.9" customHeight="1" thickBot="1">
      <c r="A68" s="321" t="s">
        <v>770</v>
      </c>
      <c r="B68" s="322" t="s">
        <v>771</v>
      </c>
      <c r="C68" s="310"/>
      <c r="D68" s="323" t="s">
        <v>772</v>
      </c>
      <c r="E68" s="310">
        <f>COUNTIF('Plan de tests'!A:A,"*"&amp;'Tableau de bord'!$D68&amp;"*")</f>
        <v>4</v>
      </c>
      <c r="F68" s="310">
        <f>COUNTIFS('Plan de tests'!A:A,"*"&amp;'Tableau de bord'!$D68&amp;"*",'Plan de tests'!H:H,"A tester")</f>
        <v>4</v>
      </c>
      <c r="G68" s="310">
        <f>COUNTIFS('Plan de tests'!A:A,"*"&amp;'Tableau de bord'!$D68&amp;"*",'Plan de tests'!H:H,"Succès")</f>
        <v>0</v>
      </c>
      <c r="H68" s="310">
        <f>COUNTIFS('Plan de tests'!A:A,"*"&amp;'Tableau de bord'!$D68&amp;"*",'Plan de tests'!H:H,"Echec")</f>
        <v>0</v>
      </c>
      <c r="I68" s="355"/>
      <c r="J68" s="356"/>
      <c r="K68" s="355"/>
      <c r="L68" s="356"/>
    </row>
    <row r="69" spans="1:12" ht="22.5" customHeight="1" thickBot="1">
      <c r="A69" s="300">
        <v>9</v>
      </c>
      <c r="B69" s="300" t="s">
        <v>884</v>
      </c>
      <c r="C69" s="311" t="s">
        <v>73</v>
      </c>
      <c r="D69" s="300" t="s">
        <v>885</v>
      </c>
      <c r="E69" s="300">
        <f>SUM(E70:E70)</f>
        <v>4</v>
      </c>
      <c r="F69" s="300">
        <f>SUM(F70:F70)</f>
        <v>4</v>
      </c>
      <c r="G69" s="300">
        <f>SUM(G70:G70)</f>
        <v>0</v>
      </c>
      <c r="H69" s="312">
        <f>SUM(H70:H70)</f>
        <v>0</v>
      </c>
      <c r="I69" s="354">
        <f>(G69+H69)/E69</f>
        <v>0</v>
      </c>
      <c r="J69" s="349"/>
      <c r="K69" s="354">
        <f>G69/E69</f>
        <v>0</v>
      </c>
      <c r="L69" s="349"/>
    </row>
    <row r="70" spans="1:12" ht="26.25" customHeight="1" thickBot="1">
      <c r="A70" s="331" t="s">
        <v>812</v>
      </c>
      <c r="B70" s="332" t="s">
        <v>868</v>
      </c>
      <c r="C70" s="333"/>
      <c r="D70" s="334" t="s">
        <v>869</v>
      </c>
      <c r="E70" s="333">
        <f>COUNTIF('Plan de tests'!A:A,"*"&amp;'Tableau de bord'!$D70&amp;"*")</f>
        <v>4</v>
      </c>
      <c r="F70" s="333">
        <f>COUNTIFS('Plan de tests'!A:A,"*"&amp;'Tableau de bord'!$D70&amp;"*",'Plan de tests'!H:H,"A tester")</f>
        <v>4</v>
      </c>
      <c r="G70" s="333">
        <f>COUNTIFS('Plan de tests'!A:A,"*"&amp;'Tableau de bord'!$D70&amp;"*",'Plan de tests'!H:H,"Succès")</f>
        <v>0</v>
      </c>
      <c r="H70" s="333">
        <f>COUNTIFS('Plan de tests'!A:A,"*"&amp;'Tableau de bord'!$D70&amp;"*",'Plan de tests'!H:H,"Echec")</f>
        <v>0</v>
      </c>
      <c r="I70" s="357"/>
      <c r="J70" s="358"/>
      <c r="K70" s="357"/>
      <c r="L70" s="358"/>
    </row>
    <row r="71" spans="1:12" ht="24" customHeight="1" thickBot="1">
      <c r="A71" s="300">
        <v>10</v>
      </c>
      <c r="B71" s="300" t="s">
        <v>880</v>
      </c>
      <c r="C71" s="311" t="s">
        <v>73</v>
      </c>
      <c r="D71" s="300" t="s">
        <v>881</v>
      </c>
      <c r="E71" s="300">
        <f>SUM(E72:E72)</f>
        <v>7</v>
      </c>
      <c r="F71" s="300">
        <f>SUM(F72:F72)</f>
        <v>7</v>
      </c>
      <c r="G71" s="300">
        <f>SUM(G72:G75)</f>
        <v>36</v>
      </c>
      <c r="H71" s="312">
        <f>SUM(H72:H75)</f>
        <v>8</v>
      </c>
      <c r="I71" s="354">
        <f>(G71+H71)/E71</f>
        <v>6.2857142857142856</v>
      </c>
      <c r="J71" s="349"/>
      <c r="K71" s="354">
        <f>G71/E71</f>
        <v>5.1428571428571432</v>
      </c>
      <c r="L71" s="349"/>
    </row>
    <row r="72" spans="1:12" ht="26.25" customHeight="1" thickBot="1">
      <c r="A72" s="317" t="s">
        <v>867</v>
      </c>
      <c r="B72" s="318" t="s">
        <v>880</v>
      </c>
      <c r="C72" s="303"/>
      <c r="D72" s="314" t="s">
        <v>882</v>
      </c>
      <c r="E72" s="303">
        <f>COUNTIF('Plan de tests'!A:A,"*"&amp;'Tableau de bord'!$D72&amp;"*")</f>
        <v>7</v>
      </c>
      <c r="F72" s="303">
        <f>COUNTIFS('Plan de tests'!A:A,"*"&amp;'Tableau de bord'!$D72&amp;"*",'Plan de tests'!H:H,"A tester")</f>
        <v>7</v>
      </c>
      <c r="G72" s="303">
        <f>COUNTIFS('Plan de tests'!A:A,"*"&amp;'Tableau de bord'!$D72&amp;"*",'Plan de tests'!H:H,"Succès")</f>
        <v>0</v>
      </c>
      <c r="H72" s="303">
        <f>COUNTIFS('Plan de tests'!A:A,"*"&amp;'Tableau de bord'!$D72&amp;"*",'Plan de tests'!H:H,"Echec")</f>
        <v>0</v>
      </c>
      <c r="I72" s="348"/>
      <c r="J72" s="349"/>
      <c r="K72" s="348"/>
      <c r="L72" s="349"/>
    </row>
    <row r="73" spans="1:12" ht="24.75" customHeight="1" thickBot="1">
      <c r="A73" s="300">
        <v>11</v>
      </c>
      <c r="B73" s="300" t="s">
        <v>886</v>
      </c>
      <c r="C73" s="311" t="s">
        <v>73</v>
      </c>
      <c r="D73" s="300" t="s">
        <v>887</v>
      </c>
      <c r="E73" s="300">
        <f>SUM(E74:E74)</f>
        <v>1</v>
      </c>
      <c r="F73" s="300">
        <f>SUM(F74:F74)</f>
        <v>1</v>
      </c>
      <c r="G73" s="300">
        <f>SUM(G74:G74)</f>
        <v>0</v>
      </c>
      <c r="H73" s="312">
        <f>SUM(H74:H74)</f>
        <v>0</v>
      </c>
      <c r="I73" s="354">
        <f>(G73+H73)/E73</f>
        <v>0</v>
      </c>
      <c r="J73" s="349"/>
      <c r="K73" s="354">
        <f>G73/E73</f>
        <v>0</v>
      </c>
      <c r="L73" s="349"/>
    </row>
    <row r="74" spans="1:12" ht="24" customHeight="1" thickBot="1">
      <c r="A74" s="317" t="s">
        <v>883</v>
      </c>
      <c r="B74" s="318" t="s">
        <v>886</v>
      </c>
      <c r="C74" s="303"/>
      <c r="D74" s="314" t="s">
        <v>889</v>
      </c>
      <c r="E74" s="303">
        <f>COUNTIF('Plan de tests'!A:A,"*"&amp;'Tableau de bord'!$D74&amp;"*")</f>
        <v>1</v>
      </c>
      <c r="F74" s="303">
        <f>COUNTIFS('Plan de tests'!A:A,"*"&amp;'Tableau de bord'!$D74&amp;"*",'Plan de tests'!H:H,"A tester")</f>
        <v>1</v>
      </c>
      <c r="G74" s="303">
        <f>COUNTIFS('Plan de tests'!A:A,"*"&amp;'Tableau de bord'!$D74&amp;"*",'Plan de tests'!H:H,"Succès")</f>
        <v>0</v>
      </c>
      <c r="H74" s="303">
        <f>COUNTIFS('Plan de tests'!A:A,"*"&amp;'Tableau de bord'!$D74&amp;"*",'Plan de tests'!H:H,"Echec")</f>
        <v>0</v>
      </c>
      <c r="I74" s="348"/>
      <c r="J74" s="349"/>
      <c r="K74" s="348"/>
      <c r="L74" s="349"/>
    </row>
    <row r="75" spans="1:12" ht="27" customHeight="1" thickBot="1">
      <c r="A75" s="300">
        <v>12</v>
      </c>
      <c r="B75" s="300" t="s">
        <v>945</v>
      </c>
      <c r="C75" s="311" t="s">
        <v>73</v>
      </c>
      <c r="D75" s="300" t="s">
        <v>948</v>
      </c>
      <c r="E75" s="300">
        <f>SUM(E76:E78)</f>
        <v>75</v>
      </c>
      <c r="F75" s="300">
        <f>SUM(F76:F79)</f>
        <v>104</v>
      </c>
      <c r="G75" s="300">
        <f>SUM(G76:G79)</f>
        <v>36</v>
      </c>
      <c r="H75" s="312">
        <f>SUM(H76:H79)</f>
        <v>8</v>
      </c>
      <c r="I75" s="354">
        <f>(G75+H75)/E75</f>
        <v>0.58666666666666667</v>
      </c>
      <c r="J75" s="349"/>
      <c r="K75" s="354">
        <f>G75/E75</f>
        <v>0.48</v>
      </c>
      <c r="L75" s="349"/>
    </row>
    <row r="76" spans="1:12" ht="27" customHeight="1" thickBot="1">
      <c r="A76" s="317" t="s">
        <v>888</v>
      </c>
      <c r="B76" s="318" t="s">
        <v>946</v>
      </c>
      <c r="C76" s="303"/>
      <c r="D76" s="314" t="s">
        <v>949</v>
      </c>
      <c r="E76" s="303">
        <f>COUNTIF('Plan de tests'!A:A,"*"&amp;'Tableau de bord'!$D76&amp;"*")</f>
        <v>22</v>
      </c>
      <c r="F76" s="303">
        <f>COUNTIFS('Plan de tests'!A:A,"*"&amp;'Tableau de bord'!$D76&amp;"*",'Plan de tests'!H:H,"A tester")</f>
        <v>22</v>
      </c>
      <c r="G76" s="303">
        <f>COUNTIFS('Plan de tests'!A:A,"*"&amp;'Tableau de bord'!$D76&amp;"*",'Plan de tests'!H:H,"Succès")</f>
        <v>0</v>
      </c>
      <c r="H76" s="303">
        <f>COUNTIFS('Plan de tests'!A:A,"*"&amp;'Tableau de bord'!$D76&amp;"*",'Plan de tests'!H:H,"Echec")</f>
        <v>0</v>
      </c>
      <c r="I76" s="348"/>
      <c r="J76" s="349"/>
      <c r="K76" s="348"/>
      <c r="L76" s="349"/>
    </row>
    <row r="77" spans="1:12" ht="28.5" customHeight="1" thickBot="1">
      <c r="A77" s="321" t="s">
        <v>1227</v>
      </c>
      <c r="B77" s="335" t="s">
        <v>1062</v>
      </c>
      <c r="C77" s="310"/>
      <c r="D77" s="323" t="s">
        <v>1063</v>
      </c>
      <c r="E77" s="310">
        <f>COUNTIF('Plan de tests'!A:A,"*"&amp;'Tableau de bord'!$D77&amp;"*")</f>
        <v>27</v>
      </c>
      <c r="F77" s="310">
        <f>COUNTIFS('Plan de tests'!A:A,"*"&amp;'Tableau de bord'!$D77&amp;"*",'Plan de tests'!H:H,"A tester")</f>
        <v>27</v>
      </c>
      <c r="G77" s="310">
        <f>COUNTIFS('Plan de tests'!A:A,"*"&amp;'Tableau de bord'!$D77&amp;"*",'Plan de tests'!H:H,"Succès")</f>
        <v>0</v>
      </c>
      <c r="H77" s="310">
        <f>COUNTIFS('Plan de tests'!A:A,"*"&amp;'Tableau de bord'!$D77&amp;"*",'Plan de tests'!H:H,"Echec")</f>
        <v>0</v>
      </c>
      <c r="I77" s="355"/>
      <c r="J77" s="356"/>
      <c r="K77" s="355"/>
      <c r="L77" s="356"/>
    </row>
    <row r="78" spans="1:12" ht="32.25" customHeight="1" thickBot="1">
      <c r="A78" s="317" t="s">
        <v>1228</v>
      </c>
      <c r="B78" s="318" t="s">
        <v>1064</v>
      </c>
      <c r="C78" s="303"/>
      <c r="D78" s="314" t="s">
        <v>1065</v>
      </c>
      <c r="E78" s="303">
        <f>COUNTIF('Plan de tests'!A:A,"*"&amp;'Tableau de bord'!$D78&amp;"*")</f>
        <v>26</v>
      </c>
      <c r="F78" s="303">
        <f>COUNTIFS('Plan de tests'!A:A,"*"&amp;'Tableau de bord'!$D78&amp;"*",'Plan de tests'!H:H,"A tester")</f>
        <v>26</v>
      </c>
      <c r="G78" s="303">
        <f>COUNTIFS('Plan de tests'!A:A,"*"&amp;'Tableau de bord'!$D78&amp;"*",'Plan de tests'!H:H,"Succès")</f>
        <v>0</v>
      </c>
      <c r="H78" s="303">
        <f>COUNTIFS('Plan de tests'!A:A,"*"&amp;'Tableau de bord'!$D78&amp;"*",'Plan de tests'!H:H,"Echec")</f>
        <v>0</v>
      </c>
      <c r="I78" s="348"/>
      <c r="J78" s="349"/>
      <c r="K78" s="348"/>
      <c r="L78" s="349"/>
    </row>
    <row r="79" spans="1:12" ht="27" customHeight="1" thickBot="1">
      <c r="A79" s="300">
        <v>13</v>
      </c>
      <c r="B79" s="300" t="s">
        <v>1290</v>
      </c>
      <c r="C79" s="311" t="s">
        <v>73</v>
      </c>
      <c r="D79" s="300" t="s">
        <v>1291</v>
      </c>
      <c r="E79" s="300">
        <f>SUM(E80:E81)</f>
        <v>29</v>
      </c>
      <c r="F79" s="300">
        <f>SUM(F80:F83)</f>
        <v>29</v>
      </c>
      <c r="G79" s="300">
        <f>SUM(G80:G83)</f>
        <v>36</v>
      </c>
      <c r="H79" s="312">
        <f>SUM(H80:H83)</f>
        <v>8</v>
      </c>
      <c r="I79" s="354">
        <f>(G79+H79)/E79</f>
        <v>1.5172413793103448</v>
      </c>
      <c r="J79" s="349"/>
      <c r="K79" s="354">
        <f>G79/E79</f>
        <v>1.2413793103448276</v>
      </c>
      <c r="L79" s="349"/>
    </row>
    <row r="80" spans="1:12" ht="26.25" customHeight="1" thickBot="1">
      <c r="A80" s="317" t="s">
        <v>888</v>
      </c>
      <c r="B80" s="318" t="s">
        <v>946</v>
      </c>
      <c r="C80" s="303"/>
      <c r="D80" s="314" t="s">
        <v>1292</v>
      </c>
      <c r="E80" s="303">
        <f>COUNTIF('Plan de tests'!A:A,"*"&amp;'Tableau de bord'!$D80&amp;"*")</f>
        <v>13</v>
      </c>
      <c r="F80" s="303">
        <f>COUNTIFS('Plan de tests'!A:A,"*"&amp;'Tableau de bord'!$D80&amp;"*",'Plan de tests'!H:H,"A tester")</f>
        <v>13</v>
      </c>
      <c r="G80" s="303">
        <f>COUNTIFS('Plan de tests'!A:A,"*"&amp;'Tableau de bord'!$D80&amp;"*",'Plan de tests'!H:H,"Succès")</f>
        <v>0</v>
      </c>
      <c r="H80" s="303">
        <f>COUNTIFS('Plan de tests'!A:A,"*"&amp;'Tableau de bord'!$D80&amp;"*",'Plan de tests'!H:H,"Echec")</f>
        <v>0</v>
      </c>
      <c r="I80" s="348"/>
      <c r="J80" s="349"/>
      <c r="K80" s="348"/>
      <c r="L80" s="349"/>
    </row>
    <row r="81" spans="1:12" ht="27" customHeight="1" thickBot="1">
      <c r="A81" s="321" t="s">
        <v>1227</v>
      </c>
      <c r="B81" s="335" t="s">
        <v>1062</v>
      </c>
      <c r="C81" s="310"/>
      <c r="D81" s="323" t="s">
        <v>1293</v>
      </c>
      <c r="E81" s="310">
        <f>COUNTIF('Plan de tests'!A:A,"*"&amp;'Tableau de bord'!$D81&amp;"*")</f>
        <v>16</v>
      </c>
      <c r="F81" s="310">
        <f>COUNTIFS('Plan de tests'!A:A,"*"&amp;'Tableau de bord'!$D81&amp;"*",'Plan de tests'!H:H,"A tester")</f>
        <v>16</v>
      </c>
      <c r="G81" s="310">
        <f>COUNTIFS('Plan de tests'!A:A,"*"&amp;'Tableau de bord'!$D81&amp;"*",'Plan de tests'!H:H,"Succès")</f>
        <v>0</v>
      </c>
      <c r="H81" s="310">
        <f>COUNTIFS('Plan de tests'!A:A,"*"&amp;'Tableau de bord'!$D81&amp;"*",'Plan de tests'!H:H,"Echec")</f>
        <v>0</v>
      </c>
      <c r="I81" s="355"/>
      <c r="J81" s="356"/>
      <c r="K81" s="355"/>
      <c r="L81" s="356"/>
    </row>
    <row r="82" spans="1:12" ht="29.25" customHeight="1" thickBot="1">
      <c r="A82" s="300">
        <v>13</v>
      </c>
      <c r="B82" s="300" t="s">
        <v>1620</v>
      </c>
      <c r="C82" s="311" t="s">
        <v>73</v>
      </c>
      <c r="D82" s="300" t="s">
        <v>1621</v>
      </c>
      <c r="E82" s="300">
        <f>SUM(E83:E84)</f>
        <v>22</v>
      </c>
      <c r="F82" s="300">
        <f>SUM(F83:F86)</f>
        <v>0</v>
      </c>
      <c r="G82" s="300">
        <f>SUM(G83:G86)</f>
        <v>18</v>
      </c>
      <c r="H82" s="312">
        <f>SUM(H83:H86)</f>
        <v>4</v>
      </c>
      <c r="I82" s="354">
        <f>(G82+H82)/E82</f>
        <v>1</v>
      </c>
      <c r="J82" s="349"/>
      <c r="K82" s="354">
        <f>G82/E82</f>
        <v>0.81818181818181823</v>
      </c>
      <c r="L82" s="349"/>
    </row>
    <row r="83" spans="1:12" ht="25.5" customHeight="1" thickBot="1">
      <c r="A83" s="317" t="s">
        <v>947</v>
      </c>
      <c r="B83" s="318" t="s">
        <v>1620</v>
      </c>
      <c r="C83" s="303"/>
      <c r="D83" s="314" t="s">
        <v>1622</v>
      </c>
      <c r="E83" s="303">
        <f>COUNTIF('Plan de tests'!A:A,"*"&amp;'Tableau de bord'!$D83&amp;"*")</f>
        <v>22</v>
      </c>
      <c r="F83" s="303">
        <f>COUNTIFS('Plan de tests'!A:A,"*"&amp;'Tableau de bord'!$D83&amp;"*",'Plan de tests'!H:H,"A tester")</f>
        <v>0</v>
      </c>
      <c r="G83" s="303">
        <f>COUNTIFS('Plan de tests'!A:A,"*"&amp;'Tableau de bord'!$D83&amp;"*",'Plan de tests'!H:H,"Succès")</f>
        <v>18</v>
      </c>
      <c r="H83" s="303">
        <f>COUNTIFS('Plan de tests'!A:A,"*"&amp;'Tableau de bord'!$D83&amp;"*",'Plan de tests'!H:H,"Echec")</f>
        <v>4</v>
      </c>
      <c r="I83" s="348"/>
      <c r="J83" s="349"/>
      <c r="K83" s="348"/>
      <c r="L83" s="349"/>
    </row>
  </sheetData>
  <mergeCells count="127">
    <mergeCell ref="I82:J82"/>
    <mergeCell ref="K82:L82"/>
    <mergeCell ref="I83:J83"/>
    <mergeCell ref="K83:L83"/>
    <mergeCell ref="I80:J80"/>
    <mergeCell ref="K80:L80"/>
    <mergeCell ref="I81:J81"/>
    <mergeCell ref="K81:L81"/>
    <mergeCell ref="J15:J16"/>
    <mergeCell ref="J17:J18"/>
    <mergeCell ref="I31:J31"/>
    <mergeCell ref="K31:L31"/>
    <mergeCell ref="I24:J24"/>
    <mergeCell ref="K24:L24"/>
    <mergeCell ref="I25:J25"/>
    <mergeCell ref="K25:L25"/>
    <mergeCell ref="I26:J26"/>
    <mergeCell ref="K26:L26"/>
    <mergeCell ref="I27:J27"/>
    <mergeCell ref="K27:L27"/>
    <mergeCell ref="I79:J79"/>
    <mergeCell ref="K79:L79"/>
    <mergeCell ref="I67:J67"/>
    <mergeCell ref="K67:L67"/>
    <mergeCell ref="I68:J68"/>
    <mergeCell ref="K68:L68"/>
    <mergeCell ref="I64:J64"/>
    <mergeCell ref="K64:L64"/>
    <mergeCell ref="I65:J65"/>
    <mergeCell ref="K65:L65"/>
    <mergeCell ref="I66:J66"/>
    <mergeCell ref="K66:L66"/>
    <mergeCell ref="I9:J9"/>
    <mergeCell ref="I48:J48"/>
    <mergeCell ref="I47:J47"/>
    <mergeCell ref="I41:J41"/>
    <mergeCell ref="K29:L29"/>
    <mergeCell ref="K23:L23"/>
    <mergeCell ref="K28:L28"/>
    <mergeCell ref="K43:L43"/>
    <mergeCell ref="K30:L30"/>
    <mergeCell ref="K36:L36"/>
    <mergeCell ref="K34:L34"/>
    <mergeCell ref="K35:L35"/>
    <mergeCell ref="K40:L40"/>
    <mergeCell ref="K39:L39"/>
    <mergeCell ref="K42:L42"/>
    <mergeCell ref="K41:L41"/>
    <mergeCell ref="I23:J23"/>
    <mergeCell ref="K38:L38"/>
    <mergeCell ref="K37:L37"/>
    <mergeCell ref="K33:L33"/>
    <mergeCell ref="K32:L32"/>
    <mergeCell ref="I32:J32"/>
    <mergeCell ref="I33:J33"/>
    <mergeCell ref="I34:J34"/>
    <mergeCell ref="I35:J35"/>
    <mergeCell ref="I28:J28"/>
    <mergeCell ref="I30:J30"/>
    <mergeCell ref="I29:J29"/>
    <mergeCell ref="I38:J38"/>
    <mergeCell ref="I36:J36"/>
    <mergeCell ref="I37:J37"/>
    <mergeCell ref="I39:J39"/>
    <mergeCell ref="I40:J40"/>
    <mergeCell ref="K46:L46"/>
    <mergeCell ref="I53:J53"/>
    <mergeCell ref="I54:J54"/>
    <mergeCell ref="I52:J52"/>
    <mergeCell ref="I51:J51"/>
    <mergeCell ref="I50:J50"/>
    <mergeCell ref="I49:J49"/>
    <mergeCell ref="I46:J46"/>
    <mergeCell ref="I43:J43"/>
    <mergeCell ref="I42:J42"/>
    <mergeCell ref="I45:J45"/>
    <mergeCell ref="I44:J44"/>
    <mergeCell ref="I55:J55"/>
    <mergeCell ref="K55:L55"/>
    <mergeCell ref="I56:J56"/>
    <mergeCell ref="K56:L56"/>
    <mergeCell ref="I57:J57"/>
    <mergeCell ref="K57:L57"/>
    <mergeCell ref="K49:L49"/>
    <mergeCell ref="K48:L48"/>
    <mergeCell ref="K44:L44"/>
    <mergeCell ref="K50:L50"/>
    <mergeCell ref="K53:L53"/>
    <mergeCell ref="K51:L51"/>
    <mergeCell ref="K45:L45"/>
    <mergeCell ref="K54:L54"/>
    <mergeCell ref="K47:L47"/>
    <mergeCell ref="K52:L52"/>
    <mergeCell ref="I62:J62"/>
    <mergeCell ref="K62:L62"/>
    <mergeCell ref="I63:J63"/>
    <mergeCell ref="K63:L63"/>
    <mergeCell ref="I58:J58"/>
    <mergeCell ref="K58:L58"/>
    <mergeCell ref="I59:J59"/>
    <mergeCell ref="K59:L59"/>
    <mergeCell ref="I60:J60"/>
    <mergeCell ref="K60:L60"/>
    <mergeCell ref="I78:J78"/>
    <mergeCell ref="K78:L78"/>
    <mergeCell ref="I15:I16"/>
    <mergeCell ref="I17:I18"/>
    <mergeCell ref="I75:J75"/>
    <mergeCell ref="K75:L75"/>
    <mergeCell ref="I76:J76"/>
    <mergeCell ref="K76:L76"/>
    <mergeCell ref="I77:J77"/>
    <mergeCell ref="K77:L77"/>
    <mergeCell ref="I72:J72"/>
    <mergeCell ref="K72:L72"/>
    <mergeCell ref="I73:J73"/>
    <mergeCell ref="K73:L73"/>
    <mergeCell ref="I74:J74"/>
    <mergeCell ref="K74:L74"/>
    <mergeCell ref="I69:J69"/>
    <mergeCell ref="K69:L69"/>
    <mergeCell ref="I70:J70"/>
    <mergeCell ref="K70:L70"/>
    <mergeCell ref="I71:J71"/>
    <mergeCell ref="K71:L71"/>
    <mergeCell ref="I61:J61"/>
    <mergeCell ref="K61:L61"/>
  </mergeCells>
  <pageMargins left="0.7" right="0.7" top="0.75" bottom="0.75" header="0.3" footer="0.3"/>
  <ignoredErrors>
    <ignoredError sqref="E70:F70 E72:F72"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X727"/>
  <sheetViews>
    <sheetView showGridLines="0" zoomScale="70" zoomScaleNormal="70" workbookViewId="0">
      <selection activeCell="F87" sqref="F87"/>
    </sheetView>
  </sheetViews>
  <sheetFormatPr baseColWidth="10" defaultColWidth="11.5703125" defaultRowHeight="12.75"/>
  <cols>
    <col min="1" max="1" width="24" style="52" customWidth="1"/>
    <col min="2" max="2" width="14.28515625" style="52" customWidth="1"/>
    <col min="3" max="3" width="24" style="52" customWidth="1"/>
    <col min="4" max="4" width="51.7109375" style="52" customWidth="1"/>
    <col min="5" max="5" width="42.140625" style="52" customWidth="1"/>
    <col min="6" max="6" width="21.5703125" style="52" customWidth="1"/>
    <col min="7" max="7" width="18.85546875" style="52" customWidth="1"/>
    <col min="8" max="8" width="29" style="52" customWidth="1"/>
    <col min="9" max="9" width="25" style="52" customWidth="1"/>
    <col min="10" max="10" width="24.28515625" style="52" customWidth="1"/>
    <col min="11" max="11" width="11.5703125" style="52" customWidth="1"/>
    <col min="12" max="16384" width="11.5703125" style="52"/>
  </cols>
  <sheetData>
    <row r="1" spans="1:10" ht="44.25">
      <c r="A1" s="57"/>
      <c r="B1" s="57"/>
      <c r="C1" s="58"/>
      <c r="D1" s="59"/>
      <c r="E1" s="59" t="s">
        <v>0</v>
      </c>
      <c r="F1" s="49"/>
      <c r="G1" s="49"/>
      <c r="H1" s="49"/>
      <c r="I1" s="49"/>
      <c r="J1" s="49"/>
    </row>
    <row r="2" spans="1:10" ht="15.75">
      <c r="A2" s="60" t="s">
        <v>1</v>
      </c>
      <c r="B2" s="61" t="s">
        <v>1532</v>
      </c>
      <c r="C2" s="57"/>
      <c r="D2" s="49"/>
      <c r="E2" s="53" t="s">
        <v>3</v>
      </c>
      <c r="F2" s="49"/>
      <c r="G2" s="49"/>
      <c r="H2" s="49"/>
      <c r="I2" s="49"/>
      <c r="J2" s="49"/>
    </row>
    <row r="3" spans="1:10" ht="33.6" customHeight="1">
      <c r="A3" s="145" t="s">
        <v>681</v>
      </c>
      <c r="B3" s="146" t="s">
        <v>1687</v>
      </c>
      <c r="C3" s="137"/>
      <c r="D3" s="57"/>
      <c r="E3" s="57"/>
      <c r="F3" s="57"/>
      <c r="G3" s="49"/>
      <c r="H3" s="49"/>
      <c r="I3" s="49"/>
      <c r="J3" s="49"/>
    </row>
    <row r="4" spans="1:10" s="129" customFormat="1" ht="15">
      <c r="A4" s="125"/>
      <c r="B4" s="126"/>
      <c r="C4" s="127"/>
      <c r="D4" s="127"/>
      <c r="E4" s="127"/>
      <c r="F4" s="127"/>
      <c r="G4" s="128"/>
      <c r="H4" s="128"/>
      <c r="I4" s="128"/>
      <c r="J4" s="128"/>
    </row>
    <row r="5" spans="1:10" s="129" customFormat="1" ht="15">
      <c r="A5" s="125"/>
      <c r="B5" s="126"/>
      <c r="C5" s="127"/>
      <c r="D5" s="127"/>
      <c r="E5" s="127"/>
      <c r="F5" s="127"/>
      <c r="G5" s="128"/>
      <c r="H5" s="128"/>
      <c r="I5" s="128"/>
      <c r="J5" s="128"/>
    </row>
    <row r="6" spans="1:10" s="129" customFormat="1" ht="30.75" thickBot="1">
      <c r="A6" s="8" t="s">
        <v>497</v>
      </c>
      <c r="B6" s="62"/>
      <c r="C6" s="62"/>
      <c r="D6" s="62"/>
      <c r="E6" s="62"/>
      <c r="F6" s="62"/>
      <c r="G6" s="62"/>
      <c r="H6" s="62"/>
      <c r="I6" s="62"/>
      <c r="J6" s="62"/>
    </row>
    <row r="7" spans="1:10" s="129" customFormat="1" ht="15.75" thickTop="1">
      <c r="A7" s="125"/>
      <c r="B7" s="126"/>
      <c r="C7" s="127"/>
      <c r="D7" s="127"/>
      <c r="E7" s="127"/>
      <c r="F7" s="127"/>
      <c r="G7" s="128"/>
      <c r="H7" s="128"/>
      <c r="I7" s="128"/>
      <c r="J7" s="128"/>
    </row>
    <row r="8" spans="1:10" s="129" customFormat="1" ht="15">
      <c r="A8" s="125"/>
      <c r="B8" s="126"/>
      <c r="C8" s="127"/>
      <c r="D8" s="127"/>
      <c r="E8" s="127"/>
      <c r="F8" s="128"/>
      <c r="G8" s="128"/>
    </row>
    <row r="9" spans="1:10" s="129" customFormat="1" ht="15">
      <c r="A9" s="125"/>
      <c r="B9" s="126"/>
      <c r="C9" s="127"/>
      <c r="D9" s="127"/>
      <c r="E9" s="127"/>
    </row>
    <row r="10" spans="1:10" s="129" customFormat="1" ht="15">
      <c r="A10" s="125"/>
      <c r="B10" s="126"/>
      <c r="C10" s="127"/>
      <c r="D10" s="127"/>
      <c r="E10" s="127"/>
    </row>
    <row r="11" spans="1:10" s="129" customFormat="1" ht="15">
      <c r="A11" s="125"/>
      <c r="B11" s="126"/>
      <c r="C11" s="127"/>
      <c r="D11" s="127"/>
      <c r="E11" s="127"/>
    </row>
    <row r="12" spans="1:10" s="129" customFormat="1" ht="15">
      <c r="A12" s="125"/>
      <c r="B12" s="126"/>
      <c r="C12" s="127"/>
      <c r="D12" s="127"/>
      <c r="E12" s="127"/>
    </row>
    <row r="13" spans="1:10" s="129" customFormat="1" ht="15">
      <c r="A13" s="125"/>
      <c r="B13" s="126"/>
      <c r="C13" s="127"/>
      <c r="D13" s="127"/>
      <c r="E13" s="127"/>
    </row>
    <row r="14" spans="1:10" s="129" customFormat="1" ht="15">
      <c r="A14" s="125"/>
      <c r="B14" s="126"/>
      <c r="C14" s="127"/>
      <c r="D14" s="127"/>
      <c r="E14" s="127"/>
    </row>
    <row r="15" spans="1:10" s="129" customFormat="1" ht="13.9" customHeight="1">
      <c r="A15" s="125"/>
      <c r="B15" s="126"/>
      <c r="C15" s="127"/>
      <c r="D15" s="127"/>
      <c r="E15" s="127"/>
    </row>
    <row r="16" spans="1:10" s="129" customFormat="1" ht="15">
      <c r="A16" s="125"/>
      <c r="B16" s="126"/>
      <c r="C16" s="127"/>
      <c r="D16" s="127"/>
      <c r="E16" s="127"/>
    </row>
    <row r="17" spans="1:10" s="129" customFormat="1" ht="15">
      <c r="A17" s="125"/>
      <c r="B17" s="126"/>
      <c r="C17" s="127"/>
      <c r="D17" s="127"/>
      <c r="E17" s="127"/>
    </row>
    <row r="18" spans="1:10" s="129" customFormat="1" ht="15">
      <c r="A18" s="125"/>
      <c r="B18" s="126"/>
      <c r="C18" s="127"/>
      <c r="D18" s="127"/>
      <c r="E18" s="127"/>
      <c r="H18" s="130"/>
      <c r="I18" s="131"/>
    </row>
    <row r="19" spans="1:10" s="129" customFormat="1" ht="15">
      <c r="A19" s="125"/>
      <c r="B19" s="126"/>
      <c r="C19" s="127"/>
      <c r="D19" s="127"/>
      <c r="E19" s="127"/>
      <c r="F19" s="127"/>
      <c r="G19" s="128"/>
      <c r="H19" s="128"/>
      <c r="I19" s="128"/>
      <c r="J19" s="128"/>
    </row>
    <row r="21" spans="1:10" s="244" customFormat="1"/>
    <row r="22" spans="1:10" s="244" customFormat="1" ht="30.75" thickBot="1">
      <c r="A22" s="8" t="s">
        <v>1537</v>
      </c>
      <c r="B22" s="62"/>
      <c r="C22" s="62"/>
      <c r="D22" s="62"/>
      <c r="E22" s="62"/>
      <c r="F22" s="62"/>
      <c r="G22" s="62"/>
      <c r="H22" s="62"/>
      <c r="I22" s="62"/>
      <c r="J22" s="62"/>
    </row>
    <row r="23" spans="1:10" s="244" customFormat="1" ht="13.5" thickTop="1"/>
    <row r="24" spans="1:10" s="244" customFormat="1">
      <c r="A24" s="410" t="s">
        <v>7</v>
      </c>
      <c r="B24" s="410"/>
      <c r="C24" s="410" t="s">
        <v>12</v>
      </c>
      <c r="D24" s="410"/>
      <c r="E24" s="410" t="s">
        <v>13</v>
      </c>
      <c r="F24" s="410" t="s">
        <v>14</v>
      </c>
      <c r="G24" s="410"/>
      <c r="H24" s="410"/>
      <c r="I24" s="410" t="s">
        <v>14</v>
      </c>
      <c r="J24" s="410"/>
    </row>
    <row r="25" spans="1:10" s="244" customFormat="1">
      <c r="A25" s="410"/>
      <c r="B25" s="410"/>
      <c r="C25" s="410"/>
      <c r="D25" s="410"/>
      <c r="E25" s="410"/>
      <c r="F25" s="410"/>
      <c r="G25" s="410"/>
      <c r="H25" s="410"/>
      <c r="I25" s="410"/>
      <c r="J25" s="410"/>
    </row>
    <row r="26" spans="1:10" s="244" customFormat="1">
      <c r="A26" s="411">
        <f>COUNTIFS(A29:A10468,"UC_FT_*",H29:H10468,"A tester")</f>
        <v>0</v>
      </c>
      <c r="B26" s="411"/>
      <c r="C26" s="412">
        <f>COUNTIFS(A29:A10468,"UC_FT*",H29:H10468,"Succès")</f>
        <v>14</v>
      </c>
      <c r="D26" s="412"/>
      <c r="E26" s="411">
        <f>COUNTIFS(A29:A10468,"UC_FT*",H29:H10468,"Echec")</f>
        <v>7</v>
      </c>
      <c r="F26" s="413">
        <f>(C26+E26)/SUM(A26:E26)</f>
        <v>1</v>
      </c>
      <c r="G26" s="413"/>
      <c r="H26" s="413"/>
      <c r="I26" s="414">
        <f>C26/SUM(A26:E27)</f>
        <v>0.66666666666666663</v>
      </c>
      <c r="J26" s="414"/>
    </row>
    <row r="27" spans="1:10" s="244" customFormat="1">
      <c r="A27" s="378"/>
      <c r="B27" s="378"/>
      <c r="C27" s="377"/>
      <c r="D27" s="377"/>
      <c r="E27" s="378"/>
      <c r="F27" s="379"/>
      <c r="G27" s="379"/>
      <c r="H27" s="379"/>
      <c r="I27" s="415"/>
      <c r="J27" s="415"/>
    </row>
    <row r="28" spans="1:10" s="244" customFormat="1" ht="18">
      <c r="A28" s="336"/>
      <c r="B28" s="336"/>
      <c r="C28" s="337"/>
      <c r="D28" s="337"/>
      <c r="E28" s="336"/>
      <c r="F28" s="245"/>
      <c r="G28" s="245"/>
      <c r="H28" s="245"/>
      <c r="I28" s="338"/>
      <c r="J28" s="338"/>
    </row>
    <row r="29" spans="1:10" s="244" customFormat="1" ht="18">
      <c r="A29" s="336"/>
      <c r="B29" s="336"/>
      <c r="C29" s="337"/>
      <c r="D29" s="337"/>
      <c r="E29" s="336"/>
      <c r="F29" s="245"/>
      <c r="G29" s="245"/>
      <c r="H29" s="245"/>
      <c r="I29" s="338"/>
      <c r="J29" s="338"/>
    </row>
    <row r="30" spans="1:10" s="244" customFormat="1" ht="26.25">
      <c r="A30" s="495" t="s">
        <v>1538</v>
      </c>
      <c r="B30" s="339"/>
      <c r="C30" s="339"/>
      <c r="D30" s="339"/>
      <c r="E30" s="339"/>
      <c r="F30" s="339"/>
      <c r="G30" s="339"/>
      <c r="H30" s="339"/>
      <c r="I30" s="339"/>
      <c r="J30" s="339"/>
    </row>
    <row r="31" spans="1:10" s="244" customFormat="1"/>
    <row r="32" spans="1:10" s="244" customFormat="1" ht="23.25" customHeight="1">
      <c r="A32" s="14" t="s">
        <v>17</v>
      </c>
      <c r="B32" s="14" t="s">
        <v>19</v>
      </c>
      <c r="C32" s="14" t="s">
        <v>20</v>
      </c>
      <c r="D32" s="14" t="s">
        <v>21</v>
      </c>
      <c r="E32" s="14" t="s">
        <v>22</v>
      </c>
      <c r="F32" s="14" t="s">
        <v>23</v>
      </c>
      <c r="G32" s="14" t="s">
        <v>24</v>
      </c>
      <c r="H32" s="14" t="s">
        <v>25</v>
      </c>
      <c r="I32" s="14" t="s">
        <v>26</v>
      </c>
      <c r="J32" s="14" t="s">
        <v>27</v>
      </c>
    </row>
    <row r="33" spans="1:10" s="244" customFormat="1" ht="90.75" customHeight="1">
      <c r="A33" s="150" t="s">
        <v>1539</v>
      </c>
      <c r="B33" s="150" t="s">
        <v>29</v>
      </c>
      <c r="C33" s="150" t="s">
        <v>30</v>
      </c>
      <c r="D33" s="150" t="s">
        <v>1568</v>
      </c>
      <c r="E33" s="150" t="s">
        <v>1569</v>
      </c>
      <c r="F33" s="150"/>
      <c r="G33" s="175" t="s">
        <v>35</v>
      </c>
      <c r="H33" s="176" t="s">
        <v>12</v>
      </c>
      <c r="I33" s="273">
        <v>43096</v>
      </c>
      <c r="J33" s="150" t="s">
        <v>1570</v>
      </c>
    </row>
    <row r="34" spans="1:10" s="244" customFormat="1" ht="48" customHeight="1">
      <c r="A34" s="179" t="s">
        <v>1583</v>
      </c>
      <c r="B34" s="179" t="s">
        <v>29</v>
      </c>
      <c r="C34" s="179" t="s">
        <v>30</v>
      </c>
      <c r="D34" s="179" t="s">
        <v>1579</v>
      </c>
      <c r="E34" s="179" t="s">
        <v>1574</v>
      </c>
      <c r="F34" s="157"/>
      <c r="G34" s="178" t="s">
        <v>35</v>
      </c>
      <c r="H34" s="176" t="s">
        <v>12</v>
      </c>
      <c r="I34" s="272">
        <v>43096</v>
      </c>
      <c r="J34" s="179"/>
    </row>
    <row r="35" spans="1:10" s="244" customFormat="1" ht="78" customHeight="1">
      <c r="A35" s="150" t="s">
        <v>1571</v>
      </c>
      <c r="B35" s="150" t="s">
        <v>29</v>
      </c>
      <c r="C35" s="150" t="s">
        <v>30</v>
      </c>
      <c r="D35" s="150" t="s">
        <v>1577</v>
      </c>
      <c r="E35" s="150" t="s">
        <v>1578</v>
      </c>
      <c r="F35" s="150"/>
      <c r="G35" s="175" t="s">
        <v>35</v>
      </c>
      <c r="H35" s="176" t="s">
        <v>13</v>
      </c>
      <c r="I35" s="273">
        <v>43096</v>
      </c>
      <c r="J35" s="150"/>
    </row>
    <row r="36" spans="1:10" s="244" customFormat="1" ht="90.75" customHeight="1">
      <c r="A36" s="179" t="s">
        <v>1584</v>
      </c>
      <c r="B36" s="179" t="s">
        <v>29</v>
      </c>
      <c r="C36" s="179" t="s">
        <v>30</v>
      </c>
      <c r="D36" s="179" t="s">
        <v>1572</v>
      </c>
      <c r="E36" s="179" t="s">
        <v>1573</v>
      </c>
      <c r="F36" s="157"/>
      <c r="G36" s="178" t="s">
        <v>35</v>
      </c>
      <c r="H36" s="176" t="s">
        <v>13</v>
      </c>
      <c r="I36" s="282">
        <v>43096</v>
      </c>
      <c r="J36" s="226" t="s">
        <v>1570</v>
      </c>
    </row>
    <row r="37" spans="1:10" s="244" customFormat="1" ht="66" customHeight="1">
      <c r="A37" s="150" t="s">
        <v>1575</v>
      </c>
      <c r="B37" s="150" t="s">
        <v>29</v>
      </c>
      <c r="C37" s="150" t="s">
        <v>39</v>
      </c>
      <c r="D37" s="202" t="s">
        <v>1579</v>
      </c>
      <c r="E37" s="202" t="s">
        <v>1574</v>
      </c>
      <c r="F37" s="150"/>
      <c r="G37" s="175" t="s">
        <v>35</v>
      </c>
      <c r="H37" s="176" t="s">
        <v>12</v>
      </c>
      <c r="I37" s="273">
        <v>43096</v>
      </c>
      <c r="J37" s="150"/>
    </row>
    <row r="38" spans="1:10" s="244" customFormat="1" ht="48.75" customHeight="1">
      <c r="A38" s="179" t="s">
        <v>1585</v>
      </c>
      <c r="B38" s="179" t="s">
        <v>29</v>
      </c>
      <c r="C38" s="179" t="s">
        <v>39</v>
      </c>
      <c r="D38" s="226" t="s">
        <v>1577</v>
      </c>
      <c r="E38" s="226" t="s">
        <v>1578</v>
      </c>
      <c r="F38" s="157"/>
      <c r="G38" s="178" t="s">
        <v>35</v>
      </c>
      <c r="H38" s="176" t="s">
        <v>13</v>
      </c>
      <c r="I38" s="272">
        <v>43096</v>
      </c>
      <c r="J38" s="179"/>
    </row>
    <row r="39" spans="1:10" s="244" customFormat="1" ht="46.5" customHeight="1">
      <c r="A39" s="150" t="s">
        <v>1576</v>
      </c>
      <c r="B39" s="150" t="s">
        <v>29</v>
      </c>
      <c r="C39" s="150" t="s">
        <v>39</v>
      </c>
      <c r="D39" s="150" t="s">
        <v>1572</v>
      </c>
      <c r="E39" s="150" t="s">
        <v>1573</v>
      </c>
      <c r="F39" s="150"/>
      <c r="G39" s="175" t="s">
        <v>35</v>
      </c>
      <c r="H39" s="176" t="s">
        <v>12</v>
      </c>
      <c r="I39" s="273">
        <v>43096</v>
      </c>
      <c r="J39" s="150"/>
    </row>
    <row r="40" spans="1:10" s="244" customFormat="1" ht="18">
      <c r="A40" s="336"/>
      <c r="B40" s="336"/>
      <c r="C40" s="337"/>
      <c r="D40" s="337"/>
      <c r="E40" s="336"/>
      <c r="F40" s="245"/>
      <c r="G40" s="245"/>
      <c r="H40" s="245"/>
      <c r="I40" s="338"/>
      <c r="J40" s="338"/>
    </row>
    <row r="41" spans="1:10" s="244" customFormat="1" ht="18">
      <c r="A41" s="336"/>
      <c r="B41" s="336"/>
      <c r="C41" s="337"/>
      <c r="D41" s="337"/>
      <c r="E41" s="336"/>
      <c r="F41" s="245"/>
      <c r="G41" s="245"/>
      <c r="H41" s="245"/>
      <c r="I41" s="338"/>
      <c r="J41" s="338"/>
    </row>
    <row r="42" spans="1:10" s="244" customFormat="1" ht="26.25">
      <c r="A42" s="495" t="s">
        <v>1597</v>
      </c>
      <c r="B42" s="339"/>
      <c r="C42" s="339"/>
      <c r="D42" s="339"/>
      <c r="E42" s="339"/>
      <c r="F42" s="339"/>
      <c r="G42" s="339"/>
      <c r="H42" s="339"/>
      <c r="I42" s="339"/>
      <c r="J42" s="339"/>
    </row>
    <row r="43" spans="1:10" s="244" customFormat="1"/>
    <row r="44" spans="1:10" s="244" customFormat="1" ht="21" customHeight="1">
      <c r="A44" s="14" t="s">
        <v>17</v>
      </c>
      <c r="B44" s="14" t="s">
        <v>19</v>
      </c>
      <c r="C44" s="14" t="s">
        <v>20</v>
      </c>
      <c r="D44" s="14" t="s">
        <v>21</v>
      </c>
      <c r="E44" s="14" t="s">
        <v>22</v>
      </c>
      <c r="F44" s="14" t="s">
        <v>23</v>
      </c>
      <c r="G44" s="14" t="s">
        <v>24</v>
      </c>
      <c r="H44" s="14" t="s">
        <v>25</v>
      </c>
      <c r="I44" s="14" t="s">
        <v>26</v>
      </c>
      <c r="J44" s="14" t="s">
        <v>27</v>
      </c>
    </row>
    <row r="45" spans="1:10" s="244" customFormat="1" ht="83.25" customHeight="1">
      <c r="A45" s="150" t="s">
        <v>1598</v>
      </c>
      <c r="B45" s="150" t="s">
        <v>29</v>
      </c>
      <c r="C45" s="150" t="s">
        <v>30</v>
      </c>
      <c r="D45" s="150" t="s">
        <v>1580</v>
      </c>
      <c r="E45" s="150" t="s">
        <v>1581</v>
      </c>
      <c r="F45" s="150"/>
      <c r="G45" s="175" t="s">
        <v>35</v>
      </c>
      <c r="H45" s="176" t="s">
        <v>12</v>
      </c>
      <c r="I45" s="273">
        <v>43096</v>
      </c>
      <c r="J45" s="150"/>
    </row>
    <row r="46" spans="1:10" s="244" customFormat="1" ht="48" customHeight="1">
      <c r="A46" s="179" t="s">
        <v>1599</v>
      </c>
      <c r="B46" s="179" t="s">
        <v>29</v>
      </c>
      <c r="C46" s="179" t="s">
        <v>30</v>
      </c>
      <c r="D46" s="179" t="s">
        <v>1582</v>
      </c>
      <c r="E46" s="179" t="s">
        <v>1586</v>
      </c>
      <c r="F46" s="157"/>
      <c r="G46" s="178" t="s">
        <v>35</v>
      </c>
      <c r="H46" s="176" t="s">
        <v>12</v>
      </c>
      <c r="I46" s="272">
        <v>43096</v>
      </c>
      <c r="J46" s="179"/>
    </row>
    <row r="47" spans="1:10" s="244" customFormat="1" ht="43.5" customHeight="1">
      <c r="A47" s="150" t="s">
        <v>1600</v>
      </c>
      <c r="B47" s="150" t="s">
        <v>29</v>
      </c>
      <c r="C47" s="150" t="s">
        <v>30</v>
      </c>
      <c r="D47" s="150" t="s">
        <v>1587</v>
      </c>
      <c r="E47" s="150" t="s">
        <v>1581</v>
      </c>
      <c r="F47" s="150"/>
      <c r="G47" s="175" t="s">
        <v>35</v>
      </c>
      <c r="H47" s="176" t="s">
        <v>13</v>
      </c>
      <c r="I47" s="273">
        <v>43096</v>
      </c>
      <c r="J47" s="150"/>
    </row>
    <row r="48" spans="1:10" s="244" customFormat="1" ht="45.75" customHeight="1">
      <c r="A48" s="179" t="s">
        <v>1601</v>
      </c>
      <c r="B48" s="179" t="s">
        <v>29</v>
      </c>
      <c r="C48" s="179" t="s">
        <v>30</v>
      </c>
      <c r="D48" s="179" t="s">
        <v>1588</v>
      </c>
      <c r="E48" s="179" t="s">
        <v>1589</v>
      </c>
      <c r="F48" s="157"/>
      <c r="G48" s="178" t="s">
        <v>35</v>
      </c>
      <c r="H48" s="176" t="s">
        <v>13</v>
      </c>
      <c r="I48" s="272">
        <v>43096</v>
      </c>
      <c r="J48" s="179" t="s">
        <v>1590</v>
      </c>
    </row>
    <row r="49" spans="1:10" s="244" customFormat="1" ht="43.5" customHeight="1">
      <c r="A49" s="150" t="s">
        <v>1602</v>
      </c>
      <c r="B49" s="150" t="s">
        <v>29</v>
      </c>
      <c r="C49" s="150" t="s">
        <v>30</v>
      </c>
      <c r="D49" s="150" t="s">
        <v>1591</v>
      </c>
      <c r="E49" s="150" t="s">
        <v>1592</v>
      </c>
      <c r="F49" s="150"/>
      <c r="G49" s="175" t="s">
        <v>35</v>
      </c>
      <c r="H49" s="176" t="s">
        <v>12</v>
      </c>
      <c r="I49" s="273">
        <v>43096</v>
      </c>
      <c r="J49" s="150"/>
    </row>
    <row r="50" spans="1:10" s="244" customFormat="1" ht="48.75" customHeight="1">
      <c r="A50" s="179" t="s">
        <v>1603</v>
      </c>
      <c r="B50" s="179" t="s">
        <v>29</v>
      </c>
      <c r="C50" s="179" t="s">
        <v>30</v>
      </c>
      <c r="D50" s="179" t="s">
        <v>1593</v>
      </c>
      <c r="E50" s="179" t="s">
        <v>1594</v>
      </c>
      <c r="F50" s="157"/>
      <c r="G50" s="178" t="s">
        <v>35</v>
      </c>
      <c r="H50" s="176" t="s">
        <v>12</v>
      </c>
      <c r="I50" s="272">
        <v>43096</v>
      </c>
      <c r="J50" s="179"/>
    </row>
    <row r="51" spans="1:10" s="244" customFormat="1" ht="43.5" customHeight="1">
      <c r="A51" s="150" t="s">
        <v>1604</v>
      </c>
      <c r="B51" s="150" t="s">
        <v>29</v>
      </c>
      <c r="C51" s="150" t="s">
        <v>30</v>
      </c>
      <c r="D51" s="150" t="s">
        <v>1595</v>
      </c>
      <c r="E51" s="150" t="s">
        <v>1596</v>
      </c>
      <c r="F51" s="150"/>
      <c r="G51" s="175" t="s">
        <v>35</v>
      </c>
      <c r="H51" s="176" t="s">
        <v>12</v>
      </c>
      <c r="I51" s="273">
        <v>43096</v>
      </c>
      <c r="J51" s="150"/>
    </row>
    <row r="52" spans="1:10" s="244" customFormat="1" ht="18">
      <c r="A52" s="336"/>
      <c r="B52" s="336"/>
      <c r="C52" s="337"/>
      <c r="D52" s="337"/>
      <c r="E52" s="336"/>
      <c r="F52" s="245"/>
      <c r="G52" s="245"/>
      <c r="H52" s="245"/>
      <c r="I52" s="338"/>
      <c r="J52" s="338"/>
    </row>
    <row r="53" spans="1:10" s="244" customFormat="1" ht="18">
      <c r="A53" s="336"/>
      <c r="B53" s="336"/>
      <c r="C53" s="337"/>
      <c r="D53" s="337"/>
      <c r="E53" s="336"/>
      <c r="F53" s="245"/>
      <c r="G53" s="245"/>
      <c r="H53" s="245"/>
      <c r="I53" s="338"/>
      <c r="J53" s="338"/>
    </row>
    <row r="54" spans="1:10" s="244" customFormat="1" ht="26.25">
      <c r="A54" s="495" t="s">
        <v>1612</v>
      </c>
      <c r="B54" s="339"/>
      <c r="C54" s="339"/>
      <c r="D54" s="339"/>
      <c r="E54" s="339"/>
      <c r="F54" s="339"/>
      <c r="G54" s="339"/>
      <c r="H54" s="339"/>
      <c r="I54" s="339"/>
      <c r="J54" s="339"/>
    </row>
    <row r="55" spans="1:10" s="244" customFormat="1"/>
    <row r="56" spans="1:10" s="244" customFormat="1">
      <c r="A56" s="14" t="s">
        <v>17</v>
      </c>
      <c r="B56" s="14" t="s">
        <v>19</v>
      </c>
      <c r="C56" s="14" t="s">
        <v>20</v>
      </c>
      <c r="D56" s="14" t="s">
        <v>21</v>
      </c>
      <c r="E56" s="14" t="s">
        <v>22</v>
      </c>
      <c r="F56" s="14" t="s">
        <v>23</v>
      </c>
      <c r="G56" s="14" t="s">
        <v>24</v>
      </c>
      <c r="H56" s="14" t="s">
        <v>25</v>
      </c>
      <c r="I56" s="14" t="s">
        <v>26</v>
      </c>
      <c r="J56" s="14" t="s">
        <v>27</v>
      </c>
    </row>
    <row r="57" spans="1:10" s="244" customFormat="1" ht="68.25" customHeight="1">
      <c r="A57" s="150" t="s">
        <v>1605</v>
      </c>
      <c r="B57" s="150" t="s">
        <v>29</v>
      </c>
      <c r="C57" s="150" t="s">
        <v>39</v>
      </c>
      <c r="D57" s="150" t="s">
        <v>1580</v>
      </c>
      <c r="E57" s="150" t="s">
        <v>1581</v>
      </c>
      <c r="F57" s="150"/>
      <c r="G57" s="175" t="s">
        <v>35</v>
      </c>
      <c r="H57" s="176" t="s">
        <v>12</v>
      </c>
      <c r="I57" s="273">
        <v>43096</v>
      </c>
      <c r="J57" s="150"/>
    </row>
    <row r="58" spans="1:10" s="244" customFormat="1" ht="38.25" customHeight="1">
      <c r="A58" s="179" t="s">
        <v>1606</v>
      </c>
      <c r="B58" s="179" t="s">
        <v>29</v>
      </c>
      <c r="C58" s="179" t="s">
        <v>39</v>
      </c>
      <c r="D58" s="179" t="s">
        <v>1582</v>
      </c>
      <c r="E58" s="179" t="s">
        <v>1586</v>
      </c>
      <c r="F58" s="157"/>
      <c r="G58" s="178" t="s">
        <v>35</v>
      </c>
      <c r="H58" s="176" t="s">
        <v>12</v>
      </c>
      <c r="I58" s="272">
        <v>43096</v>
      </c>
      <c r="J58" s="179"/>
    </row>
    <row r="59" spans="1:10" s="244" customFormat="1" ht="28.5">
      <c r="A59" s="150" t="s">
        <v>1607</v>
      </c>
      <c r="B59" s="150" t="s">
        <v>29</v>
      </c>
      <c r="C59" s="150" t="s">
        <v>39</v>
      </c>
      <c r="D59" s="150" t="s">
        <v>1587</v>
      </c>
      <c r="E59" s="150" t="s">
        <v>1581</v>
      </c>
      <c r="F59" s="150"/>
      <c r="G59" s="175" t="s">
        <v>35</v>
      </c>
      <c r="H59" s="176" t="s">
        <v>13</v>
      </c>
      <c r="I59" s="273">
        <v>43096</v>
      </c>
      <c r="J59" s="150"/>
    </row>
    <row r="60" spans="1:10" s="244" customFormat="1" ht="28.5">
      <c r="A60" s="179" t="s">
        <v>1608</v>
      </c>
      <c r="B60" s="179" t="s">
        <v>29</v>
      </c>
      <c r="C60" s="179" t="s">
        <v>39</v>
      </c>
      <c r="D60" s="179" t="s">
        <v>1588</v>
      </c>
      <c r="E60" s="179" t="s">
        <v>1589</v>
      </c>
      <c r="F60" s="157"/>
      <c r="G60" s="178" t="s">
        <v>35</v>
      </c>
      <c r="H60" s="176" t="s">
        <v>13</v>
      </c>
      <c r="I60" s="272">
        <v>43096</v>
      </c>
      <c r="J60" s="179" t="s">
        <v>1590</v>
      </c>
    </row>
    <row r="61" spans="1:10" s="244" customFormat="1" ht="36.75" customHeight="1">
      <c r="A61" s="150" t="s">
        <v>1609</v>
      </c>
      <c r="B61" s="150" t="s">
        <v>29</v>
      </c>
      <c r="C61" s="150" t="s">
        <v>39</v>
      </c>
      <c r="D61" s="150" t="s">
        <v>1591</v>
      </c>
      <c r="E61" s="150" t="s">
        <v>1592</v>
      </c>
      <c r="F61" s="150"/>
      <c r="G61" s="175" t="s">
        <v>35</v>
      </c>
      <c r="H61" s="176" t="s">
        <v>12</v>
      </c>
      <c r="I61" s="273">
        <v>43096</v>
      </c>
      <c r="J61" s="150"/>
    </row>
    <row r="62" spans="1:10" s="244" customFormat="1" ht="33" customHeight="1">
      <c r="A62" s="179" t="s">
        <v>1610</v>
      </c>
      <c r="B62" s="179" t="s">
        <v>29</v>
      </c>
      <c r="C62" s="179" t="s">
        <v>39</v>
      </c>
      <c r="D62" s="179" t="s">
        <v>1593</v>
      </c>
      <c r="E62" s="179" t="s">
        <v>1594</v>
      </c>
      <c r="F62" s="157"/>
      <c r="G62" s="178" t="s">
        <v>35</v>
      </c>
      <c r="H62" s="176" t="s">
        <v>12</v>
      </c>
      <c r="I62" s="272">
        <v>43096</v>
      </c>
      <c r="J62" s="179"/>
    </row>
    <row r="63" spans="1:10" s="244" customFormat="1" ht="36" customHeight="1">
      <c r="A63" s="150" t="s">
        <v>1611</v>
      </c>
      <c r="B63" s="150" t="s">
        <v>29</v>
      </c>
      <c r="C63" s="150" t="s">
        <v>39</v>
      </c>
      <c r="D63" s="150" t="s">
        <v>1595</v>
      </c>
      <c r="E63" s="150" t="s">
        <v>1596</v>
      </c>
      <c r="F63" s="150"/>
      <c r="G63" s="175" t="s">
        <v>35</v>
      </c>
      <c r="H63" s="176" t="s">
        <v>12</v>
      </c>
      <c r="I63" s="273">
        <v>43096</v>
      </c>
      <c r="J63" s="150"/>
    </row>
    <row r="64" spans="1:10" s="244" customFormat="1" ht="18">
      <c r="A64" s="336"/>
      <c r="B64" s="336"/>
      <c r="C64" s="337"/>
      <c r="D64" s="337"/>
      <c r="E64" s="336"/>
      <c r="F64" s="245"/>
      <c r="G64" s="245"/>
      <c r="H64" s="245"/>
      <c r="I64" s="338"/>
      <c r="J64" s="338"/>
    </row>
    <row r="65" spans="1:10" s="244" customFormat="1" ht="18">
      <c r="A65" s="336"/>
      <c r="B65" s="336"/>
      <c r="C65" s="337"/>
      <c r="D65" s="337"/>
      <c r="E65" s="336"/>
      <c r="F65" s="245"/>
      <c r="G65" s="245"/>
      <c r="H65" s="245"/>
      <c r="I65" s="338"/>
      <c r="J65" s="338"/>
    </row>
    <row r="67" spans="1:10" ht="30">
      <c r="A67" s="8" t="s">
        <v>6</v>
      </c>
      <c r="B67" s="62"/>
      <c r="C67" s="62"/>
      <c r="D67" s="62"/>
      <c r="E67" s="62"/>
      <c r="F67" s="62"/>
      <c r="G67" s="62"/>
      <c r="H67" s="62"/>
      <c r="I67" s="62"/>
      <c r="J67" s="62"/>
    </row>
    <row r="69" spans="1:10" ht="17.45" customHeight="1">
      <c r="A69" s="410" t="s">
        <v>7</v>
      </c>
      <c r="B69" s="410"/>
      <c r="C69" s="410" t="s">
        <v>12</v>
      </c>
      <c r="D69" s="410"/>
      <c r="E69" s="410" t="s">
        <v>13</v>
      </c>
      <c r="F69" s="410" t="s">
        <v>14</v>
      </c>
      <c r="G69" s="410"/>
      <c r="H69" s="410"/>
      <c r="I69" s="410" t="s">
        <v>14</v>
      </c>
      <c r="J69" s="410"/>
    </row>
    <row r="70" spans="1:10" ht="13.15" customHeight="1">
      <c r="A70" s="410"/>
      <c r="B70" s="410"/>
      <c r="C70" s="410"/>
      <c r="D70" s="410"/>
      <c r="E70" s="410"/>
      <c r="F70" s="410"/>
      <c r="G70" s="410"/>
      <c r="H70" s="410"/>
      <c r="I70" s="410"/>
      <c r="J70" s="410"/>
    </row>
    <row r="71" spans="1:10" ht="17.45" customHeight="1">
      <c r="A71" s="411">
        <f>COUNTIFS(A76:A10475,"UC_GU_*",H76:H10475,"A tester")</f>
        <v>0</v>
      </c>
      <c r="B71" s="411"/>
      <c r="C71" s="412">
        <f>COUNTIFS(A76:A10475,"UC_GU*",H76:H10475,"Succès")</f>
        <v>41</v>
      </c>
      <c r="D71" s="412"/>
      <c r="E71" s="411">
        <f>COUNTIFS(A76:A10475,"UC_GU*",H76:H10475,"Echec")</f>
        <v>12</v>
      </c>
      <c r="F71" s="413">
        <f>(C71+E71)/SUM(A71:E71)</f>
        <v>1</v>
      </c>
      <c r="G71" s="413"/>
      <c r="H71" s="413"/>
      <c r="I71" s="414">
        <f>C71/SUM(A71:E72)</f>
        <v>0.77358490566037741</v>
      </c>
      <c r="J71" s="414"/>
    </row>
    <row r="72" spans="1:10" ht="13.15" customHeight="1">
      <c r="A72" s="378"/>
      <c r="B72" s="378"/>
      <c r="C72" s="377"/>
      <c r="D72" s="377"/>
      <c r="E72" s="378"/>
      <c r="F72" s="379"/>
      <c r="G72" s="379"/>
      <c r="H72" s="379"/>
      <c r="I72" s="415"/>
      <c r="J72" s="415"/>
    </row>
    <row r="75" spans="1:10" ht="26.25">
      <c r="A75" s="496" t="s">
        <v>1470</v>
      </c>
    </row>
    <row r="77" spans="1:10" ht="29.25" customHeight="1">
      <c r="A77" s="14" t="s">
        <v>17</v>
      </c>
      <c r="B77" s="14" t="s">
        <v>19</v>
      </c>
      <c r="C77" s="14" t="s">
        <v>20</v>
      </c>
      <c r="D77" s="14" t="s">
        <v>21</v>
      </c>
      <c r="E77" s="14" t="s">
        <v>22</v>
      </c>
      <c r="F77" s="14" t="s">
        <v>23</v>
      </c>
      <c r="G77" s="14" t="s">
        <v>24</v>
      </c>
      <c r="H77" s="14" t="s">
        <v>25</v>
      </c>
      <c r="I77" s="14" t="s">
        <v>26</v>
      </c>
      <c r="J77" s="14" t="s">
        <v>27</v>
      </c>
    </row>
    <row r="78" spans="1:10" ht="66.75" customHeight="1">
      <c r="A78" s="150" t="s">
        <v>28</v>
      </c>
      <c r="B78" s="150" t="s">
        <v>29</v>
      </c>
      <c r="C78" s="150" t="s">
        <v>30</v>
      </c>
      <c r="D78" s="150" t="s">
        <v>1314</v>
      </c>
      <c r="E78" s="150" t="s">
        <v>1317</v>
      </c>
      <c r="F78" s="150"/>
      <c r="G78" s="175" t="s">
        <v>35</v>
      </c>
      <c r="H78" s="176" t="s">
        <v>12</v>
      </c>
      <c r="I78" s="273">
        <v>43095</v>
      </c>
      <c r="J78" s="150"/>
    </row>
    <row r="79" spans="1:10" ht="66.75" customHeight="1">
      <c r="A79" s="179" t="s">
        <v>36</v>
      </c>
      <c r="B79" s="179" t="s">
        <v>29</v>
      </c>
      <c r="C79" s="179" t="s">
        <v>30</v>
      </c>
      <c r="D79" s="179" t="s">
        <v>1315</v>
      </c>
      <c r="E79" s="179" t="s">
        <v>34</v>
      </c>
      <c r="F79" s="157"/>
      <c r="G79" s="178" t="s">
        <v>35</v>
      </c>
      <c r="H79" s="176" t="s">
        <v>12</v>
      </c>
      <c r="I79" s="272">
        <v>43095</v>
      </c>
      <c r="J79" s="179"/>
    </row>
    <row r="80" spans="1:10" ht="66.75" customHeight="1">
      <c r="A80" s="202" t="s">
        <v>41</v>
      </c>
      <c r="B80" s="202" t="s">
        <v>29</v>
      </c>
      <c r="C80" s="202" t="s">
        <v>30</v>
      </c>
      <c r="D80" s="202" t="s">
        <v>37</v>
      </c>
      <c r="E80" s="202" t="s">
        <v>38</v>
      </c>
      <c r="F80" s="230" t="str">
        <f>HYPERLINK("[Tagerim.xlsx]RM_GU_AU_10",RM_GU_AU_10)</f>
        <v>RM_GU_AU_10</v>
      </c>
      <c r="G80" s="186" t="s">
        <v>35</v>
      </c>
      <c r="H80" s="176" t="s">
        <v>12</v>
      </c>
      <c r="I80" s="273">
        <v>43095</v>
      </c>
      <c r="J80" s="202"/>
    </row>
    <row r="81" spans="1:10" s="244" customFormat="1" ht="66.75" customHeight="1">
      <c r="A81" s="226" t="s">
        <v>1344</v>
      </c>
      <c r="B81" s="226" t="s">
        <v>29</v>
      </c>
      <c r="C81" s="226" t="s">
        <v>30</v>
      </c>
      <c r="D81" s="226" t="s">
        <v>47</v>
      </c>
      <c r="E81" s="226" t="s">
        <v>48</v>
      </c>
      <c r="F81" s="200" t="str">
        <f>HYPERLINK("[Tagerim.xlsx]RM_GU_AU_20",RM_GU_AU_20)</f>
        <v>RM_GU_AU_20</v>
      </c>
      <c r="G81" s="198" t="s">
        <v>35</v>
      </c>
      <c r="H81" s="176" t="s">
        <v>12</v>
      </c>
      <c r="I81" s="272">
        <v>43095</v>
      </c>
      <c r="J81" s="226"/>
    </row>
    <row r="82" spans="1:10" s="244" customFormat="1" ht="66.75" customHeight="1">
      <c r="A82" s="202" t="s">
        <v>1346</v>
      </c>
      <c r="B82" s="202" t="s">
        <v>29</v>
      </c>
      <c r="C82" s="202" t="s">
        <v>30</v>
      </c>
      <c r="D82" s="202" t="s">
        <v>50</v>
      </c>
      <c r="E82" s="202" t="s">
        <v>1375</v>
      </c>
      <c r="F82" s="230" t="str">
        <f>HYPERLINK("[Tagerim.xlsx]RM_GU_AU_30",RM_GU_AU_30)</f>
        <v>RM_GU_AU_30</v>
      </c>
      <c r="G82" s="186" t="s">
        <v>35</v>
      </c>
      <c r="H82" s="176" t="s">
        <v>13</v>
      </c>
      <c r="I82" s="273">
        <v>43095</v>
      </c>
      <c r="J82" s="202" t="s">
        <v>1351</v>
      </c>
    </row>
    <row r="83" spans="1:10" s="244" customFormat="1" ht="66.75" customHeight="1">
      <c r="A83" s="226" t="s">
        <v>1466</v>
      </c>
      <c r="B83" s="226" t="s">
        <v>29</v>
      </c>
      <c r="C83" s="226" t="s">
        <v>30</v>
      </c>
      <c r="D83" s="226" t="s">
        <v>1467</v>
      </c>
      <c r="E83" s="226" t="s">
        <v>1469</v>
      </c>
      <c r="F83" s="200"/>
      <c r="G83" s="198" t="s">
        <v>35</v>
      </c>
      <c r="H83" s="176" t="s">
        <v>13</v>
      </c>
      <c r="I83" s="272">
        <v>43095</v>
      </c>
      <c r="J83" s="226" t="s">
        <v>1468</v>
      </c>
    </row>
    <row r="84" spans="1:10" ht="66.75" customHeight="1">
      <c r="A84" s="201" t="s">
        <v>44</v>
      </c>
      <c r="B84" s="201" t="s">
        <v>29</v>
      </c>
      <c r="C84" s="201" t="s">
        <v>30</v>
      </c>
      <c r="D84" s="201" t="s">
        <v>1321</v>
      </c>
      <c r="E84" s="201" t="s">
        <v>1322</v>
      </c>
      <c r="F84" s="230"/>
      <c r="G84" s="181" t="s">
        <v>35</v>
      </c>
      <c r="H84" s="218" t="s">
        <v>12</v>
      </c>
      <c r="I84" s="274">
        <v>43095</v>
      </c>
      <c r="J84" s="201"/>
    </row>
    <row r="85" spans="1:10" s="244" customFormat="1" ht="66.75" customHeight="1">
      <c r="A85" s="226" t="s">
        <v>1325</v>
      </c>
      <c r="B85" s="226" t="s">
        <v>29</v>
      </c>
      <c r="C85" s="226" t="s">
        <v>30</v>
      </c>
      <c r="D85" s="226" t="s">
        <v>1323</v>
      </c>
      <c r="E85" s="226" t="s">
        <v>1324</v>
      </c>
      <c r="F85" s="200" t="str">
        <f>HYPERLINK("[Tagerim.xlsx]RM_GU_AU_40",RM_GU_AU_40)</f>
        <v>RM_GU_AU_40</v>
      </c>
      <c r="G85" s="198" t="s">
        <v>35</v>
      </c>
      <c r="H85" s="252" t="s">
        <v>12</v>
      </c>
      <c r="I85" s="282">
        <v>43095</v>
      </c>
      <c r="J85" s="226"/>
    </row>
    <row r="86" spans="1:10" s="244" customFormat="1" ht="66.75" customHeight="1">
      <c r="A86" s="201" t="s">
        <v>1326</v>
      </c>
      <c r="B86" s="201" t="s">
        <v>29</v>
      </c>
      <c r="C86" s="201" t="s">
        <v>30</v>
      </c>
      <c r="D86" s="201" t="s">
        <v>1327</v>
      </c>
      <c r="E86" s="201" t="s">
        <v>1328</v>
      </c>
      <c r="F86" s="230" t="str">
        <f>HYPERLINK("[Tagerim.xlsx]RM_GU_AU_50",RM_GU_AU_50)</f>
        <v>RM_GU_AU_130</v>
      </c>
      <c r="G86" s="181" t="s">
        <v>35</v>
      </c>
      <c r="H86" s="218" t="s">
        <v>12</v>
      </c>
      <c r="I86" s="274">
        <v>43095</v>
      </c>
      <c r="J86" s="201"/>
    </row>
    <row r="87" spans="1:10" s="244" customFormat="1" ht="66.75" customHeight="1">
      <c r="A87" s="226" t="s">
        <v>1331</v>
      </c>
      <c r="B87" s="226" t="s">
        <v>29</v>
      </c>
      <c r="C87" s="226" t="s">
        <v>30</v>
      </c>
      <c r="D87" s="226" t="s">
        <v>1329</v>
      </c>
      <c r="E87" s="226" t="s">
        <v>1330</v>
      </c>
      <c r="F87" s="40" t="s">
        <v>378</v>
      </c>
      <c r="G87" s="198" t="s">
        <v>35</v>
      </c>
      <c r="H87" s="252" t="s">
        <v>12</v>
      </c>
      <c r="I87" s="282">
        <v>43095</v>
      </c>
      <c r="J87" s="226"/>
    </row>
    <row r="88" spans="1:10" s="244" customFormat="1" ht="66.75" customHeight="1">
      <c r="A88" s="201" t="s">
        <v>1332</v>
      </c>
      <c r="B88" s="201" t="s">
        <v>29</v>
      </c>
      <c r="C88" s="201" t="s">
        <v>30</v>
      </c>
      <c r="D88" s="201" t="s">
        <v>1353</v>
      </c>
      <c r="E88" s="201" t="s">
        <v>1352</v>
      </c>
      <c r="F88" s="230"/>
      <c r="G88" s="181" t="s">
        <v>35</v>
      </c>
      <c r="H88" s="218" t="s">
        <v>12</v>
      </c>
      <c r="I88" s="274">
        <v>43095</v>
      </c>
      <c r="J88" s="201"/>
    </row>
    <row r="89" spans="1:10" s="244" customFormat="1" ht="66.75" customHeight="1">
      <c r="A89" s="226" t="s">
        <v>1333</v>
      </c>
      <c r="B89" s="226" t="s">
        <v>29</v>
      </c>
      <c r="C89" s="226" t="s">
        <v>30</v>
      </c>
      <c r="D89" s="226" t="s">
        <v>1334</v>
      </c>
      <c r="E89" s="226" t="s">
        <v>1335</v>
      </c>
      <c r="F89" s="40" t="s">
        <v>378</v>
      </c>
      <c r="G89" s="198" t="s">
        <v>35</v>
      </c>
      <c r="H89" s="252" t="s">
        <v>12</v>
      </c>
      <c r="I89" s="282">
        <v>43095</v>
      </c>
      <c r="J89" s="226"/>
    </row>
    <row r="90" spans="1:10" s="244" customFormat="1" ht="66.75" customHeight="1">
      <c r="A90" s="201" t="s">
        <v>1336</v>
      </c>
      <c r="B90" s="201" t="s">
        <v>29</v>
      </c>
      <c r="C90" s="201" t="s">
        <v>30</v>
      </c>
      <c r="D90" s="201" t="s">
        <v>1337</v>
      </c>
      <c r="E90" s="201" t="s">
        <v>1335</v>
      </c>
      <c r="F90" s="498" t="s">
        <v>378</v>
      </c>
      <c r="G90" s="181" t="s">
        <v>35</v>
      </c>
      <c r="H90" s="218" t="s">
        <v>12</v>
      </c>
      <c r="I90" s="274">
        <v>43095</v>
      </c>
      <c r="J90" s="201"/>
    </row>
    <row r="91" spans="1:10" s="244" customFormat="1" ht="66.75" customHeight="1">
      <c r="A91" s="226" t="s">
        <v>1338</v>
      </c>
      <c r="B91" s="226" t="s">
        <v>29</v>
      </c>
      <c r="C91" s="226" t="s">
        <v>30</v>
      </c>
      <c r="D91" s="226" t="s">
        <v>1339</v>
      </c>
      <c r="E91" s="226" t="s">
        <v>1335</v>
      </c>
      <c r="F91" s="40" t="s">
        <v>378</v>
      </c>
      <c r="G91" s="198" t="s">
        <v>35</v>
      </c>
      <c r="H91" s="252" t="s">
        <v>12</v>
      </c>
      <c r="I91" s="282">
        <v>43095</v>
      </c>
      <c r="J91" s="226"/>
    </row>
    <row r="92" spans="1:10" s="244" customFormat="1" ht="66.75" customHeight="1">
      <c r="A92" s="201" t="s">
        <v>1340</v>
      </c>
      <c r="B92" s="201" t="s">
        <v>29</v>
      </c>
      <c r="C92" s="201" t="s">
        <v>30</v>
      </c>
      <c r="D92" s="201" t="s">
        <v>1341</v>
      </c>
      <c r="E92" s="201" t="s">
        <v>1335</v>
      </c>
      <c r="F92" s="498" t="s">
        <v>378</v>
      </c>
      <c r="G92" s="181" t="s">
        <v>35</v>
      </c>
      <c r="H92" s="218" t="s">
        <v>12</v>
      </c>
      <c r="I92" s="274">
        <v>43095</v>
      </c>
      <c r="J92" s="201"/>
    </row>
    <row r="93" spans="1:10" s="244" customFormat="1" ht="66.75" customHeight="1">
      <c r="A93" s="226" t="s">
        <v>1342</v>
      </c>
      <c r="B93" s="226" t="s">
        <v>29</v>
      </c>
      <c r="C93" s="226" t="s">
        <v>30</v>
      </c>
      <c r="D93" s="226" t="s">
        <v>1343</v>
      </c>
      <c r="E93" s="226" t="s">
        <v>1335</v>
      </c>
      <c r="F93" s="40" t="s">
        <v>378</v>
      </c>
      <c r="G93" s="198" t="s">
        <v>35</v>
      </c>
      <c r="H93" s="252" t="s">
        <v>12</v>
      </c>
      <c r="I93" s="282">
        <v>43095</v>
      </c>
      <c r="J93" s="226"/>
    </row>
    <row r="94" spans="1:10" ht="66.75" customHeight="1">
      <c r="A94" s="202" t="s">
        <v>46</v>
      </c>
      <c r="B94" s="202" t="s">
        <v>29</v>
      </c>
      <c r="C94" s="202" t="s">
        <v>30</v>
      </c>
      <c r="D94" s="202" t="s">
        <v>1355</v>
      </c>
      <c r="E94" s="202" t="s">
        <v>45</v>
      </c>
      <c r="F94" s="230"/>
      <c r="G94" s="186" t="s">
        <v>35</v>
      </c>
      <c r="H94" s="218" t="s">
        <v>12</v>
      </c>
      <c r="I94" s="274">
        <v>43095</v>
      </c>
      <c r="J94" s="202"/>
    </row>
    <row r="95" spans="1:10" ht="66.75" customHeight="1">
      <c r="A95" s="226" t="s">
        <v>49</v>
      </c>
      <c r="B95" s="226" t="s">
        <v>29</v>
      </c>
      <c r="C95" s="226" t="s">
        <v>30</v>
      </c>
      <c r="D95" s="226" t="s">
        <v>1364</v>
      </c>
      <c r="E95" s="226" t="s">
        <v>1345</v>
      </c>
      <c r="F95" s="40" t="s">
        <v>378</v>
      </c>
      <c r="G95" s="198" t="s">
        <v>35</v>
      </c>
      <c r="H95" s="252" t="s">
        <v>12</v>
      </c>
      <c r="I95" s="282">
        <v>43095</v>
      </c>
      <c r="J95" s="226"/>
    </row>
    <row r="96" spans="1:10" ht="66.75" customHeight="1">
      <c r="A96" s="202" t="s">
        <v>51</v>
      </c>
      <c r="B96" s="202" t="s">
        <v>29</v>
      </c>
      <c r="C96" s="202" t="s">
        <v>30</v>
      </c>
      <c r="D96" s="202" t="s">
        <v>1347</v>
      </c>
      <c r="E96" s="202" t="s">
        <v>1348</v>
      </c>
      <c r="F96" s="230"/>
      <c r="G96" s="186" t="s">
        <v>35</v>
      </c>
      <c r="H96" s="218" t="s">
        <v>12</v>
      </c>
      <c r="I96" s="274">
        <v>43095</v>
      </c>
      <c r="J96" s="202"/>
    </row>
    <row r="97" spans="1:10" s="244" customFormat="1" ht="66.75" customHeight="1">
      <c r="A97" s="226" t="s">
        <v>1349</v>
      </c>
      <c r="B97" s="226" t="s">
        <v>29</v>
      </c>
      <c r="C97" s="226" t="s">
        <v>30</v>
      </c>
      <c r="D97" s="226" t="s">
        <v>994</v>
      </c>
      <c r="E97" s="226" t="s">
        <v>1350</v>
      </c>
      <c r="F97" s="200"/>
      <c r="G97" s="198" t="s">
        <v>35</v>
      </c>
      <c r="H97" s="252" t="s">
        <v>13</v>
      </c>
      <c r="I97" s="282">
        <v>43095</v>
      </c>
      <c r="J97" s="226" t="s">
        <v>1354</v>
      </c>
    </row>
    <row r="98" spans="1:10" ht="66.75" customHeight="1">
      <c r="A98" s="201" t="s">
        <v>494</v>
      </c>
      <c r="B98" s="201" t="s">
        <v>29</v>
      </c>
      <c r="C98" s="201" t="s">
        <v>30</v>
      </c>
      <c r="D98" s="201" t="s">
        <v>1316</v>
      </c>
      <c r="E98" s="201" t="s">
        <v>52</v>
      </c>
      <c r="F98" s="230" t="str">
        <f>HYPERLINK("[Tagerim.xlsx]RM_GU_AU_130",RM_GU_AU_130)</f>
        <v>RM_GU_AU_130</v>
      </c>
      <c r="G98" s="181" t="s">
        <v>35</v>
      </c>
      <c r="H98" s="218" t="s">
        <v>12</v>
      </c>
      <c r="I98" s="274">
        <v>43095</v>
      </c>
      <c r="J98" s="201"/>
    </row>
    <row r="99" spans="1:10">
      <c r="A99" s="248"/>
      <c r="B99" s="248"/>
      <c r="C99" s="248"/>
      <c r="D99" s="248"/>
      <c r="E99" s="248"/>
      <c r="F99" s="248"/>
      <c r="G99" s="248"/>
      <c r="H99" s="248"/>
      <c r="I99" s="248"/>
      <c r="J99" s="248"/>
    </row>
    <row r="100" spans="1:10" s="244" customFormat="1">
      <c r="A100" s="248"/>
      <c r="B100" s="248"/>
      <c r="C100" s="248"/>
      <c r="D100" s="248"/>
      <c r="E100" s="248"/>
      <c r="F100" s="248"/>
      <c r="G100" s="248"/>
      <c r="H100" s="248"/>
      <c r="I100" s="248"/>
      <c r="J100" s="248"/>
    </row>
    <row r="101" spans="1:10" s="244" customFormat="1" ht="26.25">
      <c r="A101" s="496" t="s">
        <v>53</v>
      </c>
    </row>
    <row r="102" spans="1:10" s="244" customFormat="1"/>
    <row r="103" spans="1:10" s="244" customFormat="1" ht="28.5" customHeight="1">
      <c r="A103" s="169" t="s">
        <v>17</v>
      </c>
      <c r="B103" s="169" t="s">
        <v>19</v>
      </c>
      <c r="C103" s="169" t="s">
        <v>20</v>
      </c>
      <c r="D103" s="169" t="s">
        <v>21</v>
      </c>
      <c r="E103" s="169" t="s">
        <v>22</v>
      </c>
      <c r="F103" s="169" t="s">
        <v>23</v>
      </c>
      <c r="G103" s="169" t="s">
        <v>24</v>
      </c>
      <c r="H103" s="169" t="s">
        <v>25</v>
      </c>
      <c r="I103" s="169" t="s">
        <v>26</v>
      </c>
      <c r="J103" s="169" t="s">
        <v>27</v>
      </c>
    </row>
    <row r="104" spans="1:10" s="244" customFormat="1" ht="54.75" customHeight="1">
      <c r="A104" s="150" t="s">
        <v>55</v>
      </c>
      <c r="B104" s="150" t="s">
        <v>29</v>
      </c>
      <c r="C104" s="150" t="s">
        <v>30</v>
      </c>
      <c r="D104" s="150" t="s">
        <v>1314</v>
      </c>
      <c r="E104" s="150" t="s">
        <v>1317</v>
      </c>
      <c r="F104" s="174"/>
      <c r="G104" s="175" t="s">
        <v>35</v>
      </c>
      <c r="H104" s="176" t="s">
        <v>12</v>
      </c>
      <c r="I104" s="274">
        <v>43095</v>
      </c>
      <c r="J104" s="150"/>
    </row>
    <row r="105" spans="1:10" s="244" customFormat="1" ht="47.25" customHeight="1">
      <c r="A105" s="226" t="s">
        <v>71</v>
      </c>
      <c r="B105" s="226" t="s">
        <v>29</v>
      </c>
      <c r="C105" s="226" t="s">
        <v>30</v>
      </c>
      <c r="D105" s="226" t="s">
        <v>1369</v>
      </c>
      <c r="E105" s="226" t="s">
        <v>60</v>
      </c>
      <c r="F105" s="237" t="str">
        <f>HYPERLINK("[Tagerim.xlsx]RM_GU_MU_05",RM_GU_MU_05)</f>
        <v>RM_GU_MU_05</v>
      </c>
      <c r="G105" s="183" t="s">
        <v>35</v>
      </c>
      <c r="H105" s="176" t="s">
        <v>12</v>
      </c>
      <c r="I105" s="276">
        <v>43095</v>
      </c>
      <c r="J105" s="226"/>
    </row>
    <row r="106" spans="1:10" s="244" customFormat="1" ht="74.25" customHeight="1">
      <c r="A106" s="150" t="s">
        <v>78</v>
      </c>
      <c r="B106" s="150" t="s">
        <v>29</v>
      </c>
      <c r="C106" s="150" t="s">
        <v>30</v>
      </c>
      <c r="D106" s="150" t="s">
        <v>1370</v>
      </c>
      <c r="E106" s="150" t="s">
        <v>1371</v>
      </c>
      <c r="F106" s="164" t="str">
        <f>HYPERLINK("[Tagerim.xlsx]RM_GU_MU_10",RM_GU_MU_10)</f>
        <v>RM_GU_MU_10</v>
      </c>
      <c r="G106" s="175" t="s">
        <v>35</v>
      </c>
      <c r="H106" s="176" t="s">
        <v>13</v>
      </c>
      <c r="I106" s="274">
        <v>43095</v>
      </c>
      <c r="J106" s="150" t="s">
        <v>1389</v>
      </c>
    </row>
    <row r="107" spans="1:10" s="244" customFormat="1" ht="43.5" customHeight="1">
      <c r="A107" s="226" t="s">
        <v>79</v>
      </c>
      <c r="B107" s="226" t="s">
        <v>29</v>
      </c>
      <c r="C107" s="226" t="s">
        <v>30</v>
      </c>
      <c r="D107" s="226" t="s">
        <v>1251</v>
      </c>
      <c r="E107" s="226" t="s">
        <v>1372</v>
      </c>
      <c r="F107" s="197"/>
      <c r="G107" s="183" t="s">
        <v>35</v>
      </c>
      <c r="H107" s="176" t="s">
        <v>12</v>
      </c>
      <c r="I107" s="276">
        <v>43095</v>
      </c>
      <c r="J107" s="226"/>
    </row>
    <row r="108" spans="1:10" s="244" customFormat="1" ht="241.5" customHeight="1">
      <c r="A108" s="150" t="s">
        <v>81</v>
      </c>
      <c r="B108" s="150" t="s">
        <v>29</v>
      </c>
      <c r="C108" s="150" t="s">
        <v>30</v>
      </c>
      <c r="D108" s="150" t="s">
        <v>1373</v>
      </c>
      <c r="E108" s="202" t="s">
        <v>1374</v>
      </c>
      <c r="F108" s="164" t="str">
        <f>HYPERLINK("[Tagerim.xlsx]RM_GU_MU_20",RM_GU_MU_20)</f>
        <v>RM_GU_MU_20</v>
      </c>
      <c r="G108" s="175" t="s">
        <v>35</v>
      </c>
      <c r="H108" s="176" t="s">
        <v>13</v>
      </c>
      <c r="I108" s="274">
        <v>43095</v>
      </c>
      <c r="J108" s="202" t="s">
        <v>1452</v>
      </c>
    </row>
    <row r="109" spans="1:10" s="244" customFormat="1" ht="39" customHeight="1">
      <c r="A109" s="226" t="s">
        <v>82</v>
      </c>
      <c r="B109" s="226" t="s">
        <v>29</v>
      </c>
      <c r="C109" s="226" t="s">
        <v>30</v>
      </c>
      <c r="D109" s="226" t="s">
        <v>726</v>
      </c>
      <c r="E109" s="226" t="s">
        <v>1376</v>
      </c>
      <c r="F109" s="237" t="str">
        <f>HYPERLINK("[Tagerim.xlsx]RM_GU_MU_30",RM_GU_MU_30)</f>
        <v>RM_GU_MU_30</v>
      </c>
      <c r="G109" s="183" t="s">
        <v>35</v>
      </c>
      <c r="H109" s="176" t="s">
        <v>13</v>
      </c>
      <c r="I109" s="276">
        <v>43095</v>
      </c>
      <c r="J109" s="226"/>
    </row>
    <row r="110" spans="1:10" s="244" customFormat="1">
      <c r="A110" s="248"/>
      <c r="B110" s="248"/>
      <c r="C110" s="248"/>
      <c r="D110" s="248"/>
      <c r="E110" s="248"/>
      <c r="F110" s="248"/>
      <c r="G110" s="248"/>
      <c r="H110" s="248"/>
      <c r="I110" s="248"/>
      <c r="J110" s="248"/>
    </row>
    <row r="111" spans="1:10" s="244" customFormat="1">
      <c r="A111" s="248"/>
      <c r="B111" s="248"/>
      <c r="C111" s="248"/>
      <c r="D111" s="248"/>
      <c r="E111" s="248"/>
      <c r="F111" s="248"/>
      <c r="G111" s="248"/>
      <c r="H111" s="248"/>
      <c r="I111" s="248"/>
      <c r="J111" s="248"/>
    </row>
    <row r="112" spans="1:10" ht="26.25">
      <c r="A112" s="496" t="s">
        <v>1377</v>
      </c>
    </row>
    <row r="114" spans="1:10" ht="25.5" customHeight="1">
      <c r="A114" s="169" t="s">
        <v>17</v>
      </c>
      <c r="B114" s="169" t="s">
        <v>19</v>
      </c>
      <c r="C114" s="169" t="s">
        <v>20</v>
      </c>
      <c r="D114" s="169" t="s">
        <v>21</v>
      </c>
      <c r="E114" s="169" t="s">
        <v>22</v>
      </c>
      <c r="F114" s="14" t="s">
        <v>23</v>
      </c>
      <c r="G114" s="169" t="s">
        <v>24</v>
      </c>
      <c r="H114" s="169" t="s">
        <v>25</v>
      </c>
      <c r="I114" s="169" t="s">
        <v>26</v>
      </c>
      <c r="J114" s="169" t="s">
        <v>27</v>
      </c>
    </row>
    <row r="115" spans="1:10" ht="55.5" customHeight="1">
      <c r="A115" s="202" t="s">
        <v>1380</v>
      </c>
      <c r="B115" s="202" t="s">
        <v>29</v>
      </c>
      <c r="C115" s="202" t="s">
        <v>30</v>
      </c>
      <c r="D115" s="150" t="s">
        <v>1393</v>
      </c>
      <c r="E115" s="202" t="s">
        <v>1394</v>
      </c>
      <c r="F115" s="164"/>
      <c r="G115" s="186" t="s">
        <v>35</v>
      </c>
      <c r="H115" s="176" t="s">
        <v>12</v>
      </c>
      <c r="I115" s="274">
        <v>43095</v>
      </c>
      <c r="J115" s="202"/>
    </row>
    <row r="116" spans="1:10" s="244" customFormat="1" ht="49.5" customHeight="1">
      <c r="A116" s="179" t="s">
        <v>1381</v>
      </c>
      <c r="B116" s="179" t="s">
        <v>29</v>
      </c>
      <c r="C116" s="179" t="s">
        <v>30</v>
      </c>
      <c r="D116" s="179" t="s">
        <v>1395</v>
      </c>
      <c r="E116" s="203" t="s">
        <v>1396</v>
      </c>
      <c r="F116" s="237" t="str">
        <f>HYPERLINK("[Tagerim.xlsx]RM_GU_PR_10",RM_GU_PR_10)</f>
        <v>RM_GU_PR_10</v>
      </c>
      <c r="G116" s="183" t="s">
        <v>35</v>
      </c>
      <c r="H116" s="176" t="s">
        <v>12</v>
      </c>
      <c r="I116" s="276">
        <v>43095</v>
      </c>
      <c r="J116" s="179"/>
    </row>
    <row r="117" spans="1:10" s="244" customFormat="1" ht="128.25" customHeight="1">
      <c r="A117" s="150" t="s">
        <v>1382</v>
      </c>
      <c r="B117" s="150" t="s">
        <v>29</v>
      </c>
      <c r="C117" s="150" t="s">
        <v>30</v>
      </c>
      <c r="D117" s="150" t="s">
        <v>1400</v>
      </c>
      <c r="E117" s="201" t="s">
        <v>1403</v>
      </c>
      <c r="F117" s="239" t="str">
        <f>HYPERLINK("[Tagerim.xlsx]RM_GU_PR_20",RM_GU_PR_20)</f>
        <v>RM_GU_PR_20</v>
      </c>
      <c r="G117" s="181" t="s">
        <v>35</v>
      </c>
      <c r="H117" s="176" t="s">
        <v>13</v>
      </c>
      <c r="I117" s="274">
        <v>43095</v>
      </c>
      <c r="J117" s="150" t="s">
        <v>1404</v>
      </c>
    </row>
    <row r="118" spans="1:10" s="244" customFormat="1" ht="46.5" customHeight="1">
      <c r="A118" s="179" t="s">
        <v>1383</v>
      </c>
      <c r="B118" s="179" t="s">
        <v>29</v>
      </c>
      <c r="C118" s="179" t="s">
        <v>30</v>
      </c>
      <c r="D118" s="179" t="s">
        <v>1405</v>
      </c>
      <c r="E118" s="203" t="s">
        <v>1406</v>
      </c>
      <c r="F118" s="237" t="str">
        <f>HYPERLINK("[Tagerim.xlsx]RM_GU_PR_30",RM_GU_PR_30)</f>
        <v>RM_GU_PR_30</v>
      </c>
      <c r="G118" s="183" t="s">
        <v>35</v>
      </c>
      <c r="H118" s="176" t="s">
        <v>12</v>
      </c>
      <c r="I118" s="276">
        <v>43095</v>
      </c>
      <c r="J118" s="179"/>
    </row>
    <row r="119" spans="1:10" s="244" customFormat="1" ht="46.5" customHeight="1">
      <c r="A119" s="202" t="s">
        <v>1384</v>
      </c>
      <c r="B119" s="202" t="s">
        <v>29</v>
      </c>
      <c r="C119" s="202" t="s">
        <v>30</v>
      </c>
      <c r="D119" s="202" t="s">
        <v>1407</v>
      </c>
      <c r="E119" s="202" t="s">
        <v>1406</v>
      </c>
      <c r="F119" s="239" t="str">
        <f>HYPERLINK("[Tagerim.xlsx]RM_GU_PR_40",RM_GU_PR_40)</f>
        <v>RM_GU_PR_40</v>
      </c>
      <c r="G119" s="186" t="s">
        <v>35</v>
      </c>
      <c r="H119" s="176" t="s">
        <v>12</v>
      </c>
      <c r="I119" s="274">
        <v>43095</v>
      </c>
      <c r="J119" s="202"/>
    </row>
    <row r="120" spans="1:10" s="244" customFormat="1" ht="86.25" customHeight="1">
      <c r="A120" s="226" t="s">
        <v>1385</v>
      </c>
      <c r="B120" s="226" t="s">
        <v>29</v>
      </c>
      <c r="C120" s="226" t="s">
        <v>30</v>
      </c>
      <c r="D120" s="226" t="s">
        <v>1408</v>
      </c>
      <c r="E120" s="203" t="s">
        <v>1406</v>
      </c>
      <c r="F120" s="165"/>
      <c r="G120" s="198" t="s">
        <v>35</v>
      </c>
      <c r="H120" s="176" t="s">
        <v>12</v>
      </c>
      <c r="I120" s="276">
        <v>43095</v>
      </c>
      <c r="J120" s="226"/>
    </row>
    <row r="121" spans="1:10" s="244" customFormat="1" ht="48" customHeight="1">
      <c r="A121" s="202" t="s">
        <v>1386</v>
      </c>
      <c r="B121" s="202" t="s">
        <v>29</v>
      </c>
      <c r="C121" s="202" t="s">
        <v>30</v>
      </c>
      <c r="D121" s="202" t="s">
        <v>1420</v>
      </c>
      <c r="E121" s="202" t="s">
        <v>1406</v>
      </c>
      <c r="F121" s="239" t="str">
        <f>HYPERLINK("[Tagerim.xlsx]RM_GU_PR_50",RM_GU_PR_50)</f>
        <v>RM_GU_PR_50</v>
      </c>
      <c r="G121" s="186" t="s">
        <v>35</v>
      </c>
      <c r="H121" s="218" t="s">
        <v>12</v>
      </c>
      <c r="I121" s="281">
        <v>43095</v>
      </c>
      <c r="J121" s="202"/>
    </row>
    <row r="122" spans="1:10" s="244" customFormat="1" ht="53.25" customHeight="1">
      <c r="A122" s="203" t="s">
        <v>1387</v>
      </c>
      <c r="B122" s="203" t="s">
        <v>29</v>
      </c>
      <c r="C122" s="203" t="s">
        <v>30</v>
      </c>
      <c r="D122" s="203" t="s">
        <v>1421</v>
      </c>
      <c r="E122" s="203" t="s">
        <v>1406</v>
      </c>
      <c r="F122" s="237" t="str">
        <f>HYPERLINK("[Tagerim.xlsx]RM_GU_PR_60",RM_GU_PR_60)</f>
        <v>RM_GU_PR_60</v>
      </c>
      <c r="G122" s="183" t="s">
        <v>35</v>
      </c>
      <c r="H122" s="176" t="s">
        <v>12</v>
      </c>
      <c r="I122" s="282">
        <v>43095</v>
      </c>
      <c r="J122" s="203"/>
    </row>
    <row r="123" spans="1:10" s="244" customFormat="1" ht="42.75" customHeight="1">
      <c r="A123" s="201" t="s">
        <v>1388</v>
      </c>
      <c r="B123" s="201" t="s">
        <v>29</v>
      </c>
      <c r="C123" s="201" t="s">
        <v>30</v>
      </c>
      <c r="D123" s="201" t="s">
        <v>1422</v>
      </c>
      <c r="E123" s="202" t="s">
        <v>1406</v>
      </c>
      <c r="F123" s="239" t="str">
        <f>HYPERLINK("[Tagerim.xlsx]RM_GU_PR_70",RM_GU_PR_70)</f>
        <v>RM_GU_PR_70</v>
      </c>
      <c r="G123" s="181" t="s">
        <v>35</v>
      </c>
      <c r="H123" s="176" t="s">
        <v>12</v>
      </c>
      <c r="I123" s="281">
        <v>43095</v>
      </c>
      <c r="J123" s="201"/>
    </row>
    <row r="124" spans="1:10" s="244" customFormat="1" ht="47.25" customHeight="1">
      <c r="A124" s="179" t="s">
        <v>1413</v>
      </c>
      <c r="B124" s="179" t="s">
        <v>29</v>
      </c>
      <c r="C124" s="179" t="s">
        <v>30</v>
      </c>
      <c r="D124" s="179" t="s">
        <v>1423</v>
      </c>
      <c r="E124" s="203" t="s">
        <v>1406</v>
      </c>
      <c r="F124" s="237" t="str">
        <f>HYPERLINK("[Tagerim.xlsx]RM_GU_PR_80",RM_GU_PR_80)</f>
        <v>RM_GU_PR_80</v>
      </c>
      <c r="G124" s="183" t="s">
        <v>35</v>
      </c>
      <c r="H124" s="176" t="s">
        <v>12</v>
      </c>
      <c r="I124" s="276">
        <v>43095</v>
      </c>
      <c r="J124" s="179"/>
    </row>
    <row r="125" spans="1:10" s="244" customFormat="1" ht="42" customHeight="1">
      <c r="A125" s="202" t="s">
        <v>1414</v>
      </c>
      <c r="B125" s="202" t="s">
        <v>29</v>
      </c>
      <c r="C125" s="202" t="s">
        <v>30</v>
      </c>
      <c r="D125" s="202" t="s">
        <v>1424</v>
      </c>
      <c r="E125" s="202" t="s">
        <v>1406</v>
      </c>
      <c r="F125" s="239" t="str">
        <f>HYPERLINK("[Tagerim.xlsx]RM_GU_PR_90",RM_GU_PR_90)</f>
        <v>RM_GU_PR_90</v>
      </c>
      <c r="G125" s="186" t="s">
        <v>35</v>
      </c>
      <c r="H125" s="176" t="s">
        <v>12</v>
      </c>
      <c r="I125" s="274">
        <v>43095</v>
      </c>
      <c r="J125" s="202"/>
    </row>
    <row r="126" spans="1:10" s="244" customFormat="1" ht="39" customHeight="1">
      <c r="A126" s="226" t="s">
        <v>1415</v>
      </c>
      <c r="B126" s="226" t="s">
        <v>29</v>
      </c>
      <c r="C126" s="226" t="s">
        <v>30</v>
      </c>
      <c r="D126" s="226" t="s">
        <v>1425</v>
      </c>
      <c r="E126" s="203" t="s">
        <v>1406</v>
      </c>
      <c r="F126" s="165"/>
      <c r="G126" s="198" t="s">
        <v>35</v>
      </c>
      <c r="H126" s="176" t="s">
        <v>12</v>
      </c>
      <c r="I126" s="276">
        <v>43095</v>
      </c>
      <c r="J126" s="226"/>
    </row>
    <row r="127" spans="1:10" s="244" customFormat="1" ht="37.5" customHeight="1">
      <c r="A127" s="202" t="s">
        <v>1416</v>
      </c>
      <c r="B127" s="202" t="s">
        <v>29</v>
      </c>
      <c r="C127" s="202" t="s">
        <v>30</v>
      </c>
      <c r="D127" s="202" t="s">
        <v>1426</v>
      </c>
      <c r="E127" s="202" t="s">
        <v>1406</v>
      </c>
      <c r="F127" s="239" t="str">
        <f>HYPERLINK("[Tagerim.xlsx]RM_GU_PR_100",RM_GU_PR_100)</f>
        <v>RM_GU_PR_100</v>
      </c>
      <c r="G127" s="186" t="s">
        <v>35</v>
      </c>
      <c r="H127" s="176" t="s">
        <v>12</v>
      </c>
      <c r="I127" s="281">
        <v>43095</v>
      </c>
      <c r="J127" s="202"/>
    </row>
    <row r="128" spans="1:10" s="244" customFormat="1" ht="49.5" customHeight="1">
      <c r="A128" s="203" t="s">
        <v>1417</v>
      </c>
      <c r="B128" s="203" t="s">
        <v>29</v>
      </c>
      <c r="C128" s="203" t="s">
        <v>30</v>
      </c>
      <c r="D128" s="203" t="s">
        <v>1427</v>
      </c>
      <c r="E128" s="203" t="s">
        <v>1406</v>
      </c>
      <c r="F128" s="237" t="str">
        <f>HYPERLINK("[Tagerim.xlsx]RM_GU_PR_110",RM_GU_PR_110)</f>
        <v>RM_GU_PR_110</v>
      </c>
      <c r="G128" s="183" t="s">
        <v>35</v>
      </c>
      <c r="H128" s="176" t="s">
        <v>12</v>
      </c>
      <c r="I128" s="282">
        <v>43095</v>
      </c>
      <c r="J128" s="203"/>
    </row>
    <row r="129" spans="1:10" s="244" customFormat="1" ht="44.25" customHeight="1">
      <c r="A129" s="201" t="s">
        <v>1418</v>
      </c>
      <c r="B129" s="201" t="s">
        <v>29</v>
      </c>
      <c r="C129" s="201" t="s">
        <v>30</v>
      </c>
      <c r="D129" s="201" t="s">
        <v>1428</v>
      </c>
      <c r="E129" s="202" t="s">
        <v>1406</v>
      </c>
      <c r="F129" s="164"/>
      <c r="G129" s="181" t="s">
        <v>35</v>
      </c>
      <c r="H129" s="176" t="s">
        <v>13</v>
      </c>
      <c r="I129" s="281">
        <v>43095</v>
      </c>
      <c r="J129" s="201" t="s">
        <v>1450</v>
      </c>
    </row>
    <row r="130" spans="1:10" s="244" customFormat="1" ht="55.5" customHeight="1">
      <c r="A130" s="179" t="s">
        <v>1419</v>
      </c>
      <c r="B130" s="179" t="s">
        <v>29</v>
      </c>
      <c r="C130" s="179" t="s">
        <v>30</v>
      </c>
      <c r="D130" s="179" t="s">
        <v>1429</v>
      </c>
      <c r="E130" s="203" t="s">
        <v>1406</v>
      </c>
      <c r="F130" s="237" t="str">
        <f>HYPERLINK("[Tagerim.xlsx]RM_GU_PR_120",RM_GU_PR_120)</f>
        <v>RM_GU_PR_120</v>
      </c>
      <c r="G130" s="183" t="s">
        <v>35</v>
      </c>
      <c r="H130" s="176" t="s">
        <v>12</v>
      </c>
      <c r="I130" s="276">
        <v>43095</v>
      </c>
      <c r="J130" s="179"/>
    </row>
    <row r="131" spans="1:10" s="244" customFormat="1" ht="20.25" customHeight="1">
      <c r="A131" s="55"/>
    </row>
    <row r="132" spans="1:10" ht="18" customHeight="1">
      <c r="A132" s="55"/>
    </row>
    <row r="133" spans="1:10" ht="26.25">
      <c r="A133" s="496" t="s">
        <v>91</v>
      </c>
    </row>
    <row r="135" spans="1:10" ht="28.5" customHeight="1">
      <c r="A135" s="10" t="s">
        <v>17</v>
      </c>
      <c r="B135" s="10" t="s">
        <v>19</v>
      </c>
      <c r="C135" s="10" t="s">
        <v>20</v>
      </c>
      <c r="D135" s="10" t="s">
        <v>21</v>
      </c>
      <c r="E135" s="10" t="s">
        <v>22</v>
      </c>
      <c r="F135" s="14" t="s">
        <v>23</v>
      </c>
      <c r="G135" s="10" t="s">
        <v>24</v>
      </c>
      <c r="H135" s="10" t="s">
        <v>25</v>
      </c>
      <c r="I135" s="10" t="s">
        <v>26</v>
      </c>
      <c r="J135" s="10" t="s">
        <v>27</v>
      </c>
    </row>
    <row r="136" spans="1:10" ht="58.5" customHeight="1" thickBot="1">
      <c r="A136" s="42" t="s">
        <v>92</v>
      </c>
      <c r="B136" s="42" t="s">
        <v>29</v>
      </c>
      <c r="C136" s="42" t="s">
        <v>30</v>
      </c>
      <c r="D136" s="44" t="s">
        <v>1314</v>
      </c>
      <c r="E136" s="148" t="s">
        <v>1317</v>
      </c>
      <c r="F136" s="19"/>
      <c r="G136" s="17" t="s">
        <v>35</v>
      </c>
      <c r="H136" s="15" t="s">
        <v>12</v>
      </c>
      <c r="I136" s="281">
        <v>43095</v>
      </c>
      <c r="J136" s="19"/>
    </row>
    <row r="137" spans="1:10" ht="48" customHeight="1" thickBot="1">
      <c r="A137" s="40" t="s">
        <v>96</v>
      </c>
      <c r="B137" s="40" t="s">
        <v>29</v>
      </c>
      <c r="C137" s="40" t="s">
        <v>30</v>
      </c>
      <c r="D137" s="40" t="s">
        <v>97</v>
      </c>
      <c r="E137" s="40" t="s">
        <v>98</v>
      </c>
      <c r="F137" s="139" t="str">
        <f>HYPERLINK("[Tagerim.xlsx]RM_GU_SU_10",RM_GU_SU_10)</f>
        <v>RM_GU_SU_10</v>
      </c>
      <c r="G137" s="23" t="s">
        <v>35</v>
      </c>
      <c r="H137" s="15" t="s">
        <v>13</v>
      </c>
      <c r="I137" s="276">
        <v>43095</v>
      </c>
      <c r="J137" s="40" t="s">
        <v>1451</v>
      </c>
    </row>
    <row r="138" spans="1:10" ht="30">
      <c r="A138" s="55"/>
      <c r="H138" s="24"/>
    </row>
    <row r="139" spans="1:10" ht="30">
      <c r="A139" s="55"/>
      <c r="H139" s="24"/>
    </row>
    <row r="140" spans="1:10" ht="26.25">
      <c r="A140" s="496" t="s">
        <v>107</v>
      </c>
      <c r="H140" s="24"/>
    </row>
    <row r="141" spans="1:10" ht="15">
      <c r="H141" s="24"/>
    </row>
    <row r="142" spans="1:10" ht="24.75" customHeight="1" thickBot="1">
      <c r="A142" s="14" t="s">
        <v>17</v>
      </c>
      <c r="B142" s="14" t="s">
        <v>19</v>
      </c>
      <c r="C142" s="14" t="s">
        <v>20</v>
      </c>
      <c r="D142" s="14" t="s">
        <v>21</v>
      </c>
      <c r="E142" s="14" t="s">
        <v>22</v>
      </c>
      <c r="F142" s="14" t="s">
        <v>23</v>
      </c>
      <c r="G142" s="14" t="s">
        <v>24</v>
      </c>
      <c r="H142" s="10" t="s">
        <v>25</v>
      </c>
      <c r="I142" s="14" t="s">
        <v>26</v>
      </c>
      <c r="J142" s="14" t="s">
        <v>27</v>
      </c>
    </row>
    <row r="143" spans="1:10" ht="64.5" customHeight="1" thickBot="1">
      <c r="A143" s="44" t="s">
        <v>110</v>
      </c>
      <c r="B143" s="44" t="s">
        <v>29</v>
      </c>
      <c r="C143" s="44" t="s">
        <v>30</v>
      </c>
      <c r="D143" s="44" t="s">
        <v>1453</v>
      </c>
      <c r="E143" s="44" t="s">
        <v>31</v>
      </c>
      <c r="F143" s="44"/>
      <c r="G143" s="16" t="s">
        <v>35</v>
      </c>
      <c r="H143" s="11" t="s">
        <v>12</v>
      </c>
      <c r="I143" s="281">
        <v>43095</v>
      </c>
      <c r="J143" s="44"/>
    </row>
    <row r="144" spans="1:10" ht="84.75" customHeight="1" thickBot="1">
      <c r="A144" s="45" t="s">
        <v>115</v>
      </c>
      <c r="B144" s="45" t="s">
        <v>29</v>
      </c>
      <c r="C144" s="45" t="s">
        <v>30</v>
      </c>
      <c r="D144" s="45" t="s">
        <v>1454</v>
      </c>
      <c r="E144" s="45" t="s">
        <v>117</v>
      </c>
      <c r="F144" s="45"/>
      <c r="G144" s="25" t="s">
        <v>35</v>
      </c>
      <c r="H144" s="11" t="s">
        <v>12</v>
      </c>
      <c r="I144" s="276">
        <v>43095</v>
      </c>
      <c r="J144" s="45"/>
    </row>
    <row r="145" spans="1:24" ht="91.5" customHeight="1" thickBot="1">
      <c r="A145" s="44" t="s">
        <v>122</v>
      </c>
      <c r="B145" s="44" t="s">
        <v>29</v>
      </c>
      <c r="C145" s="44" t="s">
        <v>30</v>
      </c>
      <c r="D145" s="44" t="s">
        <v>124</v>
      </c>
      <c r="E145" s="44" t="s">
        <v>125</v>
      </c>
      <c r="F145" s="44"/>
      <c r="G145" s="16" t="s">
        <v>35</v>
      </c>
      <c r="H145" s="11" t="s">
        <v>13</v>
      </c>
      <c r="I145" s="281">
        <v>43095</v>
      </c>
      <c r="J145" s="44" t="s">
        <v>1455</v>
      </c>
    </row>
    <row r="146" spans="1:24" ht="77.25" customHeight="1" thickBot="1">
      <c r="A146" s="45" t="s">
        <v>126</v>
      </c>
      <c r="B146" s="45" t="s">
        <v>29</v>
      </c>
      <c r="C146" s="45" t="s">
        <v>30</v>
      </c>
      <c r="D146" s="45" t="s">
        <v>128</v>
      </c>
      <c r="E146" s="45"/>
      <c r="F146" s="45"/>
      <c r="G146" s="25" t="s">
        <v>35</v>
      </c>
      <c r="H146" s="11" t="s">
        <v>12</v>
      </c>
      <c r="I146" s="276">
        <v>43095</v>
      </c>
      <c r="J146" s="45"/>
    </row>
    <row r="147" spans="1:24" ht="78" customHeight="1" thickBot="1">
      <c r="A147" s="44" t="s">
        <v>129</v>
      </c>
      <c r="B147" s="44" t="s">
        <v>29</v>
      </c>
      <c r="C147" s="44" t="s">
        <v>30</v>
      </c>
      <c r="D147" s="44" t="s">
        <v>130</v>
      </c>
      <c r="E147" s="44"/>
      <c r="F147" s="44"/>
      <c r="G147" s="16" t="s">
        <v>35</v>
      </c>
      <c r="H147" s="11" t="s">
        <v>13</v>
      </c>
      <c r="I147" s="281">
        <v>43095</v>
      </c>
      <c r="J147" s="44" t="s">
        <v>1456</v>
      </c>
    </row>
    <row r="148" spans="1:24" ht="87.75" customHeight="1" thickBot="1">
      <c r="A148" s="45" t="s">
        <v>131</v>
      </c>
      <c r="B148" s="45" t="s">
        <v>29</v>
      </c>
      <c r="C148" s="45" t="s">
        <v>30</v>
      </c>
      <c r="D148" s="45" t="s">
        <v>134</v>
      </c>
      <c r="E148" s="45"/>
      <c r="F148" s="45"/>
      <c r="G148" s="25" t="s">
        <v>35</v>
      </c>
      <c r="H148" s="11" t="s">
        <v>12</v>
      </c>
      <c r="I148" s="276">
        <v>43095</v>
      </c>
      <c r="J148" s="45"/>
    </row>
    <row r="149" spans="1:24" ht="111" customHeight="1" thickBot="1">
      <c r="A149" s="44" t="s">
        <v>135</v>
      </c>
      <c r="B149" s="44" t="s">
        <v>29</v>
      </c>
      <c r="C149" s="44" t="s">
        <v>30</v>
      </c>
      <c r="D149" s="44" t="s">
        <v>136</v>
      </c>
      <c r="E149" s="44"/>
      <c r="F149" s="44"/>
      <c r="G149" s="16" t="s">
        <v>35</v>
      </c>
      <c r="H149" s="11" t="s">
        <v>13</v>
      </c>
      <c r="I149" s="281">
        <v>43095</v>
      </c>
      <c r="J149" s="44" t="s">
        <v>1457</v>
      </c>
    </row>
    <row r="150" spans="1:24" ht="106.5" customHeight="1" thickBot="1">
      <c r="A150" s="45" t="s">
        <v>137</v>
      </c>
      <c r="B150" s="45" t="s">
        <v>29</v>
      </c>
      <c r="C150" s="45" t="s">
        <v>30</v>
      </c>
      <c r="D150" s="45" t="s">
        <v>138</v>
      </c>
      <c r="E150" s="45"/>
      <c r="F150" s="45"/>
      <c r="G150" s="25" t="s">
        <v>35</v>
      </c>
      <c r="H150" s="11" t="s">
        <v>12</v>
      </c>
      <c r="I150" s="276">
        <v>43095</v>
      </c>
      <c r="J150" s="45"/>
    </row>
    <row r="151" spans="1:24" ht="15">
      <c r="A151" s="43"/>
      <c r="B151" s="43"/>
      <c r="C151" s="43"/>
      <c r="D151" s="43"/>
      <c r="E151" s="43"/>
      <c r="F151" s="43"/>
      <c r="G151" s="28"/>
      <c r="H151" s="29"/>
      <c r="I151" s="43"/>
      <c r="J151" s="43"/>
      <c r="K151" s="63"/>
      <c r="L151" s="63"/>
      <c r="M151" s="63"/>
      <c r="N151" s="63"/>
      <c r="O151" s="63"/>
      <c r="P151" s="63"/>
      <c r="Q151" s="63"/>
      <c r="R151" s="63"/>
      <c r="S151" s="63"/>
      <c r="T151" s="63"/>
      <c r="U151" s="63"/>
      <c r="V151" s="63"/>
      <c r="W151" s="63"/>
      <c r="X151" s="63"/>
    </row>
    <row r="152" spans="1:24" ht="15">
      <c r="A152" s="43"/>
      <c r="B152" s="43"/>
      <c r="C152" s="43"/>
      <c r="D152" s="43"/>
      <c r="E152" s="43"/>
      <c r="F152" s="43"/>
      <c r="G152" s="28"/>
      <c r="H152" s="29"/>
      <c r="I152" s="43"/>
      <c r="J152" s="43"/>
      <c r="K152" s="63"/>
      <c r="L152" s="63"/>
      <c r="M152" s="63"/>
      <c r="N152" s="63"/>
      <c r="O152" s="63"/>
      <c r="P152" s="63"/>
      <c r="Q152" s="63"/>
      <c r="R152" s="63"/>
      <c r="S152" s="63"/>
      <c r="T152" s="63"/>
      <c r="U152" s="63"/>
      <c r="V152" s="63"/>
      <c r="W152" s="63"/>
      <c r="X152" s="63"/>
    </row>
    <row r="153" spans="1:24" ht="15">
      <c r="A153" s="43"/>
      <c r="B153" s="43"/>
      <c r="C153" s="43"/>
      <c r="D153" s="43"/>
      <c r="E153" s="43"/>
      <c r="F153" s="43"/>
      <c r="G153" s="28"/>
      <c r="H153" s="29"/>
      <c r="I153" s="43"/>
      <c r="J153" s="43"/>
      <c r="K153" s="63"/>
      <c r="L153" s="63"/>
      <c r="M153" s="63"/>
      <c r="N153" s="63"/>
      <c r="O153" s="63"/>
      <c r="P153" s="63"/>
      <c r="Q153" s="63"/>
      <c r="R153" s="63"/>
      <c r="S153" s="63"/>
      <c r="T153" s="63"/>
      <c r="U153" s="63"/>
      <c r="V153" s="63"/>
      <c r="W153" s="63"/>
      <c r="X153" s="63"/>
    </row>
    <row r="154" spans="1:24" ht="30">
      <c r="A154" s="8" t="s">
        <v>157</v>
      </c>
      <c r="B154" s="62"/>
      <c r="C154" s="62"/>
      <c r="D154" s="62"/>
      <c r="E154" s="62"/>
      <c r="F154" s="62"/>
      <c r="G154" s="62"/>
      <c r="H154" s="62"/>
      <c r="I154" s="62"/>
      <c r="J154" s="62"/>
      <c r="K154" s="63"/>
      <c r="L154" s="63"/>
      <c r="M154" s="63"/>
      <c r="N154" s="63"/>
      <c r="O154" s="63"/>
      <c r="P154" s="63"/>
      <c r="Q154" s="63"/>
      <c r="R154" s="63"/>
      <c r="S154" s="63"/>
      <c r="T154" s="63"/>
      <c r="U154" s="63"/>
      <c r="V154" s="63"/>
      <c r="W154" s="63"/>
      <c r="X154" s="63"/>
    </row>
    <row r="155" spans="1:24" ht="15">
      <c r="A155" s="43"/>
      <c r="B155" s="43"/>
      <c r="C155" s="43"/>
      <c r="D155" s="43"/>
      <c r="E155" s="43"/>
      <c r="F155" s="43"/>
      <c r="G155" s="28"/>
      <c r="H155" s="29"/>
      <c r="I155" s="43"/>
      <c r="J155" s="43"/>
      <c r="K155" s="63"/>
      <c r="L155" s="63"/>
      <c r="M155" s="63"/>
      <c r="N155" s="63"/>
      <c r="O155" s="63"/>
      <c r="P155" s="63"/>
      <c r="Q155" s="63"/>
      <c r="R155" s="63"/>
      <c r="S155" s="63"/>
      <c r="T155" s="63"/>
      <c r="U155" s="63"/>
      <c r="V155" s="63"/>
      <c r="W155" s="63"/>
      <c r="X155" s="63"/>
    </row>
    <row r="156" spans="1:24" ht="17.45" customHeight="1">
      <c r="A156" s="410" t="s">
        <v>7</v>
      </c>
      <c r="B156" s="410"/>
      <c r="C156" s="410" t="s">
        <v>12</v>
      </c>
      <c r="D156" s="410"/>
      <c r="E156" s="410" t="s">
        <v>13</v>
      </c>
      <c r="F156" s="410" t="s">
        <v>14</v>
      </c>
      <c r="G156" s="410"/>
      <c r="H156" s="410"/>
      <c r="I156" s="410" t="s">
        <v>15</v>
      </c>
      <c r="J156" s="410"/>
      <c r="K156" s="63"/>
      <c r="L156" s="63"/>
      <c r="M156" s="63"/>
      <c r="N156" s="63"/>
      <c r="O156" s="63"/>
      <c r="P156" s="63"/>
      <c r="Q156" s="63"/>
      <c r="R156" s="63"/>
      <c r="S156" s="63"/>
      <c r="T156" s="63"/>
      <c r="U156" s="63"/>
      <c r="V156" s="63"/>
      <c r="W156" s="63"/>
      <c r="X156" s="63"/>
    </row>
    <row r="157" spans="1:24" ht="13.15" customHeight="1">
      <c r="A157" s="410"/>
      <c r="B157" s="410"/>
      <c r="C157" s="410"/>
      <c r="D157" s="410"/>
      <c r="E157" s="410"/>
      <c r="F157" s="410"/>
      <c r="G157" s="410"/>
      <c r="H157" s="410"/>
      <c r="I157" s="410"/>
      <c r="J157" s="410"/>
      <c r="K157" s="63"/>
      <c r="L157" s="63"/>
      <c r="M157" s="63"/>
      <c r="N157" s="63"/>
      <c r="O157" s="63"/>
      <c r="P157" s="63"/>
      <c r="Q157" s="63"/>
      <c r="R157" s="63"/>
      <c r="S157" s="63"/>
      <c r="T157" s="63"/>
      <c r="U157" s="63"/>
      <c r="V157" s="63"/>
      <c r="W157" s="63"/>
      <c r="X157" s="63"/>
    </row>
    <row r="158" spans="1:24" ht="17.45" customHeight="1">
      <c r="A158" s="385">
        <f>COUNTIFS(A163:A10532,"UC_GR_*",H163:H10532,"A tester")</f>
        <v>0</v>
      </c>
      <c r="B158" s="386"/>
      <c r="C158" s="381">
        <f>COUNTIFS(A163:A10532,"UC_GR*",H163:H10532,"Succès")</f>
        <v>6</v>
      </c>
      <c r="D158" s="382"/>
      <c r="E158" s="416">
        <f>COUNTIFS(A163:A10532,"UC_GR*",H163:H10532,"Echec")</f>
        <v>7</v>
      </c>
      <c r="F158" s="391">
        <f>(C158+E158)/SUM(A158:E158)</f>
        <v>1</v>
      </c>
      <c r="G158" s="392"/>
      <c r="H158" s="393"/>
      <c r="I158" s="418">
        <f>C158/SUM(A158:E159)</f>
        <v>0.46153846153846156</v>
      </c>
      <c r="J158" s="419"/>
      <c r="K158" s="63"/>
      <c r="L158" s="63"/>
      <c r="M158" s="63"/>
      <c r="N158" s="63"/>
      <c r="O158" s="63"/>
      <c r="P158" s="63"/>
      <c r="Q158" s="63"/>
      <c r="R158" s="63"/>
      <c r="S158" s="63"/>
      <c r="T158" s="63"/>
      <c r="U158" s="63"/>
      <c r="V158" s="63"/>
      <c r="W158" s="63"/>
      <c r="X158" s="63"/>
    </row>
    <row r="159" spans="1:24">
      <c r="A159" s="387"/>
      <c r="B159" s="388"/>
      <c r="C159" s="383"/>
      <c r="D159" s="384"/>
      <c r="E159" s="417"/>
      <c r="F159" s="394"/>
      <c r="G159" s="395"/>
      <c r="H159" s="396"/>
      <c r="I159" s="420"/>
      <c r="J159" s="421"/>
      <c r="K159" s="63"/>
      <c r="L159" s="63"/>
      <c r="M159" s="63"/>
      <c r="N159" s="63"/>
      <c r="O159" s="63"/>
      <c r="P159" s="63"/>
      <c r="Q159" s="63"/>
      <c r="R159" s="63"/>
      <c r="S159" s="63"/>
      <c r="T159" s="63"/>
      <c r="U159" s="63"/>
      <c r="V159" s="63"/>
      <c r="W159" s="63"/>
      <c r="X159" s="63"/>
    </row>
    <row r="160" spans="1:24" ht="15">
      <c r="A160" s="43"/>
      <c r="B160" s="43"/>
      <c r="C160" s="43"/>
      <c r="D160" s="43"/>
      <c r="E160" s="43"/>
      <c r="F160" s="43"/>
      <c r="G160" s="28"/>
      <c r="H160" s="29"/>
      <c r="I160" s="43"/>
      <c r="J160" s="43"/>
      <c r="K160" s="63"/>
      <c r="L160" s="63"/>
      <c r="M160" s="63"/>
      <c r="N160" s="63"/>
      <c r="O160" s="63"/>
      <c r="P160" s="63"/>
      <c r="Q160" s="63"/>
      <c r="R160" s="63"/>
      <c r="S160" s="63"/>
      <c r="T160" s="63"/>
      <c r="U160" s="63"/>
      <c r="V160" s="63"/>
      <c r="W160" s="63"/>
      <c r="X160" s="63"/>
    </row>
    <row r="161" spans="1:24" ht="15">
      <c r="A161" s="43"/>
      <c r="B161" s="43"/>
      <c r="C161" s="43"/>
      <c r="D161" s="43"/>
      <c r="E161" s="43"/>
      <c r="F161" s="43"/>
      <c r="G161" s="28"/>
      <c r="H161" s="29"/>
      <c r="I161" s="43"/>
      <c r="J161" s="43"/>
      <c r="K161" s="63"/>
      <c r="L161" s="63"/>
      <c r="M161" s="63"/>
      <c r="N161" s="63"/>
      <c r="O161" s="63"/>
      <c r="P161" s="63"/>
      <c r="Q161" s="63"/>
      <c r="R161" s="63"/>
      <c r="S161" s="63"/>
      <c r="T161" s="63"/>
      <c r="U161" s="63"/>
      <c r="V161" s="63"/>
      <c r="W161" s="63"/>
      <c r="X161" s="63"/>
    </row>
    <row r="162" spans="1:24" ht="26.25">
      <c r="A162" s="496" t="s">
        <v>191</v>
      </c>
      <c r="K162" s="63"/>
      <c r="L162" s="63"/>
      <c r="M162" s="63"/>
      <c r="N162" s="63"/>
      <c r="O162" s="63"/>
      <c r="P162" s="63"/>
      <c r="Q162" s="63"/>
      <c r="R162" s="63"/>
      <c r="S162" s="63"/>
      <c r="T162" s="63"/>
      <c r="U162" s="63"/>
      <c r="V162" s="63"/>
      <c r="W162" s="63"/>
      <c r="X162" s="63"/>
    </row>
    <row r="163" spans="1:24">
      <c r="K163" s="63"/>
      <c r="L163" s="63"/>
      <c r="M163" s="63"/>
      <c r="N163" s="63"/>
      <c r="O163" s="63"/>
      <c r="P163" s="63"/>
      <c r="Q163" s="63"/>
      <c r="R163" s="63"/>
      <c r="S163" s="63"/>
      <c r="T163" s="63"/>
      <c r="U163" s="63"/>
      <c r="V163" s="63"/>
      <c r="W163" s="63"/>
      <c r="X163" s="63"/>
    </row>
    <row r="164" spans="1:24" ht="25.5" customHeight="1" thickBot="1">
      <c r="A164" s="169" t="s">
        <v>17</v>
      </c>
      <c r="B164" s="169" t="s">
        <v>19</v>
      </c>
      <c r="C164" s="169" t="s">
        <v>20</v>
      </c>
      <c r="D164" s="169" t="s">
        <v>21</v>
      </c>
      <c r="E164" s="169" t="s">
        <v>22</v>
      </c>
      <c r="F164" s="169" t="s">
        <v>23</v>
      </c>
      <c r="G164" s="169" t="s">
        <v>24</v>
      </c>
      <c r="H164" s="169" t="s">
        <v>25</v>
      </c>
      <c r="I164" s="169" t="s">
        <v>26</v>
      </c>
      <c r="J164" s="169" t="s">
        <v>27</v>
      </c>
      <c r="K164" s="63"/>
      <c r="L164" s="63"/>
      <c r="M164" s="63"/>
      <c r="N164" s="63"/>
      <c r="O164" s="63"/>
      <c r="P164" s="63"/>
      <c r="Q164" s="63"/>
      <c r="R164" s="63"/>
      <c r="S164" s="63"/>
      <c r="T164" s="63"/>
      <c r="U164" s="63"/>
      <c r="V164" s="63"/>
      <c r="W164" s="63"/>
      <c r="X164" s="63"/>
    </row>
    <row r="165" spans="1:24" ht="63.75" customHeight="1" thickBot="1">
      <c r="A165" s="174" t="s">
        <v>195</v>
      </c>
      <c r="B165" s="174" t="s">
        <v>29</v>
      </c>
      <c r="C165" s="174" t="s">
        <v>30</v>
      </c>
      <c r="D165" s="44" t="s">
        <v>1318</v>
      </c>
      <c r="E165" s="174" t="s">
        <v>196</v>
      </c>
      <c r="F165" s="174"/>
      <c r="G165" s="175" t="s">
        <v>35</v>
      </c>
      <c r="H165" s="176" t="s">
        <v>12</v>
      </c>
      <c r="I165" s="281">
        <v>43095</v>
      </c>
      <c r="J165" s="150"/>
      <c r="K165" s="63"/>
      <c r="L165" s="63"/>
      <c r="M165" s="63"/>
      <c r="N165" s="63"/>
      <c r="O165" s="63"/>
      <c r="P165" s="63"/>
      <c r="Q165" s="63"/>
      <c r="R165" s="63"/>
      <c r="S165" s="63"/>
      <c r="T165" s="63"/>
      <c r="U165" s="63"/>
      <c r="V165" s="63"/>
      <c r="W165" s="63"/>
      <c r="X165" s="63"/>
    </row>
    <row r="166" spans="1:24" ht="48.75" customHeight="1">
      <c r="A166" s="177" t="s">
        <v>197</v>
      </c>
      <c r="B166" s="177" t="s">
        <v>29</v>
      </c>
      <c r="C166" s="177" t="s">
        <v>30</v>
      </c>
      <c r="D166" s="177" t="s">
        <v>33</v>
      </c>
      <c r="E166" s="177" t="s">
        <v>198</v>
      </c>
      <c r="F166" s="177"/>
      <c r="G166" s="178" t="s">
        <v>35</v>
      </c>
      <c r="H166" s="176" t="s">
        <v>13</v>
      </c>
      <c r="I166" s="276">
        <v>43095</v>
      </c>
      <c r="J166" s="179" t="s">
        <v>1458</v>
      </c>
      <c r="K166" s="63"/>
      <c r="L166" s="63"/>
      <c r="M166" s="63"/>
      <c r="N166" s="63"/>
      <c r="O166" s="63"/>
      <c r="P166" s="63"/>
      <c r="Q166" s="63"/>
      <c r="R166" s="63"/>
      <c r="S166" s="63"/>
      <c r="T166" s="63"/>
      <c r="U166" s="63"/>
      <c r="V166" s="63"/>
      <c r="W166" s="63"/>
      <c r="X166" s="63"/>
    </row>
    <row r="167" spans="1:24" ht="47.25" customHeight="1">
      <c r="A167" s="180" t="s">
        <v>206</v>
      </c>
      <c r="B167" s="180" t="s">
        <v>29</v>
      </c>
      <c r="C167" s="180" t="s">
        <v>30</v>
      </c>
      <c r="D167" s="180" t="s">
        <v>207</v>
      </c>
      <c r="E167" s="180" t="s">
        <v>208</v>
      </c>
      <c r="F167" s="164" t="str">
        <f>HYPERLINK("[Tagerim.xlsx]RM_GR_AR_10",RM_GR_AR_10)</f>
        <v>RM_GR_AR_20</v>
      </c>
      <c r="G167" s="181" t="s">
        <v>35</v>
      </c>
      <c r="H167" s="176" t="s">
        <v>13</v>
      </c>
      <c r="I167" s="281">
        <v>43095</v>
      </c>
      <c r="J167" s="150"/>
      <c r="K167" s="63"/>
      <c r="L167" s="63"/>
      <c r="M167" s="63"/>
      <c r="N167" s="63"/>
      <c r="O167" s="63"/>
      <c r="P167" s="63"/>
      <c r="Q167" s="63"/>
      <c r="R167" s="63"/>
      <c r="S167" s="63"/>
      <c r="T167" s="63"/>
      <c r="U167" s="63"/>
      <c r="V167" s="63"/>
      <c r="W167" s="63"/>
      <c r="X167" s="63"/>
    </row>
    <row r="168" spans="1:24" ht="45" customHeight="1">
      <c r="A168" s="182" t="s">
        <v>215</v>
      </c>
      <c r="B168" s="182" t="s">
        <v>29</v>
      </c>
      <c r="C168" s="182" t="s">
        <v>30</v>
      </c>
      <c r="D168" s="182" t="s">
        <v>216</v>
      </c>
      <c r="E168" s="182" t="s">
        <v>217</v>
      </c>
      <c r="F168" s="165" t="str">
        <f>HYPERLINK("[Tagerim.xlsx]RM_GR_AR_20",RM_GR_AR_20)</f>
        <v>RM_GR_AR_20</v>
      </c>
      <c r="G168" s="183" t="s">
        <v>35</v>
      </c>
      <c r="H168" s="176" t="s">
        <v>13</v>
      </c>
      <c r="I168" s="276">
        <v>43095</v>
      </c>
      <c r="J168" s="179"/>
      <c r="K168" s="63"/>
      <c r="L168" s="63"/>
      <c r="M168" s="63"/>
      <c r="N168" s="63"/>
      <c r="O168" s="63"/>
      <c r="P168" s="63"/>
      <c r="Q168" s="63"/>
      <c r="R168" s="63"/>
      <c r="S168" s="63"/>
      <c r="T168" s="63"/>
      <c r="U168" s="63"/>
      <c r="V168" s="63"/>
      <c r="W168" s="63"/>
      <c r="X168" s="63"/>
    </row>
    <row r="169" spans="1:24" ht="15">
      <c r="A169" s="43"/>
      <c r="B169" s="43"/>
      <c r="C169" s="43"/>
      <c r="D169" s="43"/>
      <c r="E169" s="43"/>
      <c r="F169" s="43"/>
      <c r="G169" s="28"/>
      <c r="H169" s="29"/>
      <c r="I169" s="43"/>
      <c r="J169" s="43"/>
      <c r="K169" s="63"/>
      <c r="L169" s="63"/>
      <c r="M169" s="63"/>
      <c r="N169" s="63"/>
      <c r="O169" s="63"/>
      <c r="P169" s="63"/>
      <c r="Q169" s="63"/>
      <c r="R169" s="63"/>
      <c r="S169" s="63"/>
      <c r="T169" s="63"/>
      <c r="U169" s="63"/>
      <c r="V169" s="63"/>
      <c r="W169" s="63"/>
      <c r="X169" s="63"/>
    </row>
    <row r="170" spans="1:24" ht="15">
      <c r="A170" s="43"/>
      <c r="B170" s="43"/>
      <c r="C170" s="43"/>
      <c r="D170" s="43"/>
      <c r="E170" s="43"/>
      <c r="F170" s="43"/>
      <c r="G170" s="28"/>
      <c r="H170" s="29"/>
      <c r="I170" s="43"/>
      <c r="J170" s="43"/>
      <c r="K170" s="63"/>
      <c r="L170" s="63"/>
      <c r="M170" s="63"/>
      <c r="N170" s="63"/>
      <c r="O170" s="63"/>
      <c r="P170" s="63"/>
      <c r="Q170" s="63"/>
      <c r="R170" s="63"/>
      <c r="S170" s="63"/>
      <c r="T170" s="63"/>
      <c r="U170" s="63"/>
      <c r="V170" s="63"/>
      <c r="W170" s="63"/>
      <c r="X170" s="63"/>
    </row>
    <row r="171" spans="1:24" ht="26.25">
      <c r="A171" s="496" t="s">
        <v>227</v>
      </c>
      <c r="K171" s="63"/>
      <c r="L171" s="63"/>
      <c r="M171" s="63"/>
      <c r="N171" s="63"/>
      <c r="O171" s="63"/>
      <c r="P171" s="63"/>
      <c r="Q171" s="63"/>
      <c r="R171" s="63"/>
      <c r="S171" s="63"/>
      <c r="T171" s="63"/>
      <c r="U171" s="63"/>
      <c r="V171" s="63"/>
      <c r="W171" s="63"/>
      <c r="X171" s="63"/>
    </row>
    <row r="172" spans="1:24">
      <c r="K172" s="63"/>
      <c r="L172" s="63"/>
      <c r="M172" s="63"/>
      <c r="N172" s="63"/>
      <c r="O172" s="63"/>
      <c r="P172" s="63"/>
      <c r="Q172" s="63"/>
      <c r="R172" s="63"/>
      <c r="S172" s="63"/>
      <c r="T172" s="63"/>
      <c r="U172" s="63"/>
      <c r="V172" s="63"/>
      <c r="W172" s="63"/>
      <c r="X172" s="63"/>
    </row>
    <row r="173" spans="1:24" ht="21.75" customHeight="1" thickBot="1">
      <c r="A173" s="169" t="s">
        <v>17</v>
      </c>
      <c r="B173" s="169" t="s">
        <v>19</v>
      </c>
      <c r="C173" s="169" t="s">
        <v>20</v>
      </c>
      <c r="D173" s="169" t="s">
        <v>21</v>
      </c>
      <c r="E173" s="169" t="s">
        <v>22</v>
      </c>
      <c r="F173" s="169" t="s">
        <v>23</v>
      </c>
      <c r="G173" s="169" t="s">
        <v>24</v>
      </c>
      <c r="H173" s="169" t="s">
        <v>25</v>
      </c>
      <c r="I173" s="169" t="s">
        <v>26</v>
      </c>
      <c r="J173" s="169" t="s">
        <v>27</v>
      </c>
      <c r="K173" s="63"/>
      <c r="L173" s="63"/>
      <c r="M173" s="63"/>
      <c r="N173" s="63"/>
      <c r="O173" s="63"/>
      <c r="P173" s="63"/>
      <c r="Q173" s="63"/>
      <c r="R173" s="63"/>
      <c r="S173" s="63"/>
      <c r="T173" s="63"/>
      <c r="U173" s="63"/>
      <c r="V173" s="63"/>
      <c r="W173" s="63"/>
      <c r="X173" s="63"/>
    </row>
    <row r="174" spans="1:24" ht="50.1" customHeight="1" thickBot="1">
      <c r="A174" s="150" t="s">
        <v>232</v>
      </c>
      <c r="B174" s="150" t="s">
        <v>29</v>
      </c>
      <c r="C174" s="150" t="s">
        <v>30</v>
      </c>
      <c r="D174" s="44" t="s">
        <v>1318</v>
      </c>
      <c r="E174" s="150" t="s">
        <v>196</v>
      </c>
      <c r="F174" s="150"/>
      <c r="G174" s="175" t="s">
        <v>35</v>
      </c>
      <c r="H174" s="176" t="s">
        <v>12</v>
      </c>
      <c r="I174" s="281">
        <v>43095</v>
      </c>
      <c r="J174" s="150"/>
      <c r="K174" s="63"/>
      <c r="L174" s="63"/>
      <c r="M174" s="63"/>
      <c r="N174" s="63"/>
      <c r="O174" s="63"/>
      <c r="P174" s="63"/>
      <c r="Q174" s="63"/>
      <c r="R174" s="63"/>
      <c r="S174" s="63"/>
      <c r="T174" s="63"/>
      <c r="U174" s="63"/>
      <c r="V174" s="63"/>
      <c r="W174" s="63"/>
      <c r="X174" s="63"/>
    </row>
    <row r="175" spans="1:24" ht="50.1" customHeight="1">
      <c r="A175" s="179" t="s">
        <v>238</v>
      </c>
      <c r="B175" s="179" t="s">
        <v>29</v>
      </c>
      <c r="C175" s="179" t="s">
        <v>30</v>
      </c>
      <c r="D175" s="179" t="s">
        <v>1459</v>
      </c>
      <c r="E175" s="179" t="s">
        <v>239</v>
      </c>
      <c r="F175" s="179"/>
      <c r="G175" s="178" t="s">
        <v>35</v>
      </c>
      <c r="H175" s="176" t="s">
        <v>12</v>
      </c>
      <c r="I175" s="276">
        <v>43095</v>
      </c>
      <c r="J175" s="179"/>
      <c r="K175" s="63"/>
      <c r="L175" s="63"/>
      <c r="M175" s="63"/>
      <c r="N175" s="63"/>
      <c r="O175" s="63"/>
      <c r="P175" s="63"/>
      <c r="Q175" s="63"/>
      <c r="R175" s="63"/>
      <c r="S175" s="63"/>
      <c r="T175" s="63"/>
      <c r="U175" s="63"/>
      <c r="V175" s="63"/>
      <c r="W175" s="63"/>
      <c r="X175" s="63"/>
    </row>
    <row r="176" spans="1:24" ht="50.1" customHeight="1">
      <c r="A176" s="150" t="s">
        <v>242</v>
      </c>
      <c r="B176" s="150" t="s">
        <v>29</v>
      </c>
      <c r="C176" s="150" t="s">
        <v>30</v>
      </c>
      <c r="D176" s="150" t="s">
        <v>244</v>
      </c>
      <c r="E176" s="150" t="s">
        <v>245</v>
      </c>
      <c r="F176" s="184" t="str">
        <f>HYPERLINK("[Tagerim.xlsx]RM_GR_MR_10",RM_GR_MR_10)</f>
        <v>RM_GR_MR_10</v>
      </c>
      <c r="G176" s="175" t="s">
        <v>35</v>
      </c>
      <c r="H176" s="176" t="s">
        <v>13</v>
      </c>
      <c r="I176" s="281">
        <v>43095</v>
      </c>
      <c r="J176" s="150" t="s">
        <v>1460</v>
      </c>
      <c r="K176" s="63"/>
      <c r="L176" s="63"/>
      <c r="M176" s="63"/>
      <c r="N176" s="63"/>
      <c r="O176" s="63"/>
      <c r="P176" s="63"/>
      <c r="Q176" s="63"/>
      <c r="R176" s="63"/>
      <c r="S176" s="63"/>
      <c r="T176" s="63"/>
      <c r="U176" s="63"/>
      <c r="V176" s="63"/>
      <c r="W176" s="63"/>
      <c r="X176" s="63"/>
    </row>
    <row r="177" spans="1:24" ht="50.1" customHeight="1">
      <c r="A177" s="179" t="s">
        <v>249</v>
      </c>
      <c r="B177" s="179" t="s">
        <v>29</v>
      </c>
      <c r="C177" s="179" t="s">
        <v>30</v>
      </c>
      <c r="D177" s="179" t="s">
        <v>216</v>
      </c>
      <c r="E177" s="179" t="s">
        <v>250</v>
      </c>
      <c r="F177" s="185" t="str">
        <f>HYPERLINK("[Tagerim.xlsx]RM_GR_MR_20",RM_GR_MR_20)</f>
        <v>RM_GR_MR_20</v>
      </c>
      <c r="G177" s="178" t="s">
        <v>35</v>
      </c>
      <c r="H177" s="176" t="s">
        <v>13</v>
      </c>
      <c r="I177" s="276">
        <v>43095</v>
      </c>
      <c r="J177" s="179" t="s">
        <v>1451</v>
      </c>
      <c r="K177" s="63"/>
      <c r="L177" s="63"/>
      <c r="M177" s="63"/>
      <c r="N177" s="63"/>
      <c r="O177" s="63"/>
      <c r="P177" s="63"/>
      <c r="Q177" s="63"/>
      <c r="R177" s="63"/>
      <c r="S177" s="63"/>
      <c r="T177" s="63"/>
      <c r="U177" s="63"/>
      <c r="V177" s="63"/>
      <c r="W177" s="63"/>
      <c r="X177" s="63"/>
    </row>
    <row r="178" spans="1:24" ht="15">
      <c r="A178" s="43"/>
      <c r="B178" s="43"/>
      <c r="C178" s="43"/>
      <c r="D178" s="43"/>
      <c r="E178" s="43"/>
      <c r="F178" s="43"/>
      <c r="G178" s="28"/>
      <c r="H178" s="29"/>
      <c r="I178" s="43"/>
      <c r="J178" s="43"/>
      <c r="K178" s="63"/>
      <c r="L178" s="63"/>
      <c r="M178" s="63"/>
      <c r="N178" s="63"/>
      <c r="O178" s="63"/>
      <c r="P178" s="63"/>
      <c r="Q178" s="63"/>
      <c r="R178" s="63"/>
      <c r="S178" s="63"/>
      <c r="T178" s="63"/>
      <c r="U178" s="63"/>
      <c r="V178" s="63"/>
      <c r="W178" s="63"/>
      <c r="X178" s="63"/>
    </row>
    <row r="179" spans="1:24" ht="15">
      <c r="A179" s="43"/>
      <c r="B179" s="43"/>
      <c r="C179" s="43"/>
      <c r="D179" s="43"/>
      <c r="E179" s="43"/>
      <c r="F179" s="43"/>
      <c r="G179" s="28"/>
      <c r="H179" s="29"/>
      <c r="I179" s="43"/>
      <c r="J179" s="43"/>
      <c r="K179" s="63"/>
      <c r="L179" s="63"/>
      <c r="M179" s="63"/>
      <c r="N179" s="63"/>
      <c r="O179" s="63"/>
      <c r="P179" s="63"/>
      <c r="Q179" s="63"/>
      <c r="R179" s="63"/>
      <c r="S179" s="63"/>
      <c r="T179" s="63"/>
      <c r="U179" s="63"/>
      <c r="V179" s="63"/>
      <c r="W179" s="63"/>
      <c r="X179" s="63"/>
    </row>
    <row r="180" spans="1:24" ht="26.25">
      <c r="A180" s="496" t="s">
        <v>255</v>
      </c>
      <c r="K180" s="63"/>
      <c r="L180" s="63"/>
      <c r="M180" s="63"/>
      <c r="N180" s="63"/>
      <c r="O180" s="63"/>
      <c r="P180" s="63"/>
      <c r="Q180" s="63"/>
      <c r="R180" s="63"/>
      <c r="S180" s="63"/>
      <c r="T180" s="63"/>
      <c r="U180" s="63"/>
      <c r="V180" s="63"/>
      <c r="W180" s="63"/>
      <c r="X180" s="63"/>
    </row>
    <row r="181" spans="1:24">
      <c r="K181" s="63"/>
      <c r="L181" s="63"/>
      <c r="M181" s="63"/>
      <c r="N181" s="63"/>
      <c r="O181" s="63"/>
      <c r="P181" s="63"/>
      <c r="Q181" s="63"/>
      <c r="R181" s="63"/>
      <c r="S181" s="63"/>
      <c r="T181" s="63"/>
      <c r="U181" s="63"/>
      <c r="V181" s="63"/>
      <c r="W181" s="63"/>
      <c r="X181" s="63"/>
    </row>
    <row r="182" spans="1:24" ht="22.5" customHeight="1" thickBot="1">
      <c r="A182" s="169" t="s">
        <v>17</v>
      </c>
      <c r="B182" s="169" t="s">
        <v>19</v>
      </c>
      <c r="C182" s="169" t="s">
        <v>20</v>
      </c>
      <c r="D182" s="169" t="s">
        <v>21</v>
      </c>
      <c r="E182" s="169" t="s">
        <v>22</v>
      </c>
      <c r="F182" s="169" t="s">
        <v>23</v>
      </c>
      <c r="G182" s="169" t="s">
        <v>24</v>
      </c>
      <c r="H182" s="169" t="s">
        <v>25</v>
      </c>
      <c r="I182" s="169" t="s">
        <v>26</v>
      </c>
      <c r="J182" s="169" t="s">
        <v>27</v>
      </c>
      <c r="K182" s="63"/>
      <c r="L182" s="63"/>
      <c r="M182" s="63"/>
      <c r="N182" s="63"/>
      <c r="O182" s="63"/>
      <c r="P182" s="63"/>
      <c r="Q182" s="63"/>
      <c r="R182" s="63"/>
      <c r="S182" s="63"/>
      <c r="T182" s="63"/>
      <c r="U182" s="63"/>
      <c r="V182" s="63"/>
      <c r="W182" s="63"/>
      <c r="X182" s="63"/>
    </row>
    <row r="183" spans="1:24" ht="50.1" customHeight="1" thickBot="1">
      <c r="A183" s="174" t="s">
        <v>256</v>
      </c>
      <c r="B183" s="174" t="s">
        <v>29</v>
      </c>
      <c r="C183" s="174" t="s">
        <v>30</v>
      </c>
      <c r="D183" s="44" t="s">
        <v>1318</v>
      </c>
      <c r="E183" s="174" t="s">
        <v>196</v>
      </c>
      <c r="F183" s="174"/>
      <c r="G183" s="175" t="s">
        <v>35</v>
      </c>
      <c r="H183" s="176" t="s">
        <v>12</v>
      </c>
      <c r="I183" s="281">
        <v>43095</v>
      </c>
      <c r="J183" s="150"/>
      <c r="K183" s="63"/>
      <c r="L183" s="63"/>
      <c r="M183" s="63"/>
      <c r="N183" s="63"/>
      <c r="O183" s="63"/>
      <c r="P183" s="63"/>
      <c r="Q183" s="63"/>
      <c r="R183" s="63"/>
      <c r="S183" s="63"/>
      <c r="T183" s="63"/>
      <c r="U183" s="63"/>
      <c r="V183" s="63"/>
      <c r="W183" s="63"/>
      <c r="X183" s="63"/>
    </row>
    <row r="184" spans="1:24" ht="50.1" customHeight="1">
      <c r="A184" s="182" t="s">
        <v>257</v>
      </c>
      <c r="B184" s="182" t="s">
        <v>29</v>
      </c>
      <c r="C184" s="182" t="s">
        <v>30</v>
      </c>
      <c r="D184" s="182" t="s">
        <v>258</v>
      </c>
      <c r="E184" s="182" t="s">
        <v>259</v>
      </c>
      <c r="F184" s="159" t="str">
        <f>HYPERLINK("[Tagerim.xlsx]RM_GR_SR_10",RM_GR_SR_10)</f>
        <v>RM_GR_SR_10</v>
      </c>
      <c r="G184" s="183" t="s">
        <v>35</v>
      </c>
      <c r="H184" s="176" t="s">
        <v>13</v>
      </c>
      <c r="I184" s="276">
        <v>43095</v>
      </c>
      <c r="J184" s="179" t="s">
        <v>1461</v>
      </c>
      <c r="K184" s="63"/>
      <c r="L184" s="63"/>
      <c r="M184" s="63"/>
      <c r="N184" s="63"/>
      <c r="O184" s="63"/>
      <c r="P184" s="63"/>
      <c r="Q184" s="63"/>
      <c r="R184" s="63"/>
      <c r="S184" s="63"/>
      <c r="T184" s="63"/>
      <c r="U184" s="63"/>
      <c r="V184" s="63"/>
      <c r="W184" s="63"/>
      <c r="X184" s="63"/>
    </row>
    <row r="185" spans="1:24" ht="15">
      <c r="A185" s="43"/>
      <c r="B185" s="43"/>
      <c r="C185" s="43"/>
      <c r="D185" s="43"/>
      <c r="E185" s="43"/>
      <c r="F185" s="43"/>
      <c r="G185" s="28"/>
      <c r="H185" s="29"/>
      <c r="I185" s="43"/>
      <c r="J185" s="43"/>
      <c r="K185" s="63"/>
      <c r="L185" s="63"/>
      <c r="M185" s="63"/>
      <c r="N185" s="63"/>
      <c r="O185" s="63"/>
      <c r="P185" s="63"/>
      <c r="Q185" s="63"/>
      <c r="R185" s="63"/>
      <c r="S185" s="63"/>
      <c r="T185" s="63"/>
      <c r="U185" s="63"/>
      <c r="V185" s="63"/>
      <c r="W185" s="63"/>
      <c r="X185" s="63"/>
    </row>
    <row r="186" spans="1:24" ht="15">
      <c r="A186" s="43"/>
      <c r="B186" s="43"/>
      <c r="C186" s="43"/>
      <c r="D186" s="43"/>
      <c r="E186" s="43"/>
      <c r="F186" s="43"/>
      <c r="G186" s="28"/>
      <c r="H186" s="29"/>
      <c r="I186" s="43"/>
      <c r="J186" s="43"/>
      <c r="K186" s="63"/>
      <c r="L186" s="63"/>
      <c r="M186" s="63"/>
      <c r="N186" s="63"/>
      <c r="O186" s="63"/>
      <c r="P186" s="63"/>
      <c r="Q186" s="63"/>
      <c r="R186" s="63"/>
      <c r="S186" s="63"/>
      <c r="T186" s="63"/>
      <c r="U186" s="63"/>
      <c r="V186" s="63"/>
      <c r="W186" s="63"/>
      <c r="X186" s="63"/>
    </row>
    <row r="187" spans="1:24" ht="26.25">
      <c r="A187" s="496" t="s">
        <v>263</v>
      </c>
      <c r="K187" s="63"/>
      <c r="L187" s="63"/>
      <c r="M187" s="63"/>
      <c r="N187" s="63"/>
      <c r="O187" s="63"/>
      <c r="P187" s="63"/>
      <c r="Q187" s="63"/>
      <c r="R187" s="63"/>
      <c r="S187" s="63"/>
      <c r="T187" s="63"/>
      <c r="U187" s="63"/>
      <c r="V187" s="63"/>
      <c r="W187" s="63"/>
      <c r="X187" s="63"/>
    </row>
    <row r="188" spans="1:24">
      <c r="K188" s="63"/>
      <c r="L188" s="63"/>
      <c r="M188" s="63"/>
      <c r="N188" s="63"/>
      <c r="O188" s="63"/>
      <c r="P188" s="63"/>
      <c r="Q188" s="63"/>
      <c r="R188" s="63"/>
      <c r="S188" s="63"/>
      <c r="T188" s="63"/>
      <c r="U188" s="63"/>
      <c r="V188" s="63"/>
      <c r="W188" s="63"/>
      <c r="X188" s="63"/>
    </row>
    <row r="189" spans="1:24" ht="23.25" customHeight="1" thickBot="1">
      <c r="A189" s="10" t="s">
        <v>17</v>
      </c>
      <c r="B189" s="10" t="s">
        <v>19</v>
      </c>
      <c r="C189" s="10" t="s">
        <v>20</v>
      </c>
      <c r="D189" s="10" t="s">
        <v>21</v>
      </c>
      <c r="E189" s="10" t="s">
        <v>22</v>
      </c>
      <c r="F189" s="10" t="s">
        <v>23</v>
      </c>
      <c r="G189" s="10" t="s">
        <v>24</v>
      </c>
      <c r="H189" s="10" t="s">
        <v>25</v>
      </c>
      <c r="I189" s="10" t="s">
        <v>26</v>
      </c>
      <c r="J189" s="10" t="s">
        <v>27</v>
      </c>
      <c r="K189" s="63"/>
      <c r="L189" s="63"/>
      <c r="M189" s="63"/>
      <c r="N189" s="63"/>
      <c r="O189" s="63"/>
      <c r="P189" s="63"/>
      <c r="Q189" s="63"/>
      <c r="R189" s="63"/>
      <c r="S189" s="63"/>
      <c r="T189" s="63"/>
      <c r="U189" s="63"/>
      <c r="V189" s="63"/>
      <c r="W189" s="63"/>
      <c r="X189" s="63"/>
    </row>
    <row r="190" spans="1:24" ht="50.1" customHeight="1" thickBot="1">
      <c r="A190" s="44" t="s">
        <v>264</v>
      </c>
      <c r="B190" s="44" t="s">
        <v>29</v>
      </c>
      <c r="C190" s="44" t="s">
        <v>30</v>
      </c>
      <c r="D190" s="44" t="s">
        <v>1318</v>
      </c>
      <c r="E190" s="44" t="s">
        <v>196</v>
      </c>
      <c r="F190" s="44"/>
      <c r="G190" s="16" t="s">
        <v>35</v>
      </c>
      <c r="H190" s="11" t="s">
        <v>12</v>
      </c>
      <c r="I190" s="281">
        <v>43095</v>
      </c>
      <c r="J190" s="44"/>
      <c r="K190" s="63"/>
      <c r="L190" s="63"/>
      <c r="M190" s="63"/>
      <c r="N190" s="63"/>
      <c r="O190" s="63"/>
      <c r="P190" s="63"/>
      <c r="Q190" s="63"/>
      <c r="R190" s="63"/>
      <c r="S190" s="63"/>
      <c r="T190" s="63"/>
      <c r="U190" s="63"/>
      <c r="V190" s="63"/>
      <c r="W190" s="63"/>
      <c r="X190" s="63"/>
    </row>
    <row r="191" spans="1:24" ht="66.75" customHeight="1" thickBot="1">
      <c r="A191" s="45" t="s">
        <v>774</v>
      </c>
      <c r="B191" s="45" t="s">
        <v>29</v>
      </c>
      <c r="C191" s="45" t="s">
        <v>30</v>
      </c>
      <c r="D191" s="45" t="s">
        <v>265</v>
      </c>
      <c r="E191" s="45" t="s">
        <v>266</v>
      </c>
      <c r="F191" s="45"/>
      <c r="G191" s="25" t="s">
        <v>35</v>
      </c>
      <c r="H191" s="11" t="s">
        <v>12</v>
      </c>
      <c r="I191" s="276">
        <v>43095</v>
      </c>
      <c r="J191" s="45"/>
      <c r="K191" s="63"/>
      <c r="L191" s="63"/>
      <c r="M191" s="63"/>
      <c r="N191" s="63"/>
      <c r="O191" s="63"/>
      <c r="P191" s="63"/>
      <c r="Q191" s="63"/>
      <c r="R191" s="63"/>
      <c r="S191" s="63"/>
      <c r="T191" s="63"/>
      <c r="U191" s="63"/>
      <c r="V191" s="63"/>
      <c r="W191" s="63"/>
      <c r="X191" s="63"/>
    </row>
    <row r="192" spans="1:24" ht="90" customHeight="1" thickBot="1">
      <c r="A192" s="44" t="s">
        <v>268</v>
      </c>
      <c r="B192" s="44" t="s">
        <v>29</v>
      </c>
      <c r="C192" s="44" t="s">
        <v>30</v>
      </c>
      <c r="D192" s="44" t="s">
        <v>124</v>
      </c>
      <c r="E192" s="44" t="s">
        <v>272</v>
      </c>
      <c r="F192" s="44"/>
      <c r="G192" s="16" t="s">
        <v>35</v>
      </c>
      <c r="H192" s="11" t="s">
        <v>13</v>
      </c>
      <c r="I192" s="281">
        <v>43095</v>
      </c>
      <c r="J192" s="44" t="s">
        <v>1455</v>
      </c>
      <c r="K192" s="63"/>
      <c r="L192" s="63"/>
      <c r="M192" s="63"/>
      <c r="N192" s="63"/>
      <c r="O192" s="63"/>
      <c r="P192" s="63"/>
      <c r="Q192" s="63"/>
      <c r="R192" s="63"/>
      <c r="S192" s="63"/>
      <c r="T192" s="63"/>
      <c r="U192" s="63"/>
      <c r="V192" s="63"/>
      <c r="W192" s="63"/>
      <c r="X192" s="63"/>
    </row>
    <row r="193" spans="1:24" ht="15">
      <c r="A193" s="43"/>
      <c r="B193" s="43"/>
      <c r="C193" s="43"/>
      <c r="D193" s="43"/>
      <c r="E193" s="43"/>
      <c r="F193" s="43"/>
      <c r="G193" s="28"/>
      <c r="H193" s="29"/>
      <c r="I193" s="43"/>
      <c r="J193" s="43"/>
      <c r="K193" s="63"/>
      <c r="L193" s="63"/>
      <c r="M193" s="63"/>
      <c r="N193" s="63"/>
      <c r="O193" s="63"/>
      <c r="P193" s="63"/>
      <c r="Q193" s="63"/>
      <c r="R193" s="63"/>
      <c r="S193" s="63"/>
      <c r="T193" s="63"/>
      <c r="U193" s="63"/>
      <c r="V193" s="63"/>
      <c r="W193" s="63"/>
      <c r="X193" s="63"/>
    </row>
    <row r="194" spans="1:24" ht="15">
      <c r="A194" s="43"/>
      <c r="B194" s="43"/>
      <c r="C194" s="43"/>
      <c r="D194" s="43"/>
      <c r="E194" s="43"/>
      <c r="F194" s="43"/>
      <c r="G194" s="28"/>
      <c r="H194" s="29"/>
      <c r="I194" s="43"/>
      <c r="J194" s="43"/>
      <c r="K194" s="63"/>
      <c r="L194" s="63"/>
      <c r="M194" s="63"/>
      <c r="N194" s="63"/>
      <c r="O194" s="63"/>
      <c r="P194" s="63"/>
      <c r="Q194" s="63"/>
      <c r="R194" s="63"/>
      <c r="S194" s="63"/>
      <c r="T194" s="63"/>
      <c r="U194" s="63"/>
      <c r="V194" s="63"/>
      <c r="W194" s="63"/>
      <c r="X194" s="63"/>
    </row>
    <row r="195" spans="1:24" ht="15">
      <c r="A195" s="43"/>
      <c r="B195" s="43"/>
      <c r="C195" s="43"/>
      <c r="D195" s="43"/>
      <c r="E195" s="43"/>
      <c r="F195" s="43"/>
      <c r="G195" s="28"/>
      <c r="H195" s="29"/>
      <c r="I195" s="43"/>
      <c r="J195" s="43"/>
      <c r="K195" s="63"/>
      <c r="L195" s="63"/>
      <c r="M195" s="63"/>
      <c r="N195" s="63"/>
      <c r="O195" s="63"/>
      <c r="P195" s="63"/>
      <c r="Q195" s="63"/>
      <c r="R195" s="63"/>
      <c r="S195" s="63"/>
      <c r="T195" s="63"/>
      <c r="U195" s="63"/>
      <c r="V195" s="63"/>
      <c r="W195" s="63"/>
      <c r="X195" s="63"/>
    </row>
    <row r="196" spans="1:24" ht="30">
      <c r="A196" s="8" t="s">
        <v>273</v>
      </c>
      <c r="B196" s="62"/>
      <c r="C196" s="62"/>
      <c r="D196" s="62"/>
      <c r="E196" s="62"/>
      <c r="F196" s="62"/>
      <c r="G196" s="62"/>
      <c r="H196" s="62"/>
      <c r="I196" s="62"/>
      <c r="J196" s="62"/>
      <c r="K196" s="63"/>
      <c r="L196" s="63"/>
      <c r="M196" s="63"/>
      <c r="N196" s="63"/>
      <c r="O196" s="63"/>
      <c r="P196" s="63"/>
      <c r="Q196" s="63"/>
      <c r="R196" s="63"/>
      <c r="S196" s="63"/>
      <c r="T196" s="63"/>
      <c r="U196" s="63"/>
      <c r="V196" s="63"/>
      <c r="W196" s="63"/>
      <c r="X196" s="63"/>
    </row>
    <row r="197" spans="1:24" ht="15">
      <c r="A197" s="43"/>
      <c r="B197" s="43"/>
      <c r="C197" s="43"/>
      <c r="D197" s="43"/>
      <c r="E197" s="43"/>
      <c r="F197" s="43"/>
      <c r="G197" s="28"/>
      <c r="H197" s="29"/>
      <c r="I197" s="43"/>
      <c r="J197" s="43"/>
      <c r="K197" s="63"/>
      <c r="L197" s="63"/>
      <c r="M197" s="63"/>
      <c r="N197" s="63"/>
      <c r="O197" s="63"/>
      <c r="P197" s="63"/>
      <c r="Q197" s="63"/>
      <c r="R197" s="63"/>
      <c r="S197" s="63"/>
      <c r="T197" s="63"/>
      <c r="U197" s="63"/>
      <c r="V197" s="63"/>
      <c r="W197" s="63"/>
      <c r="X197" s="63"/>
    </row>
    <row r="198" spans="1:24" ht="17.45" customHeight="1">
      <c r="A198" s="410" t="s">
        <v>7</v>
      </c>
      <c r="B198" s="410"/>
      <c r="C198" s="410" t="s">
        <v>12</v>
      </c>
      <c r="D198" s="410"/>
      <c r="E198" s="410" t="s">
        <v>13</v>
      </c>
      <c r="F198" s="410" t="s">
        <v>14</v>
      </c>
      <c r="G198" s="410"/>
      <c r="H198" s="410"/>
      <c r="I198" s="410" t="s">
        <v>15</v>
      </c>
      <c r="J198" s="410"/>
      <c r="K198" s="63"/>
      <c r="L198" s="63"/>
      <c r="M198" s="63"/>
      <c r="N198" s="63"/>
      <c r="O198" s="63"/>
      <c r="P198" s="63"/>
      <c r="Q198" s="63"/>
      <c r="R198" s="63"/>
      <c r="S198" s="63"/>
      <c r="T198" s="63"/>
      <c r="U198" s="63"/>
      <c r="V198" s="63"/>
      <c r="W198" s="63"/>
      <c r="X198" s="63"/>
    </row>
    <row r="199" spans="1:24">
      <c r="A199" s="410"/>
      <c r="B199" s="410"/>
      <c r="C199" s="410"/>
      <c r="D199" s="410"/>
      <c r="E199" s="410"/>
      <c r="F199" s="410"/>
      <c r="G199" s="410"/>
      <c r="H199" s="410"/>
      <c r="I199" s="410"/>
      <c r="J199" s="410"/>
      <c r="K199" s="63"/>
      <c r="L199" s="63"/>
      <c r="M199" s="63"/>
      <c r="N199" s="63"/>
      <c r="O199" s="63"/>
      <c r="P199" s="63"/>
      <c r="Q199" s="63"/>
      <c r="R199" s="63"/>
      <c r="S199" s="63"/>
      <c r="T199" s="63"/>
      <c r="U199" s="63"/>
      <c r="V199" s="63"/>
      <c r="W199" s="63"/>
      <c r="X199" s="63"/>
    </row>
    <row r="200" spans="1:24" ht="17.45" customHeight="1">
      <c r="A200" s="385">
        <f>COUNTIFS(A205:A10574,"UC_RE_*",H205:H10574,"A tester")</f>
        <v>0</v>
      </c>
      <c r="B200" s="386"/>
      <c r="C200" s="381">
        <f>COUNTIFS(A205:A10574,"UC_RE*",H205:H10574,"Succès")</f>
        <v>9</v>
      </c>
      <c r="D200" s="382"/>
      <c r="E200" s="416">
        <f>COUNTIFS(A205:A10574,"UC_RE*",H205:H10574,"Echec")</f>
        <v>4</v>
      </c>
      <c r="F200" s="391">
        <f>(C200+E200)/SUM(A200:E200)</f>
        <v>1</v>
      </c>
      <c r="G200" s="392"/>
      <c r="H200" s="393"/>
      <c r="I200" s="418">
        <f>C200/SUM(A200:E201)</f>
        <v>0.69230769230769229</v>
      </c>
      <c r="J200" s="419"/>
      <c r="K200" s="63"/>
      <c r="L200" s="63"/>
      <c r="M200" s="63"/>
      <c r="N200" s="63"/>
      <c r="O200" s="63"/>
      <c r="P200" s="63"/>
      <c r="Q200" s="63"/>
      <c r="R200" s="63"/>
      <c r="S200" s="63"/>
      <c r="T200" s="63"/>
      <c r="U200" s="63"/>
      <c r="V200" s="63"/>
      <c r="W200" s="63"/>
      <c r="X200" s="63"/>
    </row>
    <row r="201" spans="1:24">
      <c r="A201" s="387"/>
      <c r="B201" s="388"/>
      <c r="C201" s="383"/>
      <c r="D201" s="384"/>
      <c r="E201" s="417"/>
      <c r="F201" s="394"/>
      <c r="G201" s="395"/>
      <c r="H201" s="396"/>
      <c r="I201" s="420"/>
      <c r="J201" s="421"/>
      <c r="K201" s="63"/>
      <c r="L201" s="63"/>
      <c r="M201" s="63"/>
      <c r="N201" s="63"/>
      <c r="O201" s="63"/>
      <c r="P201" s="63"/>
      <c r="Q201" s="63"/>
      <c r="R201" s="63"/>
      <c r="S201" s="63"/>
      <c r="T201" s="63"/>
      <c r="U201" s="63"/>
      <c r="V201" s="63"/>
      <c r="W201" s="63"/>
      <c r="X201" s="63"/>
    </row>
    <row r="202" spans="1:24" ht="15">
      <c r="A202" s="43"/>
      <c r="B202" s="43"/>
      <c r="C202" s="43"/>
      <c r="D202" s="43"/>
      <c r="E202" s="43"/>
      <c r="F202" s="43"/>
      <c r="G202" s="28"/>
      <c r="H202" s="29"/>
      <c r="I202" s="43"/>
      <c r="J202" s="43"/>
      <c r="K202" s="63"/>
      <c r="L202" s="63"/>
      <c r="M202" s="63"/>
      <c r="N202" s="63"/>
      <c r="O202" s="63"/>
      <c r="P202" s="63"/>
      <c r="Q202" s="63"/>
      <c r="R202" s="63"/>
      <c r="S202" s="63"/>
      <c r="T202" s="63"/>
      <c r="U202" s="63"/>
      <c r="V202" s="63"/>
      <c r="W202" s="63"/>
      <c r="X202" s="63"/>
    </row>
    <row r="203" spans="1:24" ht="15">
      <c r="A203" s="43"/>
      <c r="B203" s="43"/>
      <c r="C203" s="43"/>
      <c r="D203" s="43"/>
      <c r="E203" s="43"/>
      <c r="F203" s="43"/>
      <c r="G203" s="28"/>
      <c r="H203" s="29"/>
      <c r="I203" s="43"/>
      <c r="J203" s="43"/>
      <c r="K203" s="63"/>
      <c r="L203" s="63"/>
      <c r="M203" s="63"/>
      <c r="N203" s="63"/>
      <c r="O203" s="63"/>
      <c r="P203" s="63"/>
      <c r="Q203" s="63"/>
      <c r="R203" s="63"/>
      <c r="S203" s="63"/>
      <c r="T203" s="63"/>
      <c r="U203" s="63"/>
      <c r="V203" s="63"/>
      <c r="W203" s="63"/>
      <c r="X203" s="63"/>
    </row>
    <row r="204" spans="1:24" ht="26.25">
      <c r="A204" s="496" t="s">
        <v>279</v>
      </c>
      <c r="K204" s="63"/>
      <c r="L204" s="63"/>
      <c r="M204" s="63"/>
      <c r="N204" s="63"/>
      <c r="O204" s="63"/>
      <c r="P204" s="63"/>
      <c r="Q204" s="63"/>
      <c r="R204" s="63"/>
      <c r="S204" s="63"/>
      <c r="T204" s="63"/>
      <c r="U204" s="63"/>
      <c r="V204" s="63"/>
      <c r="W204" s="63"/>
      <c r="X204" s="63"/>
    </row>
    <row r="205" spans="1:24">
      <c r="K205" s="63"/>
      <c r="L205" s="63"/>
      <c r="M205" s="63"/>
      <c r="N205" s="63"/>
      <c r="O205" s="63"/>
      <c r="P205" s="63"/>
      <c r="Q205" s="63"/>
      <c r="R205" s="63"/>
      <c r="S205" s="63"/>
      <c r="T205" s="63"/>
      <c r="U205" s="63"/>
      <c r="V205" s="63"/>
      <c r="W205" s="63"/>
      <c r="X205" s="63"/>
    </row>
    <row r="206" spans="1:24" ht="21.6" customHeight="1">
      <c r="A206" s="196" t="s">
        <v>17</v>
      </c>
      <c r="B206" s="196" t="s">
        <v>19</v>
      </c>
      <c r="C206" s="196" t="s">
        <v>20</v>
      </c>
      <c r="D206" s="196" t="s">
        <v>21</v>
      </c>
      <c r="E206" s="196" t="s">
        <v>22</v>
      </c>
      <c r="F206" s="196" t="s">
        <v>23</v>
      </c>
      <c r="G206" s="196" t="s">
        <v>24</v>
      </c>
      <c r="H206" s="196" t="s">
        <v>25</v>
      </c>
      <c r="I206" s="196" t="s">
        <v>26</v>
      </c>
      <c r="J206" s="196" t="s">
        <v>27</v>
      </c>
      <c r="K206" s="63"/>
      <c r="L206" s="63"/>
      <c r="M206" s="63"/>
      <c r="N206" s="63"/>
      <c r="O206" s="63"/>
      <c r="P206" s="63"/>
      <c r="Q206" s="63"/>
      <c r="R206" s="63"/>
      <c r="S206" s="63"/>
      <c r="T206" s="63"/>
      <c r="U206" s="63"/>
      <c r="V206" s="63"/>
      <c r="W206" s="63"/>
      <c r="X206" s="63"/>
    </row>
    <row r="207" spans="1:24" ht="50.1" customHeight="1" thickBot="1">
      <c r="A207" s="174" t="s">
        <v>281</v>
      </c>
      <c r="B207" s="174" t="s">
        <v>29</v>
      </c>
      <c r="C207" s="174" t="s">
        <v>30</v>
      </c>
      <c r="D207" s="174" t="s">
        <v>1462</v>
      </c>
      <c r="E207" s="174" t="s">
        <v>283</v>
      </c>
      <c r="F207" s="174"/>
      <c r="G207" s="175" t="s">
        <v>35</v>
      </c>
      <c r="H207" s="176" t="s">
        <v>12</v>
      </c>
      <c r="I207" s="269">
        <v>43095</v>
      </c>
      <c r="J207" s="150"/>
      <c r="K207" s="63"/>
      <c r="L207" s="63"/>
      <c r="M207" s="63"/>
      <c r="N207" s="63"/>
      <c r="O207" s="63"/>
      <c r="P207" s="63"/>
      <c r="Q207" s="63"/>
      <c r="R207" s="63"/>
      <c r="S207" s="63"/>
      <c r="T207" s="63"/>
      <c r="U207" s="63"/>
      <c r="V207" s="63"/>
      <c r="W207" s="63"/>
      <c r="X207" s="63"/>
    </row>
    <row r="208" spans="1:24" ht="50.1" customHeight="1">
      <c r="A208" s="177" t="s">
        <v>284</v>
      </c>
      <c r="B208" s="177" t="s">
        <v>29</v>
      </c>
      <c r="C208" s="177" t="s">
        <v>30</v>
      </c>
      <c r="D208" s="177" t="s">
        <v>1463</v>
      </c>
      <c r="E208" s="177" t="s">
        <v>285</v>
      </c>
      <c r="F208" s="177"/>
      <c r="G208" s="178" t="s">
        <v>35</v>
      </c>
      <c r="H208" s="176" t="s">
        <v>12</v>
      </c>
      <c r="I208" s="276">
        <v>43095</v>
      </c>
      <c r="J208" s="179"/>
      <c r="K208" s="63"/>
      <c r="L208" s="63"/>
      <c r="M208" s="63"/>
      <c r="N208" s="63"/>
      <c r="O208" s="63"/>
      <c r="P208" s="63"/>
      <c r="Q208" s="63"/>
      <c r="R208" s="63"/>
      <c r="S208" s="63"/>
      <c r="T208" s="63"/>
      <c r="U208" s="63"/>
      <c r="V208" s="63"/>
      <c r="W208" s="63"/>
      <c r="X208" s="63"/>
    </row>
    <row r="209" spans="1:24" ht="50.1" customHeight="1" thickBot="1">
      <c r="A209" s="174" t="s">
        <v>286</v>
      </c>
      <c r="B209" s="174" t="s">
        <v>29</v>
      </c>
      <c r="C209" s="174" t="s">
        <v>30</v>
      </c>
      <c r="D209" s="174" t="s">
        <v>207</v>
      </c>
      <c r="E209" s="180" t="s">
        <v>287</v>
      </c>
      <c r="F209" s="164" t="str">
        <f>HYPERLINK("[Tagerim.xlsx]RM_RE_AR_10",RM_RE_AR_10)</f>
        <v>RM_RE_AR_10</v>
      </c>
      <c r="G209" s="181" t="s">
        <v>35</v>
      </c>
      <c r="H209" s="176" t="s">
        <v>12</v>
      </c>
      <c r="I209" s="269">
        <v>43095</v>
      </c>
      <c r="J209" s="150"/>
      <c r="K209" s="63"/>
      <c r="L209" s="63"/>
      <c r="M209" s="63"/>
      <c r="N209" s="63"/>
      <c r="O209" s="63"/>
      <c r="P209" s="63"/>
      <c r="Q209" s="63"/>
      <c r="R209" s="63"/>
      <c r="S209" s="63"/>
      <c r="T209" s="63"/>
      <c r="U209" s="63"/>
      <c r="V209" s="63"/>
      <c r="W209" s="63"/>
      <c r="X209" s="63"/>
    </row>
    <row r="210" spans="1:24" ht="50.1" customHeight="1">
      <c r="A210" s="177" t="s">
        <v>289</v>
      </c>
      <c r="B210" s="177" t="s">
        <v>29</v>
      </c>
      <c r="C210" s="177" t="s">
        <v>30</v>
      </c>
      <c r="D210" s="177" t="s">
        <v>216</v>
      </c>
      <c r="E210" s="182" t="s">
        <v>290</v>
      </c>
      <c r="F210" s="165" t="str">
        <f>HYPERLINK("[Tagerim.xlsx]RM_RE_AR_20",RM_RE_AR_20)</f>
        <v>RM_RE_AR_10</v>
      </c>
      <c r="G210" s="183" t="s">
        <v>35</v>
      </c>
      <c r="H210" s="176" t="s">
        <v>13</v>
      </c>
      <c r="I210" s="276">
        <v>43095</v>
      </c>
      <c r="J210" s="179" t="s">
        <v>1451</v>
      </c>
      <c r="K210" s="63"/>
      <c r="L210" s="63"/>
      <c r="M210" s="63"/>
      <c r="N210" s="63"/>
      <c r="O210" s="63"/>
      <c r="P210" s="63"/>
      <c r="Q210" s="63"/>
      <c r="R210" s="63"/>
      <c r="S210" s="63"/>
      <c r="T210" s="63"/>
      <c r="U210" s="63"/>
      <c r="V210" s="63"/>
      <c r="W210" s="63"/>
      <c r="X210" s="63"/>
    </row>
    <row r="211" spans="1:24" ht="15">
      <c r="A211" s="43"/>
      <c r="B211" s="43"/>
      <c r="C211" s="43"/>
      <c r="D211" s="43"/>
      <c r="E211" s="43"/>
      <c r="F211" s="43"/>
      <c r="G211" s="28"/>
      <c r="H211" s="29"/>
      <c r="I211" s="43"/>
      <c r="J211" s="43"/>
      <c r="K211" s="63"/>
      <c r="L211" s="63"/>
      <c r="M211" s="63"/>
      <c r="N211" s="63"/>
      <c r="O211" s="63"/>
      <c r="P211" s="63"/>
      <c r="Q211" s="63"/>
      <c r="R211" s="63"/>
      <c r="S211" s="63"/>
      <c r="T211" s="63"/>
      <c r="U211" s="63"/>
      <c r="V211" s="63"/>
      <c r="W211" s="63"/>
      <c r="X211" s="63"/>
    </row>
    <row r="212" spans="1:24" ht="15">
      <c r="A212" s="43"/>
      <c r="B212" s="43"/>
      <c r="C212" s="43"/>
      <c r="D212" s="43"/>
      <c r="E212" s="43"/>
      <c r="F212" s="43"/>
      <c r="G212" s="28"/>
      <c r="H212" s="29"/>
      <c r="I212" s="43"/>
      <c r="J212" s="43"/>
      <c r="K212" s="63"/>
      <c r="L212" s="63"/>
      <c r="M212" s="63"/>
      <c r="N212" s="63"/>
      <c r="O212" s="63"/>
      <c r="P212" s="63"/>
      <c r="Q212" s="63"/>
      <c r="R212" s="63"/>
      <c r="S212" s="63"/>
      <c r="T212" s="63"/>
      <c r="U212" s="63"/>
      <c r="V212" s="63"/>
      <c r="W212" s="63"/>
      <c r="X212" s="63"/>
    </row>
    <row r="213" spans="1:24" ht="26.25">
      <c r="A213" s="496" t="s">
        <v>296</v>
      </c>
      <c r="K213" s="63"/>
      <c r="L213" s="63"/>
      <c r="M213" s="63"/>
      <c r="N213" s="63"/>
      <c r="O213" s="63"/>
      <c r="P213" s="63"/>
      <c r="Q213" s="63"/>
      <c r="R213" s="63"/>
      <c r="S213" s="63"/>
      <c r="T213" s="63"/>
      <c r="U213" s="63"/>
      <c r="V213" s="63"/>
      <c r="W213" s="63"/>
      <c r="X213" s="63"/>
    </row>
    <row r="214" spans="1:24">
      <c r="K214" s="63"/>
      <c r="L214" s="63"/>
      <c r="M214" s="63"/>
      <c r="N214" s="63"/>
      <c r="O214" s="63"/>
      <c r="P214" s="63"/>
      <c r="Q214" s="63"/>
      <c r="R214" s="63"/>
      <c r="S214" s="63"/>
      <c r="T214" s="63"/>
      <c r="U214" s="63"/>
      <c r="V214" s="63"/>
      <c r="W214" s="63"/>
      <c r="X214" s="63"/>
    </row>
    <row r="215" spans="1:24" ht="23.45" customHeight="1">
      <c r="A215" s="14" t="s">
        <v>17</v>
      </c>
      <c r="B215" s="14" t="s">
        <v>19</v>
      </c>
      <c r="C215" s="14" t="s">
        <v>20</v>
      </c>
      <c r="D215" s="14" t="s">
        <v>21</v>
      </c>
      <c r="E215" s="14" t="s">
        <v>22</v>
      </c>
      <c r="F215" s="14" t="s">
        <v>23</v>
      </c>
      <c r="G215" s="14" t="s">
        <v>24</v>
      </c>
      <c r="H215" s="14" t="s">
        <v>25</v>
      </c>
      <c r="I215" s="14" t="s">
        <v>26</v>
      </c>
      <c r="J215" s="14" t="s">
        <v>27</v>
      </c>
      <c r="K215" s="63"/>
      <c r="L215" s="63"/>
      <c r="M215" s="63"/>
      <c r="N215" s="63"/>
      <c r="O215" s="63"/>
      <c r="P215" s="63"/>
      <c r="Q215" s="63"/>
      <c r="R215" s="63"/>
      <c r="S215" s="63"/>
      <c r="T215" s="63"/>
      <c r="U215" s="63"/>
      <c r="V215" s="63"/>
      <c r="W215" s="63"/>
      <c r="X215" s="63"/>
    </row>
    <row r="216" spans="1:24" ht="50.1" customHeight="1">
      <c r="A216" s="174" t="s">
        <v>300</v>
      </c>
      <c r="B216" s="174" t="s">
        <v>29</v>
      </c>
      <c r="C216" s="174" t="s">
        <v>30</v>
      </c>
      <c r="D216" s="174" t="s">
        <v>1462</v>
      </c>
      <c r="E216" s="174" t="s">
        <v>283</v>
      </c>
      <c r="F216" s="174"/>
      <c r="G216" s="175" t="s">
        <v>35</v>
      </c>
      <c r="H216" s="176" t="s">
        <v>12</v>
      </c>
      <c r="I216" s="297">
        <v>43095</v>
      </c>
      <c r="J216" s="150"/>
      <c r="K216" s="63"/>
      <c r="L216" s="63"/>
      <c r="M216" s="63"/>
      <c r="N216" s="63"/>
      <c r="O216" s="63"/>
      <c r="P216" s="63"/>
      <c r="Q216" s="63"/>
      <c r="R216" s="63"/>
      <c r="S216" s="63"/>
      <c r="T216" s="63"/>
      <c r="U216" s="63"/>
      <c r="V216" s="63"/>
      <c r="W216" s="63"/>
      <c r="X216" s="63"/>
    </row>
    <row r="217" spans="1:24" ht="50.1" customHeight="1">
      <c r="A217" s="177" t="s">
        <v>301</v>
      </c>
      <c r="B217" s="177" t="s">
        <v>29</v>
      </c>
      <c r="C217" s="177" t="s">
        <v>30</v>
      </c>
      <c r="D217" s="177" t="s">
        <v>59</v>
      </c>
      <c r="E217" s="177" t="s">
        <v>239</v>
      </c>
      <c r="F217" s="177"/>
      <c r="G217" s="178" t="s">
        <v>35</v>
      </c>
      <c r="H217" s="176" t="s">
        <v>12</v>
      </c>
      <c r="I217" s="276">
        <v>43095</v>
      </c>
      <c r="J217" s="179"/>
      <c r="K217" s="63"/>
      <c r="L217" s="63"/>
      <c r="M217" s="63"/>
      <c r="N217" s="63"/>
      <c r="O217" s="63"/>
      <c r="P217" s="63"/>
      <c r="Q217" s="63"/>
      <c r="R217" s="63"/>
      <c r="S217" s="63"/>
      <c r="T217" s="63"/>
      <c r="U217" s="63"/>
      <c r="V217" s="63"/>
      <c r="W217" s="63"/>
      <c r="X217" s="63"/>
    </row>
    <row r="218" spans="1:24" ht="50.1" customHeight="1">
      <c r="A218" s="174" t="s">
        <v>304</v>
      </c>
      <c r="B218" s="174" t="s">
        <v>29</v>
      </c>
      <c r="C218" s="174" t="s">
        <v>30</v>
      </c>
      <c r="D218" s="174" t="s">
        <v>306</v>
      </c>
      <c r="E218" s="180" t="s">
        <v>307</v>
      </c>
      <c r="F218" s="190" t="str">
        <f>HYPERLINK("[Tagerim.xlsx]RM_RE_MR_10",RM_RE_MR_10)</f>
        <v>RM_RE_MR_10</v>
      </c>
      <c r="G218" s="181" t="s">
        <v>35</v>
      </c>
      <c r="H218" s="176" t="s">
        <v>12</v>
      </c>
      <c r="I218" s="297">
        <v>43095</v>
      </c>
      <c r="J218" s="150"/>
      <c r="K218" s="63"/>
      <c r="L218" s="63"/>
      <c r="M218" s="63"/>
      <c r="N218" s="63"/>
      <c r="O218" s="63"/>
      <c r="P218" s="63"/>
      <c r="Q218" s="63"/>
      <c r="R218" s="63"/>
      <c r="S218" s="63"/>
      <c r="T218" s="63"/>
      <c r="U218" s="63"/>
      <c r="V218" s="63"/>
      <c r="W218" s="63"/>
      <c r="X218" s="63"/>
    </row>
    <row r="219" spans="1:24" ht="50.1" customHeight="1">
      <c r="A219" s="177" t="s">
        <v>309</v>
      </c>
      <c r="B219" s="177" t="s">
        <v>29</v>
      </c>
      <c r="C219" s="177" t="s">
        <v>30</v>
      </c>
      <c r="D219" s="177" t="s">
        <v>216</v>
      </c>
      <c r="E219" s="182" t="s">
        <v>250</v>
      </c>
      <c r="F219" s="165" t="str">
        <f>HYPERLINK("[Tagerim.xlsx]RM_RE_MR_20",RM_RE_MR_20)</f>
        <v>RM_RE_MR_20</v>
      </c>
      <c r="G219" s="183" t="s">
        <v>35</v>
      </c>
      <c r="H219" s="176" t="s">
        <v>13</v>
      </c>
      <c r="I219" s="276">
        <v>43095</v>
      </c>
      <c r="J219" s="179" t="s">
        <v>1464</v>
      </c>
      <c r="K219" s="63"/>
      <c r="L219" s="63"/>
      <c r="M219" s="63"/>
      <c r="N219" s="63"/>
      <c r="O219" s="63"/>
      <c r="P219" s="63"/>
      <c r="Q219" s="63"/>
      <c r="R219" s="63"/>
      <c r="S219" s="63"/>
      <c r="T219" s="63"/>
      <c r="U219" s="63"/>
      <c r="V219" s="63"/>
      <c r="W219" s="63"/>
      <c r="X219" s="63"/>
    </row>
    <row r="220" spans="1:24" ht="15">
      <c r="A220" s="43"/>
      <c r="B220" s="43"/>
      <c r="C220" s="43"/>
      <c r="D220" s="43"/>
      <c r="E220" s="43"/>
      <c r="F220" s="43"/>
      <c r="G220" s="28"/>
      <c r="H220" s="29"/>
      <c r="I220" s="43"/>
      <c r="J220" s="43"/>
      <c r="K220" s="63"/>
      <c r="L220" s="63"/>
      <c r="M220" s="63"/>
      <c r="N220" s="63"/>
      <c r="O220" s="63"/>
      <c r="P220" s="63"/>
      <c r="Q220" s="63"/>
      <c r="R220" s="63"/>
      <c r="S220" s="63"/>
      <c r="T220" s="63"/>
      <c r="U220" s="63"/>
      <c r="V220" s="63"/>
      <c r="W220" s="63"/>
      <c r="X220" s="63"/>
    </row>
    <row r="221" spans="1:24" ht="15">
      <c r="A221" s="43"/>
      <c r="B221" s="43"/>
      <c r="C221" s="43"/>
      <c r="D221" s="43"/>
      <c r="E221" s="43"/>
      <c r="F221" s="43"/>
      <c r="G221" s="28"/>
      <c r="H221" s="29"/>
      <c r="I221" s="43"/>
      <c r="J221" s="43"/>
      <c r="K221" s="63"/>
      <c r="L221" s="63"/>
      <c r="M221" s="63"/>
      <c r="N221" s="63"/>
      <c r="O221" s="63"/>
      <c r="P221" s="63"/>
      <c r="Q221" s="63"/>
      <c r="R221" s="63"/>
      <c r="S221" s="63"/>
      <c r="T221" s="63"/>
      <c r="U221" s="63"/>
      <c r="V221" s="63"/>
      <c r="W221" s="63"/>
      <c r="X221" s="63"/>
    </row>
    <row r="222" spans="1:24" ht="26.25">
      <c r="A222" s="496" t="s">
        <v>310</v>
      </c>
      <c r="K222" s="63"/>
      <c r="L222" s="63"/>
      <c r="M222" s="63"/>
      <c r="N222" s="63"/>
      <c r="O222" s="63"/>
      <c r="P222" s="63"/>
      <c r="Q222" s="63"/>
      <c r="R222" s="63"/>
      <c r="S222" s="63"/>
      <c r="T222" s="63"/>
      <c r="U222" s="63"/>
      <c r="V222" s="63"/>
      <c r="W222" s="63"/>
      <c r="X222" s="63"/>
    </row>
    <row r="223" spans="1:24">
      <c r="K223" s="63"/>
      <c r="L223" s="63"/>
      <c r="M223" s="63"/>
      <c r="N223" s="63"/>
      <c r="O223" s="63"/>
      <c r="P223" s="63"/>
      <c r="Q223" s="63"/>
      <c r="R223" s="63"/>
      <c r="S223" s="63"/>
      <c r="T223" s="63"/>
      <c r="U223" s="63"/>
      <c r="V223" s="63"/>
      <c r="W223" s="63"/>
      <c r="X223" s="63"/>
    </row>
    <row r="224" spans="1:24" ht="23.45" customHeight="1">
      <c r="A224" s="14" t="s">
        <v>17</v>
      </c>
      <c r="B224" s="14" t="s">
        <v>19</v>
      </c>
      <c r="C224" s="14" t="s">
        <v>20</v>
      </c>
      <c r="D224" s="14" t="s">
        <v>21</v>
      </c>
      <c r="E224" s="14" t="s">
        <v>22</v>
      </c>
      <c r="F224" s="14" t="s">
        <v>23</v>
      </c>
      <c r="G224" s="14" t="s">
        <v>24</v>
      </c>
      <c r="H224" s="14" t="s">
        <v>25</v>
      </c>
      <c r="I224" s="14" t="s">
        <v>26</v>
      </c>
      <c r="J224" s="14" t="s">
        <v>27</v>
      </c>
      <c r="K224" s="63"/>
      <c r="L224" s="63"/>
      <c r="M224" s="63"/>
      <c r="N224" s="63"/>
      <c r="O224" s="63"/>
      <c r="P224" s="63"/>
      <c r="Q224" s="63"/>
      <c r="R224" s="63"/>
      <c r="S224" s="63"/>
      <c r="T224" s="63"/>
      <c r="U224" s="63"/>
      <c r="V224" s="63"/>
      <c r="W224" s="63"/>
      <c r="X224" s="63"/>
    </row>
    <row r="225" spans="1:24" ht="68.25" customHeight="1">
      <c r="A225" s="174" t="s">
        <v>314</v>
      </c>
      <c r="B225" s="174" t="s">
        <v>29</v>
      </c>
      <c r="C225" s="174" t="s">
        <v>30</v>
      </c>
      <c r="D225" s="174" t="s">
        <v>282</v>
      </c>
      <c r="E225" s="174" t="s">
        <v>283</v>
      </c>
      <c r="F225" s="174"/>
      <c r="G225" s="175" t="s">
        <v>35</v>
      </c>
      <c r="H225" s="176" t="s">
        <v>12</v>
      </c>
      <c r="I225" s="297">
        <v>43095</v>
      </c>
      <c r="J225" s="150"/>
      <c r="K225" s="63"/>
      <c r="L225" s="63"/>
      <c r="M225" s="63"/>
      <c r="N225" s="63"/>
      <c r="O225" s="63"/>
      <c r="P225" s="63"/>
      <c r="Q225" s="63"/>
      <c r="R225" s="63"/>
      <c r="S225" s="63"/>
      <c r="T225" s="63"/>
      <c r="U225" s="63"/>
      <c r="V225" s="63"/>
      <c r="W225" s="63"/>
      <c r="X225" s="63"/>
    </row>
    <row r="226" spans="1:24" ht="47.25" customHeight="1">
      <c r="A226" s="177" t="s">
        <v>318</v>
      </c>
      <c r="B226" s="177" t="s">
        <v>29</v>
      </c>
      <c r="C226" s="177" t="s">
        <v>30</v>
      </c>
      <c r="D226" s="177" t="s">
        <v>258</v>
      </c>
      <c r="E226" s="182" t="s">
        <v>259</v>
      </c>
      <c r="F226" s="200" t="str">
        <f>HYPERLINK("[Tagerim.xlsx]RM_RE_SR_10",RM_RE_SR_10)</f>
        <v>RM_RE_SR_10</v>
      </c>
      <c r="G226" s="183" t="s">
        <v>35</v>
      </c>
      <c r="H226" s="176" t="s">
        <v>13</v>
      </c>
      <c r="I226" s="276">
        <v>43095</v>
      </c>
      <c r="J226" s="179" t="s">
        <v>1451</v>
      </c>
      <c r="K226" s="63"/>
      <c r="L226" s="63"/>
      <c r="M226" s="63"/>
      <c r="N226" s="63"/>
      <c r="O226" s="63"/>
      <c r="P226" s="63"/>
      <c r="Q226" s="63"/>
      <c r="R226" s="63"/>
      <c r="S226" s="63"/>
      <c r="T226" s="63"/>
      <c r="U226" s="63"/>
      <c r="V226" s="63"/>
      <c r="W226" s="63"/>
      <c r="X226" s="63"/>
    </row>
    <row r="227" spans="1:24" ht="15">
      <c r="A227" s="43"/>
      <c r="B227" s="43"/>
      <c r="C227" s="43"/>
      <c r="D227" s="43"/>
      <c r="E227" s="43"/>
      <c r="F227" s="43"/>
      <c r="G227" s="28"/>
      <c r="H227" s="29"/>
      <c r="I227" s="43"/>
      <c r="J227" s="43"/>
      <c r="K227" s="63"/>
      <c r="L227" s="63"/>
      <c r="M227" s="63"/>
      <c r="N227" s="63"/>
      <c r="O227" s="63"/>
      <c r="P227" s="63"/>
      <c r="Q227" s="63"/>
      <c r="R227" s="63"/>
      <c r="S227" s="63"/>
      <c r="T227" s="63"/>
      <c r="U227" s="63"/>
      <c r="V227" s="63"/>
      <c r="W227" s="63"/>
      <c r="X227" s="63"/>
    </row>
    <row r="228" spans="1:24" ht="15">
      <c r="A228" s="43"/>
      <c r="B228" s="43"/>
      <c r="C228" s="43"/>
      <c r="D228" s="43"/>
      <c r="E228" s="43"/>
      <c r="F228" s="43"/>
      <c r="G228" s="28"/>
      <c r="H228" s="29"/>
      <c r="I228" s="43"/>
      <c r="J228" s="43"/>
      <c r="K228" s="63"/>
      <c r="L228" s="63"/>
      <c r="M228" s="63"/>
      <c r="N228" s="63"/>
      <c r="O228" s="63"/>
      <c r="P228" s="63"/>
      <c r="Q228" s="63"/>
      <c r="R228" s="63"/>
      <c r="S228" s="63"/>
      <c r="T228" s="63"/>
      <c r="U228" s="63"/>
      <c r="V228" s="63"/>
      <c r="W228" s="63"/>
      <c r="X228" s="63"/>
    </row>
    <row r="229" spans="1:24" ht="26.25">
      <c r="A229" s="496" t="s">
        <v>322</v>
      </c>
      <c r="K229" s="63"/>
      <c r="L229" s="63"/>
      <c r="M229" s="63"/>
      <c r="N229" s="63"/>
      <c r="O229" s="63"/>
      <c r="P229" s="63"/>
      <c r="Q229" s="63"/>
      <c r="R229" s="63"/>
      <c r="S229" s="63"/>
      <c r="T229" s="63"/>
      <c r="U229" s="63"/>
      <c r="V229" s="63"/>
      <c r="W229" s="63"/>
      <c r="X229" s="63"/>
    </row>
    <row r="230" spans="1:24">
      <c r="K230" s="63"/>
      <c r="L230" s="63"/>
      <c r="M230" s="63"/>
      <c r="N230" s="63"/>
      <c r="O230" s="63"/>
      <c r="P230" s="63"/>
      <c r="Q230" s="63"/>
      <c r="R230" s="63"/>
      <c r="S230" s="63"/>
      <c r="T230" s="63"/>
      <c r="U230" s="63"/>
      <c r="V230" s="63"/>
      <c r="W230" s="63"/>
      <c r="X230" s="63"/>
    </row>
    <row r="231" spans="1:24" ht="22.9" customHeight="1">
      <c r="A231" s="169" t="s">
        <v>17</v>
      </c>
      <c r="B231" s="169" t="s">
        <v>19</v>
      </c>
      <c r="C231" s="169" t="s">
        <v>20</v>
      </c>
      <c r="D231" s="169" t="s">
        <v>21</v>
      </c>
      <c r="E231" s="169" t="s">
        <v>22</v>
      </c>
      <c r="F231" s="169" t="s">
        <v>23</v>
      </c>
      <c r="G231" s="169" t="s">
        <v>24</v>
      </c>
      <c r="H231" s="169" t="s">
        <v>25</v>
      </c>
      <c r="I231" s="169" t="s">
        <v>26</v>
      </c>
      <c r="J231" s="169" t="s">
        <v>27</v>
      </c>
      <c r="K231" s="63"/>
      <c r="L231" s="63"/>
      <c r="M231" s="63"/>
      <c r="N231" s="63"/>
      <c r="O231" s="63"/>
      <c r="P231" s="63"/>
      <c r="Q231" s="63"/>
      <c r="R231" s="63"/>
      <c r="S231" s="63"/>
      <c r="T231" s="63"/>
      <c r="U231" s="63"/>
      <c r="V231" s="63"/>
      <c r="W231" s="63"/>
      <c r="X231" s="63"/>
    </row>
    <row r="232" spans="1:24" ht="45.75" customHeight="1" thickBot="1">
      <c r="A232" s="150" t="s">
        <v>325</v>
      </c>
      <c r="B232" s="150" t="s">
        <v>29</v>
      </c>
      <c r="C232" s="150" t="s">
        <v>30</v>
      </c>
      <c r="D232" s="150" t="s">
        <v>1465</v>
      </c>
      <c r="E232" s="150" t="s">
        <v>196</v>
      </c>
      <c r="F232" s="150"/>
      <c r="G232" s="175" t="s">
        <v>35</v>
      </c>
      <c r="H232" s="176" t="s">
        <v>12</v>
      </c>
      <c r="I232" s="269">
        <v>43095</v>
      </c>
      <c r="J232" s="150"/>
      <c r="K232" s="63"/>
      <c r="L232" s="63"/>
      <c r="M232" s="63"/>
      <c r="N232" s="63"/>
      <c r="O232" s="63"/>
      <c r="P232" s="63"/>
      <c r="Q232" s="63"/>
      <c r="R232" s="63"/>
      <c r="S232" s="63"/>
      <c r="T232" s="63"/>
      <c r="U232" s="63"/>
      <c r="V232" s="63"/>
      <c r="W232" s="63"/>
      <c r="X232" s="63"/>
    </row>
    <row r="233" spans="1:24" ht="71.25">
      <c r="A233" s="179" t="s">
        <v>775</v>
      </c>
      <c r="B233" s="179" t="s">
        <v>29</v>
      </c>
      <c r="C233" s="179" t="s">
        <v>30</v>
      </c>
      <c r="D233" s="179" t="s">
        <v>265</v>
      </c>
      <c r="E233" s="179" t="s">
        <v>266</v>
      </c>
      <c r="F233" s="179"/>
      <c r="G233" s="178" t="s">
        <v>35</v>
      </c>
      <c r="H233" s="176" t="s">
        <v>12</v>
      </c>
      <c r="I233" s="276">
        <v>43095</v>
      </c>
      <c r="J233" s="179"/>
      <c r="K233" s="63"/>
      <c r="L233" s="63"/>
      <c r="M233" s="63"/>
      <c r="N233" s="63"/>
      <c r="O233" s="63"/>
      <c r="P233" s="63"/>
      <c r="Q233" s="63"/>
      <c r="R233" s="63"/>
      <c r="S233" s="63"/>
      <c r="T233" s="63"/>
      <c r="U233" s="63"/>
      <c r="V233" s="63"/>
      <c r="W233" s="63"/>
      <c r="X233" s="63"/>
    </row>
    <row r="234" spans="1:24" ht="72" thickBot="1">
      <c r="A234" s="150" t="s">
        <v>330</v>
      </c>
      <c r="B234" s="150" t="s">
        <v>29</v>
      </c>
      <c r="C234" s="150" t="s">
        <v>30</v>
      </c>
      <c r="D234" s="150" t="s">
        <v>124</v>
      </c>
      <c r="E234" s="150" t="s">
        <v>272</v>
      </c>
      <c r="F234" s="150"/>
      <c r="G234" s="175" t="s">
        <v>35</v>
      </c>
      <c r="H234" s="176" t="s">
        <v>13</v>
      </c>
      <c r="I234" s="269">
        <v>43095</v>
      </c>
      <c r="J234" s="202" t="s">
        <v>1455</v>
      </c>
      <c r="K234" s="63"/>
      <c r="L234" s="63"/>
      <c r="M234" s="63"/>
      <c r="N234" s="63"/>
      <c r="O234" s="63"/>
      <c r="P234" s="63"/>
      <c r="Q234" s="63"/>
      <c r="R234" s="63"/>
      <c r="S234" s="63"/>
      <c r="T234" s="63"/>
      <c r="U234" s="63"/>
      <c r="V234" s="63"/>
      <c r="W234" s="63"/>
      <c r="X234" s="63"/>
    </row>
    <row r="235" spans="1:24" ht="15">
      <c r="A235" s="43"/>
      <c r="B235" s="43"/>
      <c r="C235" s="43"/>
      <c r="D235" s="43"/>
      <c r="E235" s="43"/>
      <c r="F235" s="43"/>
      <c r="G235" s="28"/>
      <c r="H235" s="29"/>
      <c r="I235" s="43"/>
      <c r="J235" s="43"/>
      <c r="K235" s="63"/>
      <c r="L235" s="63"/>
      <c r="M235" s="63"/>
      <c r="N235" s="63"/>
      <c r="O235" s="63"/>
      <c r="P235" s="63"/>
      <c r="Q235" s="63"/>
      <c r="R235" s="63"/>
      <c r="S235" s="63"/>
      <c r="T235" s="63"/>
      <c r="U235" s="63"/>
      <c r="V235" s="63"/>
      <c r="W235" s="63"/>
      <c r="X235" s="63"/>
    </row>
    <row r="236" spans="1:24" ht="15">
      <c r="A236" s="43"/>
      <c r="B236" s="43"/>
      <c r="C236" s="43"/>
      <c r="D236" s="43"/>
      <c r="E236" s="43"/>
      <c r="F236" s="43"/>
      <c r="G236" s="28"/>
      <c r="H236" s="29"/>
      <c r="I236" s="43"/>
      <c r="J236" s="43"/>
      <c r="K236" s="63"/>
      <c r="L236" s="63"/>
      <c r="M236" s="63"/>
      <c r="N236" s="63"/>
      <c r="O236" s="63"/>
      <c r="P236" s="63"/>
      <c r="Q236" s="63"/>
      <c r="R236" s="63"/>
      <c r="S236" s="63"/>
      <c r="T236" s="63"/>
      <c r="U236" s="63"/>
      <c r="V236" s="63"/>
      <c r="W236" s="63"/>
      <c r="X236" s="63"/>
    </row>
    <row r="237" spans="1:24" ht="15">
      <c r="A237" s="43"/>
      <c r="B237" s="43"/>
      <c r="C237" s="43"/>
      <c r="D237" s="43"/>
      <c r="E237" s="43"/>
      <c r="F237" s="43"/>
      <c r="G237" s="28"/>
      <c r="H237" s="29"/>
      <c r="I237" s="43"/>
      <c r="J237" s="43"/>
      <c r="K237" s="63"/>
      <c r="L237" s="63"/>
      <c r="M237" s="63"/>
      <c r="N237" s="63"/>
      <c r="O237" s="63"/>
      <c r="P237" s="63"/>
      <c r="Q237" s="63"/>
      <c r="R237" s="63"/>
      <c r="S237" s="63"/>
      <c r="T237" s="63"/>
      <c r="U237" s="63"/>
      <c r="V237" s="63"/>
      <c r="W237" s="63"/>
      <c r="X237" s="63"/>
    </row>
    <row r="238" spans="1:24" ht="30">
      <c r="A238" s="8" t="s">
        <v>334</v>
      </c>
      <c r="B238" s="62"/>
      <c r="C238" s="62"/>
      <c r="D238" s="62"/>
      <c r="E238" s="62"/>
      <c r="F238" s="62"/>
      <c r="G238" s="62"/>
      <c r="H238" s="62"/>
      <c r="I238" s="62"/>
      <c r="J238" s="62"/>
      <c r="K238" s="63"/>
      <c r="L238" s="63"/>
      <c r="M238" s="63"/>
      <c r="N238" s="63"/>
      <c r="O238" s="63"/>
      <c r="P238" s="63"/>
      <c r="Q238" s="63"/>
      <c r="R238" s="63"/>
      <c r="S238" s="63"/>
      <c r="T238" s="63"/>
      <c r="U238" s="63"/>
      <c r="V238" s="63"/>
      <c r="W238" s="63"/>
      <c r="X238" s="63"/>
    </row>
    <row r="239" spans="1:24" ht="15">
      <c r="A239" s="43"/>
      <c r="B239" s="43"/>
      <c r="C239" s="43"/>
      <c r="D239" s="43"/>
      <c r="E239" s="43"/>
      <c r="F239" s="43"/>
      <c r="G239" s="28"/>
      <c r="H239" s="29"/>
      <c r="I239" s="43"/>
      <c r="J239" s="43"/>
      <c r="K239" s="63"/>
      <c r="L239" s="63"/>
      <c r="M239" s="63"/>
      <c r="N239" s="63"/>
      <c r="O239" s="63"/>
      <c r="P239" s="63"/>
      <c r="Q239" s="63"/>
      <c r="R239" s="63"/>
      <c r="S239" s="63"/>
      <c r="T239" s="63"/>
      <c r="U239" s="63"/>
      <c r="V239" s="63"/>
      <c r="W239" s="63"/>
      <c r="X239" s="63"/>
    </row>
    <row r="240" spans="1:24" ht="17.45" customHeight="1">
      <c r="A240" s="410" t="s">
        <v>7</v>
      </c>
      <c r="B240" s="410"/>
      <c r="C240" s="410" t="s">
        <v>12</v>
      </c>
      <c r="D240" s="410"/>
      <c r="E240" s="410" t="s">
        <v>13</v>
      </c>
      <c r="F240" s="410" t="s">
        <v>14</v>
      </c>
      <c r="G240" s="410"/>
      <c r="H240" s="410"/>
      <c r="I240" s="410" t="s">
        <v>15</v>
      </c>
      <c r="J240" s="410"/>
      <c r="K240" s="63"/>
      <c r="L240" s="63"/>
      <c r="M240" s="63"/>
      <c r="N240" s="63"/>
      <c r="O240" s="63"/>
      <c r="P240" s="63"/>
      <c r="Q240" s="63"/>
      <c r="R240" s="63"/>
      <c r="S240" s="63"/>
      <c r="T240" s="63"/>
      <c r="U240" s="63"/>
      <c r="V240" s="63"/>
      <c r="W240" s="63"/>
      <c r="X240" s="63"/>
    </row>
    <row r="241" spans="1:24">
      <c r="A241" s="410"/>
      <c r="B241" s="410"/>
      <c r="C241" s="410"/>
      <c r="D241" s="410"/>
      <c r="E241" s="410"/>
      <c r="F241" s="410"/>
      <c r="G241" s="410"/>
      <c r="H241" s="410"/>
      <c r="I241" s="410"/>
      <c r="J241" s="410"/>
      <c r="K241" s="63"/>
      <c r="L241" s="63"/>
      <c r="M241" s="63"/>
      <c r="N241" s="63"/>
      <c r="O241" s="63"/>
      <c r="P241" s="63"/>
      <c r="Q241" s="63"/>
      <c r="R241" s="63"/>
      <c r="S241" s="63"/>
      <c r="T241" s="63"/>
      <c r="U241" s="63"/>
      <c r="V241" s="63"/>
      <c r="W241" s="63"/>
      <c r="X241" s="63"/>
    </row>
    <row r="242" spans="1:24" ht="17.45" customHeight="1">
      <c r="A242" s="385">
        <f>COUNTIFS(A247:A10479,"UC_AU_*",H247:H10479,"A tester")</f>
        <v>4</v>
      </c>
      <c r="B242" s="386"/>
      <c r="C242" s="385">
        <f>COUNTIFS(A247:A10479,"UC_AU_*",H247:H10479,"Succès")</f>
        <v>2</v>
      </c>
      <c r="D242" s="386"/>
      <c r="E242" s="416">
        <f>COUNTIFS(A247:A10479,"UC_AU_*",H247:H10479,"Echec")</f>
        <v>5</v>
      </c>
      <c r="F242" s="397">
        <f>(C242+E242)/SUM(A242:E242)</f>
        <v>0.63636363636363635</v>
      </c>
      <c r="G242" s="422"/>
      <c r="H242" s="398"/>
      <c r="I242" s="418">
        <f>C242/SUM(A242:E243)</f>
        <v>0.18181818181818182</v>
      </c>
      <c r="J242" s="419"/>
      <c r="K242" s="63"/>
      <c r="L242" s="63"/>
      <c r="M242" s="63"/>
      <c r="N242" s="63"/>
      <c r="O242" s="63"/>
      <c r="P242" s="63"/>
      <c r="Q242" s="63"/>
      <c r="R242" s="63"/>
      <c r="S242" s="63"/>
      <c r="T242" s="63"/>
      <c r="U242" s="63"/>
      <c r="V242" s="63"/>
      <c r="W242" s="63"/>
      <c r="X242" s="63"/>
    </row>
    <row r="243" spans="1:24">
      <c r="A243" s="387"/>
      <c r="B243" s="388"/>
      <c r="C243" s="387"/>
      <c r="D243" s="388"/>
      <c r="E243" s="417"/>
      <c r="F243" s="399"/>
      <c r="G243" s="423"/>
      <c r="H243" s="400"/>
      <c r="I243" s="420"/>
      <c r="J243" s="421"/>
      <c r="K243" s="63"/>
      <c r="L243" s="63"/>
      <c r="M243" s="63"/>
      <c r="N243" s="63"/>
      <c r="O243" s="63"/>
      <c r="P243" s="63"/>
      <c r="Q243" s="63"/>
      <c r="R243" s="63"/>
      <c r="S243" s="63"/>
      <c r="T243" s="63"/>
      <c r="U243" s="63"/>
      <c r="V243" s="63"/>
      <c r="W243" s="63"/>
      <c r="X243" s="63"/>
    </row>
    <row r="244" spans="1:24" ht="14.25">
      <c r="A244" s="64"/>
      <c r="B244" s="64"/>
      <c r="C244" s="64"/>
      <c r="D244" s="64"/>
      <c r="E244" s="64"/>
      <c r="F244" s="65"/>
      <c r="G244" s="65"/>
      <c r="H244" s="65"/>
      <c r="I244" s="65"/>
      <c r="J244" s="65"/>
      <c r="K244" s="63"/>
      <c r="L244" s="63"/>
      <c r="M244" s="63"/>
      <c r="N244" s="63"/>
      <c r="O244" s="63"/>
      <c r="P244" s="63"/>
      <c r="Q244" s="63"/>
      <c r="R244" s="63"/>
      <c r="S244" s="63"/>
      <c r="T244" s="63"/>
      <c r="U244" s="63"/>
      <c r="V244" s="63"/>
      <c r="W244" s="63"/>
      <c r="X244" s="63"/>
    </row>
    <row r="245" spans="1:24" ht="14.25">
      <c r="A245" s="64"/>
      <c r="B245" s="64"/>
      <c r="C245" s="64"/>
      <c r="D245" s="64"/>
      <c r="E245" s="64"/>
      <c r="F245" s="65"/>
      <c r="G245" s="65"/>
      <c r="H245" s="65"/>
      <c r="I245" s="65"/>
      <c r="J245" s="65"/>
      <c r="K245" s="63"/>
      <c r="L245" s="63"/>
      <c r="M245" s="63"/>
      <c r="N245" s="63"/>
      <c r="O245" s="63"/>
      <c r="P245" s="63"/>
      <c r="Q245" s="63"/>
      <c r="R245" s="63"/>
      <c r="S245" s="63"/>
      <c r="T245" s="63"/>
      <c r="U245" s="63"/>
      <c r="V245" s="63"/>
      <c r="W245" s="63"/>
      <c r="X245" s="63"/>
    </row>
    <row r="246" spans="1:24" ht="26.25">
      <c r="A246" s="496" t="s">
        <v>342</v>
      </c>
      <c r="K246" s="63"/>
      <c r="L246" s="63"/>
      <c r="M246" s="63"/>
      <c r="N246" s="63"/>
      <c r="O246" s="63"/>
      <c r="P246" s="63"/>
      <c r="Q246" s="63"/>
      <c r="R246" s="63"/>
      <c r="S246" s="63"/>
      <c r="T246" s="63"/>
      <c r="U246" s="63"/>
      <c r="V246" s="63"/>
      <c r="W246" s="63"/>
      <c r="X246" s="63"/>
    </row>
    <row r="247" spans="1:24" ht="14.25">
      <c r="A247" s="64"/>
      <c r="B247" s="64"/>
      <c r="C247" s="64"/>
      <c r="D247" s="64"/>
      <c r="E247" s="64"/>
      <c r="F247" s="65"/>
      <c r="G247" s="65"/>
      <c r="H247" s="65"/>
      <c r="I247" s="65"/>
      <c r="J247" s="65"/>
      <c r="K247" s="63"/>
      <c r="L247" s="63"/>
      <c r="M247" s="63"/>
      <c r="N247" s="63"/>
      <c r="O247" s="63"/>
      <c r="P247" s="63"/>
      <c r="Q247" s="63"/>
      <c r="R247" s="63"/>
      <c r="S247" s="63"/>
      <c r="T247" s="63"/>
      <c r="U247" s="63"/>
      <c r="V247" s="63"/>
      <c r="W247" s="63"/>
      <c r="X247" s="63"/>
    </row>
    <row r="248" spans="1:24" ht="22.5" customHeight="1">
      <c r="A248" s="10" t="s">
        <v>17</v>
      </c>
      <c r="B248" s="10" t="s">
        <v>19</v>
      </c>
      <c r="C248" s="10" t="s">
        <v>20</v>
      </c>
      <c r="D248" s="10" t="s">
        <v>21</v>
      </c>
      <c r="E248" s="10" t="s">
        <v>22</v>
      </c>
      <c r="F248" s="10" t="s">
        <v>23</v>
      </c>
      <c r="G248" s="10" t="s">
        <v>24</v>
      </c>
      <c r="H248" s="10" t="s">
        <v>25</v>
      </c>
      <c r="I248" s="10" t="s">
        <v>26</v>
      </c>
      <c r="J248" s="10" t="s">
        <v>27</v>
      </c>
      <c r="K248" s="63"/>
      <c r="L248" s="63"/>
      <c r="M248" s="63"/>
      <c r="N248" s="63"/>
      <c r="O248" s="63"/>
      <c r="P248" s="63"/>
      <c r="Q248" s="63"/>
      <c r="R248" s="63"/>
      <c r="S248" s="63"/>
      <c r="T248" s="63"/>
      <c r="U248" s="63"/>
      <c r="V248" s="63"/>
      <c r="W248" s="63"/>
      <c r="X248" s="63"/>
    </row>
    <row r="249" spans="1:24" ht="45.75" customHeight="1" thickBot="1">
      <c r="A249" s="106" t="s">
        <v>343</v>
      </c>
      <c r="B249" s="107" t="s">
        <v>29</v>
      </c>
      <c r="C249" s="107" t="s">
        <v>344</v>
      </c>
      <c r="D249" s="107" t="s">
        <v>346</v>
      </c>
      <c r="E249" s="251" t="s">
        <v>950</v>
      </c>
      <c r="F249" s="158" t="str">
        <f>HYPERLINK("[Tagerim.xlsx]RM_AU_PC_10",RM_AU_PC_10)</f>
        <v>RM_AU_PC_10</v>
      </c>
      <c r="G249" s="208" t="s">
        <v>35</v>
      </c>
      <c r="H249" s="96" t="s">
        <v>13</v>
      </c>
      <c r="I249" s="269">
        <v>43095</v>
      </c>
      <c r="J249" s="97" t="s">
        <v>1319</v>
      </c>
      <c r="K249" s="63"/>
      <c r="L249" s="63"/>
      <c r="M249" s="63"/>
      <c r="N249" s="63"/>
      <c r="O249" s="63"/>
      <c r="P249" s="63"/>
      <c r="Q249" s="63"/>
      <c r="R249" s="63"/>
      <c r="S249" s="63"/>
      <c r="T249" s="63"/>
      <c r="U249" s="63"/>
      <c r="V249" s="63"/>
      <c r="W249" s="63"/>
      <c r="X249" s="63"/>
    </row>
    <row r="250" spans="1:24" ht="48.75" customHeight="1" thickBot="1">
      <c r="A250" s="206" t="s">
        <v>347</v>
      </c>
      <c r="B250" s="206" t="s">
        <v>29</v>
      </c>
      <c r="C250" s="206" t="s">
        <v>344</v>
      </c>
      <c r="D250" s="206" t="s">
        <v>350</v>
      </c>
      <c r="E250" s="206" t="s">
        <v>351</v>
      </c>
      <c r="F250" s="159" t="str">
        <f>HYPERLINK("[Tagerim.xlsx]RM_AU_PC_20",RM_AU_PC_20)</f>
        <v>RM_AU_PC_20</v>
      </c>
      <c r="G250" s="207" t="s">
        <v>35</v>
      </c>
      <c r="H250" s="96" t="s">
        <v>13</v>
      </c>
      <c r="I250" s="270">
        <v>43095</v>
      </c>
      <c r="J250" s="271" t="s">
        <v>1320</v>
      </c>
      <c r="K250" s="63"/>
      <c r="L250" s="63"/>
      <c r="M250" s="63"/>
      <c r="N250" s="63"/>
      <c r="O250" s="63"/>
      <c r="P250" s="63"/>
      <c r="Q250" s="63"/>
      <c r="R250" s="63"/>
      <c r="S250" s="63"/>
      <c r="T250" s="63"/>
      <c r="U250" s="63"/>
      <c r="V250" s="63"/>
      <c r="W250" s="63"/>
      <c r="X250" s="63"/>
    </row>
    <row r="251" spans="1:24" ht="14.25">
      <c r="A251" s="43"/>
      <c r="B251" s="43"/>
      <c r="C251" s="43"/>
      <c r="D251" s="43"/>
      <c r="E251" s="43"/>
      <c r="F251" s="39"/>
      <c r="G251" s="39"/>
      <c r="H251" s="39"/>
      <c r="I251" s="39"/>
      <c r="J251" s="39"/>
      <c r="K251" s="63"/>
      <c r="L251" s="63"/>
      <c r="M251" s="63"/>
      <c r="N251" s="63"/>
      <c r="O251" s="63"/>
      <c r="P251" s="63"/>
      <c r="Q251" s="63"/>
      <c r="R251" s="63"/>
      <c r="S251" s="63"/>
      <c r="T251" s="63"/>
      <c r="U251" s="63"/>
      <c r="V251" s="63"/>
      <c r="W251" s="63"/>
      <c r="X251" s="63"/>
    </row>
    <row r="252" spans="1:24" ht="14.25">
      <c r="A252" s="64"/>
      <c r="B252" s="64"/>
      <c r="C252" s="64"/>
      <c r="D252" s="64"/>
      <c r="E252" s="64"/>
      <c r="F252" s="65"/>
      <c r="G252" s="65"/>
      <c r="H252" s="65"/>
      <c r="I252" s="65"/>
      <c r="J252" s="65"/>
      <c r="K252" s="63"/>
      <c r="L252" s="63"/>
      <c r="M252" s="63"/>
      <c r="N252" s="63"/>
      <c r="O252" s="63"/>
      <c r="P252" s="63"/>
      <c r="Q252" s="63"/>
      <c r="R252" s="63"/>
      <c r="S252" s="63"/>
      <c r="T252" s="63"/>
      <c r="U252" s="63"/>
      <c r="V252" s="63"/>
      <c r="W252" s="63"/>
      <c r="X252" s="63"/>
    </row>
    <row r="253" spans="1:24" ht="26.25">
      <c r="A253" s="496" t="s">
        <v>355</v>
      </c>
      <c r="K253" s="63"/>
      <c r="L253" s="63"/>
      <c r="M253" s="63"/>
      <c r="N253" s="63"/>
      <c r="O253" s="63"/>
      <c r="P253" s="63"/>
      <c r="Q253" s="63"/>
      <c r="R253" s="63"/>
      <c r="S253" s="63"/>
      <c r="T253" s="63"/>
      <c r="U253" s="63"/>
      <c r="V253" s="63"/>
      <c r="W253" s="63"/>
      <c r="X253" s="63"/>
    </row>
    <row r="254" spans="1:24" ht="14.25">
      <c r="A254" s="64"/>
      <c r="B254" s="64"/>
      <c r="C254" s="64"/>
      <c r="D254" s="64"/>
      <c r="E254" s="64"/>
      <c r="F254" s="65"/>
      <c r="G254" s="65"/>
      <c r="H254" s="65"/>
      <c r="I254" s="65"/>
      <c r="J254" s="65"/>
      <c r="K254" s="63"/>
      <c r="L254" s="63"/>
      <c r="M254" s="63"/>
      <c r="N254" s="63"/>
      <c r="O254" s="63"/>
      <c r="P254" s="63"/>
      <c r="Q254" s="63"/>
      <c r="R254" s="63"/>
      <c r="S254" s="63"/>
      <c r="T254" s="63"/>
      <c r="U254" s="63"/>
      <c r="V254" s="63"/>
      <c r="W254" s="63"/>
      <c r="X254" s="63"/>
    </row>
    <row r="255" spans="1:24" ht="26.25" customHeight="1">
      <c r="A255" s="169" t="s">
        <v>17</v>
      </c>
      <c r="B255" s="169" t="s">
        <v>19</v>
      </c>
      <c r="C255" s="169" t="s">
        <v>20</v>
      </c>
      <c r="D255" s="169" t="s">
        <v>21</v>
      </c>
      <c r="E255" s="169" t="s">
        <v>22</v>
      </c>
      <c r="F255" s="169" t="s">
        <v>23</v>
      </c>
      <c r="G255" s="169" t="s">
        <v>24</v>
      </c>
      <c r="H255" s="169" t="s">
        <v>25</v>
      </c>
      <c r="I255" s="169" t="s">
        <v>26</v>
      </c>
      <c r="J255" s="169" t="s">
        <v>27</v>
      </c>
      <c r="K255" s="63"/>
      <c r="L255" s="63"/>
      <c r="M255" s="63"/>
      <c r="N255" s="63"/>
      <c r="O255" s="63"/>
      <c r="P255" s="63"/>
      <c r="Q255" s="63"/>
      <c r="R255" s="63"/>
      <c r="S255" s="63"/>
      <c r="T255" s="63"/>
      <c r="U255" s="63"/>
      <c r="V255" s="63"/>
      <c r="W255" s="63"/>
      <c r="X255" s="63"/>
    </row>
    <row r="256" spans="1:24" ht="55.5" customHeight="1" thickBot="1">
      <c r="A256" s="209" t="s">
        <v>356</v>
      </c>
      <c r="B256" s="209" t="s">
        <v>29</v>
      </c>
      <c r="C256" s="209" t="s">
        <v>344</v>
      </c>
      <c r="D256" s="210" t="s">
        <v>1471</v>
      </c>
      <c r="E256" s="210" t="s">
        <v>357</v>
      </c>
      <c r="F256" s="164" t="str">
        <f>HYPERLINK("[Tagerim.xlsx]RM_AU_MO_10",RM_AU_MO_10)</f>
        <v>RM_AU_MO_10</v>
      </c>
      <c r="G256" s="181" t="s">
        <v>35</v>
      </c>
      <c r="H256" s="176" t="s">
        <v>12</v>
      </c>
      <c r="I256" s="269">
        <v>43095</v>
      </c>
      <c r="J256" s="219"/>
      <c r="K256" s="63"/>
      <c r="L256" s="63"/>
      <c r="M256" s="63"/>
      <c r="N256" s="63"/>
      <c r="O256" s="63"/>
      <c r="P256" s="63"/>
      <c r="Q256" s="63"/>
      <c r="R256" s="63"/>
      <c r="S256" s="63"/>
      <c r="T256" s="63"/>
      <c r="U256" s="63"/>
      <c r="V256" s="63"/>
      <c r="W256" s="63"/>
      <c r="X256" s="63"/>
    </row>
    <row r="257" spans="1:24" s="244" customFormat="1" ht="86.25" customHeight="1">
      <c r="A257" s="214" t="s">
        <v>1472</v>
      </c>
      <c r="B257" s="214" t="s">
        <v>29</v>
      </c>
      <c r="C257" s="214" t="s">
        <v>344</v>
      </c>
      <c r="D257" s="214" t="s">
        <v>1473</v>
      </c>
      <c r="E257" s="214" t="s">
        <v>1474</v>
      </c>
      <c r="F257" s="288" t="str">
        <f>HYPERLINK("[Tagerim.xlsx]RM_AU_MO_15",RM_AU_MO_15)</f>
        <v>RM_AU_MO_15</v>
      </c>
      <c r="G257" s="216" t="s">
        <v>35</v>
      </c>
      <c r="H257" s="176" t="s">
        <v>13</v>
      </c>
      <c r="I257" s="276">
        <v>43095</v>
      </c>
      <c r="J257" s="283" t="s">
        <v>1478</v>
      </c>
      <c r="K257" s="63"/>
      <c r="L257" s="63"/>
      <c r="M257" s="63"/>
      <c r="N257" s="63"/>
      <c r="O257" s="63"/>
      <c r="P257" s="63"/>
      <c r="Q257" s="63"/>
      <c r="R257" s="63"/>
      <c r="S257" s="63"/>
      <c r="T257" s="63"/>
      <c r="U257" s="63"/>
      <c r="V257" s="63"/>
      <c r="W257" s="63"/>
      <c r="X257" s="63"/>
    </row>
    <row r="258" spans="1:24" ht="43.5" customHeight="1" thickBot="1">
      <c r="A258" s="284" t="s">
        <v>358</v>
      </c>
      <c r="B258" s="284" t="s">
        <v>29</v>
      </c>
      <c r="C258" s="284" t="s">
        <v>344</v>
      </c>
      <c r="D258" s="284" t="s">
        <v>346</v>
      </c>
      <c r="E258" s="284" t="s">
        <v>496</v>
      </c>
      <c r="F258" s="285"/>
      <c r="G258" s="286" t="s">
        <v>35</v>
      </c>
      <c r="H258" s="176" t="s">
        <v>13</v>
      </c>
      <c r="I258" s="269">
        <v>43095</v>
      </c>
      <c r="J258" s="287" t="s">
        <v>1479</v>
      </c>
      <c r="K258" s="63"/>
      <c r="L258" s="63"/>
      <c r="M258" s="63"/>
      <c r="N258" s="63"/>
      <c r="O258" s="63"/>
      <c r="P258" s="63"/>
      <c r="Q258" s="63"/>
      <c r="R258" s="63"/>
      <c r="S258" s="63"/>
      <c r="T258" s="63"/>
      <c r="U258" s="63"/>
      <c r="V258" s="63"/>
      <c r="W258" s="63"/>
      <c r="X258" s="63"/>
    </row>
    <row r="259" spans="1:24" ht="28.15" customHeight="1">
      <c r="A259" s="211" t="s">
        <v>359</v>
      </c>
      <c r="B259" s="211" t="s">
        <v>29</v>
      </c>
      <c r="C259" s="211" t="s">
        <v>344</v>
      </c>
      <c r="D259" s="211" t="s">
        <v>360</v>
      </c>
      <c r="E259" s="211" t="s">
        <v>357</v>
      </c>
      <c r="F259" s="288" t="str">
        <f>HYPERLINK("[Tagerim.xlsx]RM_AU_MO_20",RM_AU_MO_20)</f>
        <v>RM_AU_MO_20</v>
      </c>
      <c r="G259" s="198" t="s">
        <v>35</v>
      </c>
      <c r="H259" s="176" t="s">
        <v>13</v>
      </c>
      <c r="I259" s="276">
        <v>43095</v>
      </c>
      <c r="J259" s="289"/>
      <c r="K259" s="63"/>
      <c r="L259" s="63"/>
      <c r="M259" s="63"/>
      <c r="N259" s="63"/>
      <c r="O259" s="63"/>
      <c r="P259" s="63"/>
      <c r="Q259" s="63"/>
      <c r="R259" s="63"/>
      <c r="S259" s="63"/>
      <c r="T259" s="63"/>
      <c r="U259" s="63"/>
      <c r="V259" s="63"/>
      <c r="W259" s="63"/>
      <c r="X259" s="63"/>
    </row>
    <row r="260" spans="1:24" ht="15">
      <c r="A260" s="43"/>
      <c r="B260" s="43"/>
      <c r="C260" s="43"/>
      <c r="D260" s="43"/>
      <c r="E260" s="43"/>
      <c r="F260" s="217"/>
      <c r="G260" s="66"/>
      <c r="H260" s="29"/>
      <c r="I260" s="67"/>
      <c r="J260" s="67"/>
      <c r="K260" s="63"/>
      <c r="L260" s="63"/>
      <c r="M260" s="63"/>
      <c r="N260" s="63"/>
      <c r="O260" s="63"/>
      <c r="P260" s="63"/>
      <c r="Q260" s="63"/>
      <c r="R260" s="63"/>
      <c r="S260" s="63"/>
      <c r="T260" s="63"/>
      <c r="U260" s="63"/>
      <c r="V260" s="63"/>
      <c r="W260" s="63"/>
      <c r="X260" s="63"/>
    </row>
    <row r="261" spans="1:24" ht="15">
      <c r="A261" s="43"/>
      <c r="B261" s="43"/>
      <c r="C261" s="43"/>
      <c r="D261" s="43"/>
      <c r="E261" s="43"/>
      <c r="F261" s="39"/>
      <c r="G261" s="66"/>
      <c r="H261" s="29"/>
      <c r="I261" s="67"/>
      <c r="J261" s="67"/>
      <c r="K261" s="63"/>
      <c r="L261" s="63"/>
      <c r="M261" s="63"/>
      <c r="N261" s="63"/>
      <c r="O261" s="63"/>
      <c r="P261" s="63"/>
      <c r="Q261" s="63"/>
      <c r="R261" s="63"/>
      <c r="S261" s="63"/>
      <c r="T261" s="63"/>
      <c r="U261" s="63"/>
      <c r="V261" s="63"/>
      <c r="W261" s="63"/>
      <c r="X261" s="63"/>
    </row>
    <row r="262" spans="1:24" ht="26.25">
      <c r="A262" s="496" t="s">
        <v>369</v>
      </c>
      <c r="K262" s="63"/>
      <c r="L262" s="63"/>
      <c r="M262" s="63"/>
      <c r="N262" s="63"/>
      <c r="O262" s="63"/>
      <c r="P262" s="63"/>
      <c r="Q262" s="63"/>
      <c r="R262" s="63"/>
      <c r="S262" s="63"/>
      <c r="T262" s="63"/>
      <c r="U262" s="63"/>
      <c r="V262" s="63"/>
      <c r="W262" s="63"/>
      <c r="X262" s="63"/>
    </row>
    <row r="263" spans="1:24" ht="14.25">
      <c r="A263" s="64"/>
      <c r="B263" s="64"/>
      <c r="C263" s="64"/>
      <c r="D263" s="64"/>
      <c r="E263" s="64"/>
      <c r="F263" s="65"/>
      <c r="G263" s="65"/>
      <c r="H263" s="65"/>
      <c r="I263" s="65"/>
      <c r="J263" s="65"/>
      <c r="K263" s="63"/>
      <c r="L263" s="63"/>
      <c r="M263" s="63"/>
      <c r="N263" s="63"/>
      <c r="O263" s="63"/>
      <c r="P263" s="63"/>
      <c r="Q263" s="63"/>
      <c r="R263" s="63"/>
      <c r="S263" s="63"/>
      <c r="T263" s="63"/>
      <c r="U263" s="63"/>
      <c r="V263" s="63"/>
      <c r="W263" s="63"/>
      <c r="X263" s="63"/>
    </row>
    <row r="264" spans="1:24" ht="25.5" customHeight="1">
      <c r="A264" s="169" t="s">
        <v>17</v>
      </c>
      <c r="B264" s="169" t="s">
        <v>19</v>
      </c>
      <c r="C264" s="169" t="s">
        <v>20</v>
      </c>
      <c r="D264" s="169" t="s">
        <v>21</v>
      </c>
      <c r="E264" s="169" t="s">
        <v>22</v>
      </c>
      <c r="F264" s="169" t="s">
        <v>23</v>
      </c>
      <c r="G264" s="169" t="s">
        <v>24</v>
      </c>
      <c r="H264" s="169" t="s">
        <v>25</v>
      </c>
      <c r="I264" s="169" t="s">
        <v>26</v>
      </c>
      <c r="J264" s="169" t="s">
        <v>27</v>
      </c>
      <c r="K264" s="63"/>
      <c r="L264" s="63"/>
      <c r="M264" s="63"/>
      <c r="N264" s="63"/>
      <c r="O264" s="63"/>
      <c r="P264" s="63"/>
      <c r="Q264" s="63"/>
      <c r="R264" s="63"/>
      <c r="S264" s="63"/>
      <c r="T264" s="63"/>
      <c r="U264" s="63"/>
      <c r="V264" s="63"/>
      <c r="W264" s="63"/>
      <c r="X264" s="63"/>
    </row>
    <row r="265" spans="1:24" ht="50.25" customHeight="1" thickBot="1">
      <c r="A265" s="209" t="s">
        <v>371</v>
      </c>
      <c r="B265" s="209" t="s">
        <v>29</v>
      </c>
      <c r="C265" s="209" t="s">
        <v>344</v>
      </c>
      <c r="D265" s="209" t="s">
        <v>373</v>
      </c>
      <c r="E265" s="210" t="s">
        <v>375</v>
      </c>
      <c r="F265" s="164" t="str">
        <f>HYPERLINK("[Tagerim.xlsx]RM_AU_CO_10",RM_AU_CO_10)</f>
        <v>RM_AU_CO_10</v>
      </c>
      <c r="G265" s="181" t="s">
        <v>35</v>
      </c>
      <c r="H265" s="176" t="s">
        <v>12</v>
      </c>
      <c r="I265" s="269">
        <v>43095</v>
      </c>
      <c r="J265" s="213"/>
      <c r="K265" s="63"/>
      <c r="L265" s="63"/>
      <c r="M265" s="63"/>
      <c r="N265" s="63"/>
      <c r="O265" s="63"/>
      <c r="P265" s="63"/>
      <c r="Q265" s="63"/>
      <c r="R265" s="63"/>
      <c r="S265" s="63"/>
      <c r="T265" s="63"/>
      <c r="U265" s="63"/>
      <c r="V265" s="63"/>
      <c r="W265" s="63"/>
      <c r="X265" s="63"/>
    </row>
    <row r="266" spans="1:24" ht="47.45" customHeight="1">
      <c r="A266" s="214" t="s">
        <v>376</v>
      </c>
      <c r="B266" s="214" t="s">
        <v>29</v>
      </c>
      <c r="C266" s="214" t="s">
        <v>344</v>
      </c>
      <c r="D266" s="214" t="s">
        <v>377</v>
      </c>
      <c r="E266" s="212"/>
      <c r="F266" s="165" t="str">
        <f>HYPERLINK("[Tagerim.xlsx]RM_AU_CO_20",RM_AU_CO_20)</f>
        <v>RM_AU_CO_20</v>
      </c>
      <c r="G266" s="221" t="s">
        <v>35</v>
      </c>
      <c r="H266" s="176" t="s">
        <v>7</v>
      </c>
      <c r="I266" s="220"/>
      <c r="J266" s="220"/>
      <c r="K266" s="63"/>
      <c r="L266" s="63"/>
      <c r="M266" s="63"/>
      <c r="N266" s="63"/>
      <c r="O266" s="63"/>
      <c r="P266" s="63"/>
      <c r="Q266" s="63"/>
      <c r="R266" s="63"/>
      <c r="S266" s="63"/>
      <c r="T266" s="63"/>
      <c r="U266" s="63"/>
      <c r="V266" s="63"/>
      <c r="W266" s="63"/>
      <c r="X266" s="63"/>
    </row>
    <row r="267" spans="1:24" ht="15">
      <c r="A267" s="43"/>
      <c r="B267" s="43"/>
      <c r="C267" s="43"/>
      <c r="D267" s="43"/>
      <c r="E267" s="43"/>
      <c r="F267" s="39"/>
      <c r="G267" s="66"/>
      <c r="H267" s="29"/>
      <c r="I267" s="67"/>
      <c r="J267" s="67"/>
      <c r="K267" s="63"/>
      <c r="L267" s="63"/>
      <c r="M267" s="63"/>
      <c r="N267" s="63"/>
      <c r="O267" s="63"/>
      <c r="P267" s="63"/>
      <c r="Q267" s="63"/>
      <c r="R267" s="63"/>
      <c r="S267" s="63"/>
      <c r="T267" s="63"/>
      <c r="U267" s="63"/>
      <c r="V267" s="63"/>
      <c r="W267" s="63"/>
      <c r="X267" s="63"/>
    </row>
    <row r="268" spans="1:24" ht="15">
      <c r="A268" s="43"/>
      <c r="B268" s="43"/>
      <c r="C268" s="43"/>
      <c r="D268" s="43"/>
      <c r="E268" s="43"/>
      <c r="F268" s="39"/>
      <c r="G268" s="66"/>
      <c r="H268" s="29"/>
      <c r="I268" s="67"/>
      <c r="J268" s="67"/>
      <c r="K268" s="63"/>
      <c r="L268" s="63"/>
      <c r="M268" s="63"/>
      <c r="N268" s="63"/>
      <c r="O268" s="63"/>
      <c r="P268" s="63"/>
      <c r="Q268" s="63"/>
      <c r="R268" s="63"/>
      <c r="S268" s="63"/>
      <c r="T268" s="63"/>
      <c r="U268" s="63"/>
      <c r="V268" s="63"/>
      <c r="W268" s="63"/>
      <c r="X268" s="63"/>
    </row>
    <row r="269" spans="1:24" ht="26.25">
      <c r="A269" s="496" t="s">
        <v>379</v>
      </c>
      <c r="K269" s="63"/>
      <c r="L269" s="63"/>
      <c r="M269" s="63"/>
      <c r="N269" s="63"/>
      <c r="O269" s="63"/>
      <c r="P269" s="63"/>
      <c r="Q269" s="63"/>
      <c r="R269" s="63"/>
      <c r="S269" s="63"/>
      <c r="T269" s="63"/>
      <c r="U269" s="63"/>
      <c r="V269" s="63"/>
      <c r="W269" s="63"/>
      <c r="X269" s="63"/>
    </row>
    <row r="270" spans="1:24" ht="14.25">
      <c r="A270" s="64"/>
      <c r="B270" s="64"/>
      <c r="C270" s="64"/>
      <c r="D270" s="64"/>
      <c r="E270" s="64"/>
      <c r="F270" s="65"/>
      <c r="G270" s="65"/>
      <c r="H270" s="65"/>
      <c r="I270" s="65"/>
      <c r="J270" s="65"/>
      <c r="K270" s="63"/>
      <c r="L270" s="63"/>
      <c r="M270" s="63"/>
      <c r="N270" s="63"/>
      <c r="O270" s="63"/>
      <c r="P270" s="63"/>
      <c r="Q270" s="63"/>
      <c r="R270" s="63"/>
      <c r="S270" s="63"/>
      <c r="T270" s="63"/>
      <c r="U270" s="63"/>
      <c r="V270" s="63"/>
      <c r="W270" s="63"/>
      <c r="X270" s="63"/>
    </row>
    <row r="271" spans="1:24" ht="23.25" customHeight="1">
      <c r="A271" s="169" t="s">
        <v>17</v>
      </c>
      <c r="B271" s="169" t="s">
        <v>19</v>
      </c>
      <c r="C271" s="169" t="s">
        <v>20</v>
      </c>
      <c r="D271" s="169" t="s">
        <v>21</v>
      </c>
      <c r="E271" s="169" t="s">
        <v>22</v>
      </c>
      <c r="F271" s="169" t="s">
        <v>23</v>
      </c>
      <c r="G271" s="169" t="s">
        <v>24</v>
      </c>
      <c r="H271" s="169" t="s">
        <v>25</v>
      </c>
      <c r="I271" s="169" t="s">
        <v>26</v>
      </c>
      <c r="J271" s="169" t="s">
        <v>27</v>
      </c>
      <c r="K271" s="63"/>
      <c r="L271" s="63"/>
      <c r="M271" s="63"/>
      <c r="N271" s="63"/>
      <c r="O271" s="63"/>
      <c r="P271" s="63"/>
      <c r="Q271" s="63"/>
      <c r="R271" s="63"/>
      <c r="S271" s="63"/>
      <c r="T271" s="63"/>
      <c r="U271" s="63"/>
      <c r="V271" s="63"/>
      <c r="W271" s="63"/>
      <c r="X271" s="63"/>
    </row>
    <row r="272" spans="1:24" ht="49.15" customHeight="1">
      <c r="A272" s="201" t="s">
        <v>380</v>
      </c>
      <c r="B272" s="201" t="s">
        <v>29</v>
      </c>
      <c r="C272" s="210" t="s">
        <v>30</v>
      </c>
      <c r="D272" s="210" t="s">
        <v>381</v>
      </c>
      <c r="E272" s="210" t="s">
        <v>382</v>
      </c>
      <c r="F272" s="164" t="str">
        <f>HYPERLINK("[Tagerim.xlsx]RM_AU_RC_10",RM_AU_RC_10)</f>
        <v>RM_AU_RC_10</v>
      </c>
      <c r="G272" s="181" t="s">
        <v>35</v>
      </c>
      <c r="H272" s="176" t="s">
        <v>7</v>
      </c>
      <c r="I272" s="213"/>
      <c r="J272" s="213"/>
      <c r="K272" s="63"/>
      <c r="L272" s="63"/>
      <c r="M272" s="63"/>
      <c r="N272" s="63"/>
      <c r="O272" s="63"/>
      <c r="P272" s="63"/>
      <c r="Q272" s="63"/>
      <c r="R272" s="63"/>
      <c r="S272" s="63"/>
      <c r="T272" s="63"/>
      <c r="U272" s="63"/>
      <c r="V272" s="63"/>
      <c r="W272" s="63"/>
      <c r="X272" s="63"/>
    </row>
    <row r="273" spans="1:24" ht="36.6" customHeight="1">
      <c r="A273" s="179" t="s">
        <v>383</v>
      </c>
      <c r="B273" s="179" t="s">
        <v>29</v>
      </c>
      <c r="C273" s="214" t="s">
        <v>344</v>
      </c>
      <c r="D273" s="214" t="s">
        <v>346</v>
      </c>
      <c r="E273" s="214" t="s">
        <v>496</v>
      </c>
      <c r="F273" s="215"/>
      <c r="G273" s="216" t="s">
        <v>35</v>
      </c>
      <c r="H273" s="176" t="s">
        <v>7</v>
      </c>
      <c r="I273" s="220"/>
      <c r="J273" s="220"/>
      <c r="K273" s="63"/>
      <c r="L273" s="63"/>
      <c r="M273" s="63"/>
      <c r="N273" s="63"/>
      <c r="O273" s="63"/>
      <c r="P273" s="63"/>
      <c r="Q273" s="63"/>
      <c r="R273" s="63"/>
      <c r="S273" s="63"/>
      <c r="T273" s="63"/>
      <c r="U273" s="63"/>
      <c r="V273" s="63"/>
      <c r="W273" s="63"/>
      <c r="X273" s="63"/>
    </row>
    <row r="274" spans="1:24" ht="29.45" customHeight="1">
      <c r="A274" s="201" t="s">
        <v>384</v>
      </c>
      <c r="B274" s="201" t="s">
        <v>29</v>
      </c>
      <c r="C274" s="210" t="s">
        <v>344</v>
      </c>
      <c r="D274" s="210" t="s">
        <v>360</v>
      </c>
      <c r="E274" s="210" t="s">
        <v>357</v>
      </c>
      <c r="F274" s="164" t="str">
        <f>HYPERLINK("[Tagerim.xlsx]RM_AU_RC_20",RM_AU_RC_20)</f>
        <v>RM_AU_RC_20</v>
      </c>
      <c r="G274" s="181" t="s">
        <v>35</v>
      </c>
      <c r="H274" s="176" t="s">
        <v>7</v>
      </c>
      <c r="I274" s="213"/>
      <c r="J274" s="213"/>
      <c r="K274" s="63"/>
      <c r="L274" s="63"/>
      <c r="M274" s="63"/>
      <c r="N274" s="63"/>
      <c r="O274" s="63"/>
      <c r="P274" s="63"/>
      <c r="Q274" s="63"/>
      <c r="R274" s="63"/>
      <c r="S274" s="63"/>
      <c r="T274" s="63"/>
      <c r="U274" s="63"/>
      <c r="V274" s="63"/>
      <c r="W274" s="63"/>
      <c r="X274" s="63"/>
    </row>
    <row r="275" spans="1:24" ht="15">
      <c r="A275" s="43"/>
      <c r="B275" s="43"/>
      <c r="C275" s="43"/>
      <c r="D275" s="43"/>
      <c r="E275" s="43"/>
      <c r="F275" s="39"/>
      <c r="G275" s="66"/>
      <c r="H275" s="29"/>
      <c r="I275" s="67"/>
      <c r="J275" s="67"/>
      <c r="K275" s="63"/>
      <c r="L275" s="63"/>
      <c r="M275" s="63"/>
      <c r="N275" s="63"/>
      <c r="O275" s="63"/>
      <c r="P275" s="63"/>
      <c r="Q275" s="63"/>
      <c r="R275" s="63"/>
      <c r="S275" s="63"/>
      <c r="T275" s="63"/>
      <c r="U275" s="63"/>
      <c r="V275" s="63"/>
      <c r="W275" s="63"/>
      <c r="X275" s="63"/>
    </row>
    <row r="276" spans="1:24" ht="15">
      <c r="B276" s="43"/>
      <c r="C276" s="43"/>
      <c r="D276" s="43"/>
      <c r="E276" s="43"/>
      <c r="F276" s="39"/>
      <c r="G276" s="66"/>
      <c r="H276" s="29"/>
      <c r="I276" s="67"/>
      <c r="J276" s="67"/>
      <c r="K276" s="63"/>
      <c r="L276" s="63"/>
      <c r="M276" s="63"/>
      <c r="N276" s="63"/>
      <c r="O276" s="63"/>
      <c r="P276" s="63"/>
      <c r="Q276" s="63"/>
      <c r="R276" s="63"/>
      <c r="S276" s="63"/>
      <c r="T276" s="63"/>
      <c r="U276" s="63"/>
      <c r="V276" s="63"/>
      <c r="W276" s="63"/>
      <c r="X276" s="63"/>
    </row>
    <row r="277" spans="1:24" ht="15">
      <c r="A277" s="43"/>
      <c r="B277" s="43"/>
      <c r="C277" s="43"/>
      <c r="D277" s="43"/>
      <c r="E277" s="43"/>
      <c r="F277" s="39"/>
      <c r="G277" s="66"/>
      <c r="H277" s="29"/>
      <c r="I277" s="67"/>
      <c r="J277" s="67"/>
      <c r="K277" s="63"/>
      <c r="L277" s="63"/>
      <c r="M277" s="63"/>
      <c r="N277" s="63"/>
      <c r="O277" s="63"/>
      <c r="P277" s="63"/>
      <c r="Q277" s="63"/>
      <c r="R277" s="63"/>
      <c r="S277" s="63"/>
      <c r="T277" s="63"/>
      <c r="U277" s="63"/>
      <c r="V277" s="63"/>
      <c r="W277" s="63"/>
      <c r="X277" s="63"/>
    </row>
    <row r="278" spans="1:24" ht="30">
      <c r="A278" s="8" t="s">
        <v>388</v>
      </c>
      <c r="B278" s="62"/>
      <c r="C278" s="62"/>
      <c r="D278" s="62"/>
      <c r="E278" s="62"/>
      <c r="F278" s="62"/>
      <c r="G278" s="62"/>
      <c r="H278" s="62"/>
      <c r="I278" s="62"/>
      <c r="J278" s="62"/>
      <c r="K278" s="63"/>
      <c r="L278" s="63"/>
      <c r="M278" s="63"/>
      <c r="N278" s="63"/>
      <c r="O278" s="63"/>
      <c r="P278" s="63"/>
      <c r="Q278" s="63"/>
      <c r="R278" s="63"/>
      <c r="S278" s="63"/>
      <c r="T278" s="63"/>
      <c r="U278" s="63"/>
      <c r="V278" s="63"/>
      <c r="W278" s="63"/>
      <c r="X278" s="63"/>
    </row>
    <row r="279" spans="1:24" ht="15">
      <c r="A279" s="43"/>
      <c r="B279" s="43"/>
      <c r="C279" s="43"/>
      <c r="D279" s="43"/>
      <c r="E279" s="43"/>
      <c r="F279" s="43"/>
      <c r="G279" s="28"/>
      <c r="H279" s="29"/>
      <c r="I279" s="43"/>
      <c r="J279" s="43"/>
      <c r="K279" s="63"/>
      <c r="L279" s="63"/>
      <c r="M279" s="63"/>
      <c r="N279" s="63"/>
      <c r="O279" s="63"/>
      <c r="P279" s="63"/>
      <c r="Q279" s="63"/>
      <c r="R279" s="63"/>
      <c r="S279" s="63"/>
      <c r="T279" s="63"/>
      <c r="U279" s="63"/>
      <c r="V279" s="63"/>
      <c r="W279" s="63"/>
      <c r="X279" s="63"/>
    </row>
    <row r="280" spans="1:24" ht="17.45" customHeight="1">
      <c r="A280" s="410" t="s">
        <v>7</v>
      </c>
      <c r="B280" s="410"/>
      <c r="C280" s="410" t="s">
        <v>12</v>
      </c>
      <c r="D280" s="410"/>
      <c r="E280" s="410" t="s">
        <v>13</v>
      </c>
      <c r="F280" s="410" t="s">
        <v>14</v>
      </c>
      <c r="G280" s="410"/>
      <c r="H280" s="410"/>
      <c r="I280" s="410" t="s">
        <v>15</v>
      </c>
      <c r="J280" s="410"/>
      <c r="K280" s="63"/>
      <c r="L280" s="63"/>
      <c r="M280" s="63"/>
      <c r="N280" s="63"/>
      <c r="O280" s="63"/>
      <c r="P280" s="63"/>
      <c r="Q280" s="63"/>
      <c r="R280" s="63"/>
      <c r="S280" s="63"/>
      <c r="T280" s="63"/>
      <c r="U280" s="63"/>
      <c r="V280" s="63"/>
      <c r="W280" s="63"/>
      <c r="X280" s="63"/>
    </row>
    <row r="281" spans="1:24">
      <c r="A281" s="410"/>
      <c r="B281" s="410"/>
      <c r="C281" s="410"/>
      <c r="D281" s="410"/>
      <c r="E281" s="410"/>
      <c r="F281" s="410"/>
      <c r="G281" s="410"/>
      <c r="H281" s="410"/>
      <c r="I281" s="410"/>
      <c r="J281" s="410"/>
      <c r="K281" s="63"/>
      <c r="L281" s="63"/>
      <c r="M281" s="63"/>
      <c r="N281" s="63"/>
      <c r="O281" s="63"/>
      <c r="P281" s="63"/>
      <c r="Q281" s="63"/>
      <c r="R281" s="63"/>
      <c r="S281" s="63"/>
      <c r="T281" s="63"/>
      <c r="U281" s="63"/>
      <c r="V281" s="63"/>
      <c r="W281" s="63"/>
      <c r="X281" s="63"/>
    </row>
    <row r="282" spans="1:24" ht="17.45" customHeight="1">
      <c r="A282" s="381">
        <f>COUNTIFS(A287:A10487,"UC_PF_*",H287:H10487,"A tester")</f>
        <v>1</v>
      </c>
      <c r="B282" s="382"/>
      <c r="C282" s="385">
        <f>COUNTIFS(A287:A10487,"UC_PF_*",H287:H10487,"Succès")</f>
        <v>15</v>
      </c>
      <c r="D282" s="386"/>
      <c r="E282" s="389">
        <f>COUNTIFS(A287:A10487,"UC_PF_*",H287:H10487,"Echec")</f>
        <v>8</v>
      </c>
      <c r="F282" s="391">
        <f>(C282+E282)/SUM(A282:E283)</f>
        <v>0.95833333333333337</v>
      </c>
      <c r="G282" s="392"/>
      <c r="H282" s="393"/>
      <c r="I282" s="391">
        <f>C282/SUM(A282:E283)</f>
        <v>0.625</v>
      </c>
      <c r="J282" s="393"/>
      <c r="K282" s="63"/>
      <c r="L282" s="63"/>
      <c r="M282" s="63"/>
      <c r="N282" s="63"/>
      <c r="O282" s="63"/>
      <c r="P282" s="63"/>
      <c r="Q282" s="63"/>
      <c r="R282" s="63"/>
      <c r="S282" s="63"/>
      <c r="T282" s="63"/>
      <c r="U282" s="63"/>
      <c r="V282" s="63"/>
      <c r="W282" s="63"/>
      <c r="X282" s="63"/>
    </row>
    <row r="283" spans="1:24">
      <c r="A283" s="383"/>
      <c r="B283" s="384"/>
      <c r="C283" s="387"/>
      <c r="D283" s="388"/>
      <c r="E283" s="390"/>
      <c r="F283" s="394"/>
      <c r="G283" s="395"/>
      <c r="H283" s="396"/>
      <c r="I283" s="394"/>
      <c r="J283" s="396"/>
    </row>
    <row r="286" spans="1:24" ht="26.25">
      <c r="A286" s="497" t="s">
        <v>399</v>
      </c>
    </row>
    <row r="288" spans="1:24" ht="22.5" customHeight="1">
      <c r="A288" s="196" t="s">
        <v>17</v>
      </c>
      <c r="B288" s="196" t="s">
        <v>19</v>
      </c>
      <c r="C288" s="196" t="s">
        <v>20</v>
      </c>
      <c r="D288" s="196" t="s">
        <v>21</v>
      </c>
      <c r="E288" s="196" t="s">
        <v>22</v>
      </c>
      <c r="F288" s="196" t="s">
        <v>23</v>
      </c>
      <c r="G288" s="196" t="s">
        <v>24</v>
      </c>
      <c r="H288" s="196" t="s">
        <v>25</v>
      </c>
      <c r="I288" s="196" t="s">
        <v>26</v>
      </c>
      <c r="J288" s="196" t="s">
        <v>27</v>
      </c>
    </row>
    <row r="289" spans="1:10" ht="47.25" customHeight="1" thickBot="1">
      <c r="A289" s="174" t="s">
        <v>400</v>
      </c>
      <c r="B289" s="174" t="s">
        <v>29</v>
      </c>
      <c r="C289" s="174" t="s">
        <v>39</v>
      </c>
      <c r="D289" s="174" t="s">
        <v>1480</v>
      </c>
      <c r="E289" s="174" t="s">
        <v>402</v>
      </c>
      <c r="F289" s="174"/>
      <c r="G289" s="175" t="s">
        <v>35</v>
      </c>
      <c r="H289" s="176" t="s">
        <v>12</v>
      </c>
      <c r="I289" s="269">
        <v>43095</v>
      </c>
      <c r="J289" s="150"/>
    </row>
    <row r="290" spans="1:10" ht="43.5" customHeight="1">
      <c r="A290" s="177" t="s">
        <v>403</v>
      </c>
      <c r="B290" s="177" t="s">
        <v>29</v>
      </c>
      <c r="C290" s="177" t="s">
        <v>39</v>
      </c>
      <c r="D290" s="177" t="s">
        <v>1481</v>
      </c>
      <c r="E290" s="177" t="s">
        <v>405</v>
      </c>
      <c r="F290" s="177"/>
      <c r="G290" s="178" t="s">
        <v>35</v>
      </c>
      <c r="H290" s="176" t="s">
        <v>12</v>
      </c>
      <c r="I290" s="276">
        <v>43095</v>
      </c>
      <c r="J290" s="179"/>
    </row>
    <row r="291" spans="1:10" ht="45.75" customHeight="1" thickBot="1">
      <c r="A291" s="174" t="s">
        <v>407</v>
      </c>
      <c r="B291" s="174" t="s">
        <v>29</v>
      </c>
      <c r="C291" s="174" t="s">
        <v>39</v>
      </c>
      <c r="D291" s="174" t="s">
        <v>408</v>
      </c>
      <c r="E291" s="174" t="s">
        <v>409</v>
      </c>
      <c r="F291" s="174"/>
      <c r="G291" s="175" t="s">
        <v>35</v>
      </c>
      <c r="H291" s="176" t="s">
        <v>12</v>
      </c>
      <c r="I291" s="269">
        <v>43095</v>
      </c>
      <c r="J291" s="150" t="s">
        <v>1482</v>
      </c>
    </row>
    <row r="292" spans="1:10" ht="96" customHeight="1">
      <c r="A292" s="182" t="s">
        <v>410</v>
      </c>
      <c r="B292" s="182" t="s">
        <v>29</v>
      </c>
      <c r="C292" s="182" t="s">
        <v>39</v>
      </c>
      <c r="D292" s="182" t="s">
        <v>411</v>
      </c>
      <c r="E292" s="182" t="s">
        <v>86</v>
      </c>
      <c r="F292" s="165" t="str">
        <f>HYPERLINK("[Tagerim.xlsx]RM_PF_CA_10",RM_PF_CA_10)</f>
        <v>RM_PF_CA_10</v>
      </c>
      <c r="G292" s="183" t="s">
        <v>35</v>
      </c>
      <c r="H292" s="176" t="s">
        <v>12</v>
      </c>
      <c r="I292" s="276">
        <v>43095</v>
      </c>
      <c r="J292" s="179"/>
    </row>
    <row r="293" spans="1:10" s="244" customFormat="1" ht="108" customHeight="1" thickBot="1">
      <c r="A293" s="174" t="s">
        <v>1680</v>
      </c>
      <c r="B293" s="174" t="s">
        <v>29</v>
      </c>
      <c r="C293" s="174" t="s">
        <v>39</v>
      </c>
      <c r="D293" s="174" t="s">
        <v>1681</v>
      </c>
      <c r="E293" s="174" t="s">
        <v>86</v>
      </c>
      <c r="F293" s="164" t="str">
        <f>HYPERLINK("[Tagerim.xlsx]RM_PF_CA_11",RM_PF_CA_11)</f>
        <v>RM_PF_CA_11</v>
      </c>
      <c r="G293" s="175" t="s">
        <v>35</v>
      </c>
      <c r="H293" s="176" t="s">
        <v>13</v>
      </c>
      <c r="I293" s="269">
        <v>43095</v>
      </c>
      <c r="J293" s="150" t="s">
        <v>1682</v>
      </c>
    </row>
    <row r="294" spans="1:10" ht="43.5" customHeight="1" thickBot="1">
      <c r="A294" s="197" t="s">
        <v>412</v>
      </c>
      <c r="B294" s="197" t="s">
        <v>29</v>
      </c>
      <c r="C294" s="197" t="s">
        <v>39</v>
      </c>
      <c r="D294" s="197" t="s">
        <v>413</v>
      </c>
      <c r="E294" s="197" t="s">
        <v>414</v>
      </c>
      <c r="F294" s="197"/>
      <c r="G294" s="198" t="s">
        <v>35</v>
      </c>
      <c r="H294" s="252" t="s">
        <v>12</v>
      </c>
      <c r="I294" s="340">
        <v>43095</v>
      </c>
      <c r="J294" s="226"/>
    </row>
    <row r="295" spans="1:10" s="244" customFormat="1" ht="43.5" customHeight="1">
      <c r="A295" s="290" t="s">
        <v>1484</v>
      </c>
      <c r="B295" s="290" t="s">
        <v>29</v>
      </c>
      <c r="C295" s="290" t="s">
        <v>39</v>
      </c>
      <c r="D295" s="290" t="s">
        <v>1485</v>
      </c>
      <c r="E295" s="290" t="s">
        <v>1486</v>
      </c>
      <c r="F295" s="164" t="str">
        <f>HYPERLINK("[Tagerim.xlsx]RM_PF_CA_15",RM_PF_CA_15)</f>
        <v>RM_PF_CA_15</v>
      </c>
      <c r="G295" s="186" t="s">
        <v>35</v>
      </c>
      <c r="H295" s="218" t="s">
        <v>12</v>
      </c>
      <c r="I295" s="281">
        <v>43095</v>
      </c>
      <c r="J295" s="202"/>
    </row>
    <row r="296" spans="1:10" ht="57.75" customHeight="1" thickBot="1">
      <c r="A296" s="182" t="s">
        <v>418</v>
      </c>
      <c r="B296" s="182" t="s">
        <v>29</v>
      </c>
      <c r="C296" s="182" t="s">
        <v>39</v>
      </c>
      <c r="D296" s="182" t="s">
        <v>419</v>
      </c>
      <c r="E296" s="182" t="s">
        <v>420</v>
      </c>
      <c r="F296" s="182"/>
      <c r="G296" s="183" t="s">
        <v>35</v>
      </c>
      <c r="H296" s="252" t="s">
        <v>13</v>
      </c>
      <c r="I296" s="340">
        <v>43095</v>
      </c>
      <c r="J296" s="203" t="s">
        <v>1483</v>
      </c>
    </row>
    <row r="297" spans="1:10" ht="186.75" customHeight="1">
      <c r="A297" s="180" t="s">
        <v>423</v>
      </c>
      <c r="B297" s="180" t="s">
        <v>29</v>
      </c>
      <c r="C297" s="180" t="s">
        <v>39</v>
      </c>
      <c r="D297" s="180" t="s">
        <v>424</v>
      </c>
      <c r="E297" s="180" t="s">
        <v>425</v>
      </c>
      <c r="F297" s="164" t="str">
        <f>HYPERLINK("[Tagerim.xlsx]RM_PF_CA_20",RM_PF_CA_20)</f>
        <v>RM_PF_CA_20</v>
      </c>
      <c r="G297" s="181" t="s">
        <v>35</v>
      </c>
      <c r="H297" s="292" t="s">
        <v>13</v>
      </c>
      <c r="I297" s="281">
        <v>43095</v>
      </c>
      <c r="J297" s="201" t="s">
        <v>1685</v>
      </c>
    </row>
    <row r="300" spans="1:10" ht="26.25">
      <c r="A300" s="497" t="s">
        <v>426</v>
      </c>
    </row>
    <row r="302" spans="1:10" ht="23.25" customHeight="1">
      <c r="A302" s="14" t="s">
        <v>17</v>
      </c>
      <c r="B302" s="14" t="s">
        <v>19</v>
      </c>
      <c r="C302" s="14" t="s">
        <v>20</v>
      </c>
      <c r="D302" s="14" t="s">
        <v>21</v>
      </c>
      <c r="E302" s="14" t="s">
        <v>22</v>
      </c>
      <c r="F302" s="14" t="s">
        <v>23</v>
      </c>
      <c r="G302" s="14" t="s">
        <v>24</v>
      </c>
      <c r="H302" s="14" t="s">
        <v>25</v>
      </c>
      <c r="I302" s="14" t="s">
        <v>26</v>
      </c>
      <c r="J302" s="14" t="s">
        <v>27</v>
      </c>
    </row>
    <row r="303" spans="1:10" ht="45.75" customHeight="1" thickBot="1">
      <c r="A303" s="150" t="s">
        <v>430</v>
      </c>
      <c r="B303" s="150" t="s">
        <v>29</v>
      </c>
      <c r="C303" s="150" t="s">
        <v>39</v>
      </c>
      <c r="D303" s="150" t="s">
        <v>431</v>
      </c>
      <c r="E303" s="150" t="s">
        <v>432</v>
      </c>
      <c r="F303" s="150"/>
      <c r="G303" s="175" t="s">
        <v>35</v>
      </c>
      <c r="H303" s="176" t="s">
        <v>12</v>
      </c>
      <c r="I303" s="269">
        <v>43095</v>
      </c>
      <c r="J303" s="150"/>
    </row>
    <row r="304" spans="1:10" ht="112.5" customHeight="1">
      <c r="A304" s="179" t="s">
        <v>433</v>
      </c>
      <c r="B304" s="179" t="s">
        <v>29</v>
      </c>
      <c r="C304" s="179" t="s">
        <v>39</v>
      </c>
      <c r="D304" s="179" t="s">
        <v>434</v>
      </c>
      <c r="E304" s="179" t="s">
        <v>435</v>
      </c>
      <c r="F304" s="179"/>
      <c r="G304" s="178" t="s">
        <v>35</v>
      </c>
      <c r="H304" s="176" t="s">
        <v>13</v>
      </c>
      <c r="I304" s="276">
        <v>43095</v>
      </c>
      <c r="J304" s="179" t="s">
        <v>1489</v>
      </c>
    </row>
    <row r="305" spans="1:10" ht="44.25" customHeight="1" thickBot="1">
      <c r="A305" s="150" t="s">
        <v>437</v>
      </c>
      <c r="B305" s="150" t="s">
        <v>29</v>
      </c>
      <c r="C305" s="150" t="s">
        <v>39</v>
      </c>
      <c r="D305" s="150" t="s">
        <v>438</v>
      </c>
      <c r="E305" s="150" t="s">
        <v>439</v>
      </c>
      <c r="F305" s="150"/>
      <c r="G305" s="175" t="s">
        <v>35</v>
      </c>
      <c r="H305" s="176" t="s">
        <v>7</v>
      </c>
      <c r="I305" s="269"/>
      <c r="J305" s="150"/>
    </row>
    <row r="306" spans="1:10" ht="140.25" customHeight="1">
      <c r="A306" s="179" t="s">
        <v>440</v>
      </c>
      <c r="B306" s="179" t="s">
        <v>29</v>
      </c>
      <c r="C306" s="179" t="s">
        <v>39</v>
      </c>
      <c r="D306" s="179" t="s">
        <v>442</v>
      </c>
      <c r="E306" s="179" t="s">
        <v>444</v>
      </c>
      <c r="F306" s="179"/>
      <c r="G306" s="178" t="s">
        <v>35</v>
      </c>
      <c r="H306" s="176" t="s">
        <v>12</v>
      </c>
      <c r="I306" s="276">
        <v>43095</v>
      </c>
      <c r="J306" s="179"/>
    </row>
    <row r="307" spans="1:10" ht="84.75" customHeight="1" thickBot="1">
      <c r="A307" s="150" t="s">
        <v>445</v>
      </c>
      <c r="B307" s="150" t="s">
        <v>29</v>
      </c>
      <c r="C307" s="150" t="s">
        <v>39</v>
      </c>
      <c r="D307" s="150" t="s">
        <v>124</v>
      </c>
      <c r="E307" s="150" t="s">
        <v>447</v>
      </c>
      <c r="F307" s="150"/>
      <c r="G307" s="175" t="s">
        <v>35</v>
      </c>
      <c r="H307" s="176" t="s">
        <v>13</v>
      </c>
      <c r="I307" s="269">
        <v>43095</v>
      </c>
      <c r="J307" s="150" t="s">
        <v>1455</v>
      </c>
    </row>
    <row r="308" spans="1:10" ht="63.75" customHeight="1">
      <c r="A308" s="179" t="s">
        <v>448</v>
      </c>
      <c r="B308" s="179" t="s">
        <v>29</v>
      </c>
      <c r="C308" s="179" t="s">
        <v>39</v>
      </c>
      <c r="D308" s="179" t="s">
        <v>449</v>
      </c>
      <c r="E308" s="179" t="s">
        <v>450</v>
      </c>
      <c r="F308" s="179"/>
      <c r="G308" s="178" t="s">
        <v>35</v>
      </c>
      <c r="H308" s="176" t="s">
        <v>13</v>
      </c>
      <c r="I308" s="276">
        <v>43095</v>
      </c>
      <c r="J308" s="179" t="s">
        <v>1490</v>
      </c>
    </row>
    <row r="309" spans="1:10" ht="39.75" customHeight="1" thickBot="1">
      <c r="A309" s="150" t="s">
        <v>1502</v>
      </c>
      <c r="B309" s="150" t="s">
        <v>29</v>
      </c>
      <c r="C309" s="201" t="s">
        <v>39</v>
      </c>
      <c r="D309" s="202" t="s">
        <v>1497</v>
      </c>
      <c r="E309" s="202" t="s">
        <v>1498</v>
      </c>
      <c r="F309" s="202"/>
      <c r="G309" s="186" t="s">
        <v>35</v>
      </c>
      <c r="H309" s="218" t="s">
        <v>12</v>
      </c>
      <c r="I309" s="269">
        <v>43095</v>
      </c>
      <c r="J309" s="202"/>
    </row>
    <row r="310" spans="1:10" s="244" customFormat="1" ht="39.75" customHeight="1">
      <c r="A310" s="179" t="s">
        <v>1503</v>
      </c>
      <c r="B310" s="179" t="s">
        <v>29</v>
      </c>
      <c r="C310" s="203" t="s">
        <v>39</v>
      </c>
      <c r="D310" s="226" t="s">
        <v>1499</v>
      </c>
      <c r="E310" s="226" t="s">
        <v>1500</v>
      </c>
      <c r="F310" s="293"/>
      <c r="G310" s="198" t="s">
        <v>35</v>
      </c>
      <c r="H310" s="252" t="s">
        <v>13</v>
      </c>
      <c r="I310" s="276">
        <v>43095</v>
      </c>
      <c r="J310" s="294" t="s">
        <v>1501</v>
      </c>
    </row>
    <row r="311" spans="1:10" s="244" customFormat="1"/>
    <row r="312" spans="1:10" s="244" customFormat="1"/>
    <row r="313" spans="1:10" s="244" customFormat="1" ht="26.25">
      <c r="A313" s="497" t="s">
        <v>1492</v>
      </c>
    </row>
    <row r="314" spans="1:10" s="244" customFormat="1"/>
    <row r="315" spans="1:10" s="244" customFormat="1" ht="15">
      <c r="A315" s="196" t="s">
        <v>17</v>
      </c>
      <c r="B315" s="196" t="s">
        <v>19</v>
      </c>
      <c r="C315" s="196" t="s">
        <v>20</v>
      </c>
      <c r="D315" s="196" t="s">
        <v>21</v>
      </c>
      <c r="E315" s="196" t="s">
        <v>22</v>
      </c>
      <c r="F315" s="196" t="s">
        <v>23</v>
      </c>
      <c r="G315" s="196" t="s">
        <v>24</v>
      </c>
      <c r="H315" s="196" t="s">
        <v>25</v>
      </c>
      <c r="I315" s="196" t="s">
        <v>26</v>
      </c>
      <c r="J315" s="196" t="s">
        <v>27</v>
      </c>
    </row>
    <row r="316" spans="1:10" s="244" customFormat="1" ht="44.25" customHeight="1" thickBot="1">
      <c r="A316" s="174" t="s">
        <v>1305</v>
      </c>
      <c r="B316" s="174" t="s">
        <v>29</v>
      </c>
      <c r="C316" s="174" t="s">
        <v>30</v>
      </c>
      <c r="D316" s="174" t="s">
        <v>1480</v>
      </c>
      <c r="E316" s="174" t="s">
        <v>402</v>
      </c>
      <c r="F316" s="174"/>
      <c r="G316" s="175" t="s">
        <v>35</v>
      </c>
      <c r="H316" s="176" t="s">
        <v>12</v>
      </c>
      <c r="I316" s="269">
        <v>43095</v>
      </c>
      <c r="J316" s="150"/>
    </row>
    <row r="317" spans="1:10" s="244" customFormat="1" ht="36.75" customHeight="1">
      <c r="A317" s="177" t="s">
        <v>1306</v>
      </c>
      <c r="B317" s="177" t="s">
        <v>29</v>
      </c>
      <c r="C317" s="177" t="s">
        <v>30</v>
      </c>
      <c r="D317" s="177" t="s">
        <v>404</v>
      </c>
      <c r="E317" s="177" t="s">
        <v>405</v>
      </c>
      <c r="F317" s="177"/>
      <c r="G317" s="178" t="s">
        <v>35</v>
      </c>
      <c r="H317" s="176" t="s">
        <v>12</v>
      </c>
      <c r="I317" s="276">
        <v>43095</v>
      </c>
      <c r="J317" s="179"/>
    </row>
    <row r="318" spans="1:10" s="244" customFormat="1" ht="53.25" customHeight="1" thickBot="1">
      <c r="A318" s="174" t="s">
        <v>1307</v>
      </c>
      <c r="B318" s="174" t="s">
        <v>29</v>
      </c>
      <c r="C318" s="174" t="s">
        <v>30</v>
      </c>
      <c r="D318" s="174" t="s">
        <v>408</v>
      </c>
      <c r="E318" s="174" t="s">
        <v>409</v>
      </c>
      <c r="F318" s="174"/>
      <c r="G318" s="175" t="s">
        <v>35</v>
      </c>
      <c r="H318" s="176" t="s">
        <v>12</v>
      </c>
      <c r="I318" s="269">
        <v>43095</v>
      </c>
      <c r="J318" s="150"/>
    </row>
    <row r="319" spans="1:10" s="244" customFormat="1" ht="71.25">
      <c r="A319" s="182" t="s">
        <v>1308</v>
      </c>
      <c r="B319" s="182" t="s">
        <v>29</v>
      </c>
      <c r="C319" s="177" t="s">
        <v>30</v>
      </c>
      <c r="D319" s="182" t="s">
        <v>411</v>
      </c>
      <c r="E319" s="182" t="s">
        <v>86</v>
      </c>
      <c r="F319" s="165"/>
      <c r="G319" s="183" t="s">
        <v>35</v>
      </c>
      <c r="H319" s="176" t="s">
        <v>12</v>
      </c>
      <c r="I319" s="276">
        <v>43095</v>
      </c>
      <c r="J319" s="179"/>
    </row>
    <row r="320" spans="1:10" s="244" customFormat="1" ht="44.25" customHeight="1" thickBot="1">
      <c r="A320" s="174" t="s">
        <v>1309</v>
      </c>
      <c r="B320" s="174" t="s">
        <v>29</v>
      </c>
      <c r="C320" s="174" t="s">
        <v>30</v>
      </c>
      <c r="D320" s="174" t="s">
        <v>413</v>
      </c>
      <c r="E320" s="174" t="s">
        <v>414</v>
      </c>
      <c r="F320" s="174"/>
      <c r="G320" s="175" t="s">
        <v>35</v>
      </c>
      <c r="H320" s="176" t="s">
        <v>12</v>
      </c>
      <c r="I320" s="269">
        <v>43095</v>
      </c>
      <c r="J320" s="150"/>
    </row>
    <row r="321" spans="1:10" s="244" customFormat="1" ht="44.25" customHeight="1">
      <c r="A321" s="177" t="s">
        <v>1310</v>
      </c>
      <c r="B321" s="177" t="s">
        <v>29</v>
      </c>
      <c r="C321" s="177" t="s">
        <v>30</v>
      </c>
      <c r="D321" s="177" t="s">
        <v>419</v>
      </c>
      <c r="E321" s="177" t="s">
        <v>420</v>
      </c>
      <c r="F321" s="177"/>
      <c r="G321" s="178" t="s">
        <v>35</v>
      </c>
      <c r="H321" s="176" t="s">
        <v>12</v>
      </c>
      <c r="I321" s="276">
        <v>43095</v>
      </c>
      <c r="J321" s="179"/>
    </row>
    <row r="322" spans="1:10" s="244" customFormat="1" ht="123" customHeight="1" thickBot="1">
      <c r="A322" s="174" t="s">
        <v>1311</v>
      </c>
      <c r="B322" s="174" t="s">
        <v>29</v>
      </c>
      <c r="C322" s="174" t="s">
        <v>30</v>
      </c>
      <c r="D322" s="174" t="s">
        <v>424</v>
      </c>
      <c r="E322" s="174" t="s">
        <v>425</v>
      </c>
      <c r="F322" s="190"/>
      <c r="G322" s="175" t="s">
        <v>35</v>
      </c>
      <c r="H322" s="176" t="s">
        <v>13</v>
      </c>
      <c r="I322" s="269">
        <v>43095</v>
      </c>
      <c r="J322" s="150" t="s">
        <v>1504</v>
      </c>
    </row>
    <row r="325" spans="1:10" ht="30">
      <c r="A325" s="8" t="s">
        <v>459</v>
      </c>
      <c r="B325" s="62"/>
      <c r="C325" s="62"/>
      <c r="D325" s="62"/>
      <c r="E325" s="62"/>
      <c r="F325" s="62"/>
      <c r="G325" s="62"/>
      <c r="H325" s="62"/>
      <c r="I325" s="62"/>
      <c r="J325" s="62"/>
    </row>
    <row r="326" spans="1:10" ht="15">
      <c r="A326" s="43"/>
      <c r="B326" s="43"/>
      <c r="C326" s="43"/>
      <c r="D326" s="43"/>
      <c r="E326" s="43"/>
      <c r="F326" s="43"/>
      <c r="G326" s="28"/>
      <c r="H326" s="29"/>
      <c r="I326" s="43"/>
      <c r="J326" s="43"/>
    </row>
    <row r="327" spans="1:10" ht="17.45" customHeight="1">
      <c r="A327" s="410" t="s">
        <v>7</v>
      </c>
      <c r="B327" s="410"/>
      <c r="C327" s="410" t="s">
        <v>12</v>
      </c>
      <c r="D327" s="410"/>
      <c r="E327" s="410" t="s">
        <v>13</v>
      </c>
      <c r="F327" s="410" t="s">
        <v>14</v>
      </c>
      <c r="G327" s="410"/>
      <c r="H327" s="410"/>
      <c r="I327" s="410" t="s">
        <v>15</v>
      </c>
      <c r="J327" s="410"/>
    </row>
    <row r="328" spans="1:10">
      <c r="A328" s="410"/>
      <c r="B328" s="410"/>
      <c r="C328" s="410"/>
      <c r="D328" s="410"/>
      <c r="E328" s="410"/>
      <c r="F328" s="410"/>
      <c r="G328" s="410"/>
      <c r="H328" s="410"/>
      <c r="I328" s="410"/>
      <c r="J328" s="410"/>
    </row>
    <row r="329" spans="1:10" ht="17.45" customHeight="1">
      <c r="A329" s="381">
        <f>COUNTIFS(A334:A10527,"UC_AF_*",H334:H10527,"A tester")</f>
        <v>0</v>
      </c>
      <c r="B329" s="382"/>
      <c r="C329" s="385">
        <f>COUNTIFS(A334:A10527,"UC_AF_*",H334:H10527,"Succès")</f>
        <v>2</v>
      </c>
      <c r="D329" s="386"/>
      <c r="E329" s="389">
        <f>COUNTIFS(A334:A10527,"UC_AF_*",H334:H10527,"Echec")</f>
        <v>5</v>
      </c>
      <c r="F329" s="391">
        <f>(C329+E329)/SUM(A329:E330)</f>
        <v>1</v>
      </c>
      <c r="G329" s="392"/>
      <c r="H329" s="393"/>
      <c r="I329" s="397">
        <f>C329/SUM(A329:E330)</f>
        <v>0.2857142857142857</v>
      </c>
      <c r="J329" s="398"/>
    </row>
    <row r="330" spans="1:10">
      <c r="A330" s="383"/>
      <c r="B330" s="384"/>
      <c r="C330" s="387"/>
      <c r="D330" s="388"/>
      <c r="E330" s="390"/>
      <c r="F330" s="394"/>
      <c r="G330" s="395"/>
      <c r="H330" s="396"/>
      <c r="I330" s="399"/>
      <c r="J330" s="400"/>
    </row>
    <row r="333" spans="1:10" ht="26.25">
      <c r="A333" s="497" t="s">
        <v>471</v>
      </c>
    </row>
    <row r="335" spans="1:10" ht="28.5" customHeight="1">
      <c r="A335" s="14" t="s">
        <v>17</v>
      </c>
      <c r="B335" s="14" t="s">
        <v>19</v>
      </c>
      <c r="C335" s="14" t="s">
        <v>20</v>
      </c>
      <c r="D335" s="14" t="s">
        <v>21</v>
      </c>
      <c r="E335" s="14" t="s">
        <v>22</v>
      </c>
      <c r="F335" s="14" t="s">
        <v>23</v>
      </c>
      <c r="G335" s="14" t="s">
        <v>24</v>
      </c>
      <c r="H335" s="14" t="s">
        <v>25</v>
      </c>
      <c r="I335" s="14" t="s">
        <v>26</v>
      </c>
      <c r="J335" s="14" t="s">
        <v>27</v>
      </c>
    </row>
    <row r="336" spans="1:10" ht="78.75" customHeight="1" thickBot="1">
      <c r="A336" s="150" t="s">
        <v>472</v>
      </c>
      <c r="B336" s="150" t="s">
        <v>29</v>
      </c>
      <c r="C336" s="150" t="s">
        <v>39</v>
      </c>
      <c r="D336" s="150" t="s">
        <v>1494</v>
      </c>
      <c r="E336" s="150" t="s">
        <v>473</v>
      </c>
      <c r="F336" s="150"/>
      <c r="G336" s="175" t="s">
        <v>35</v>
      </c>
      <c r="H336" s="176" t="s">
        <v>12</v>
      </c>
      <c r="I336" s="269">
        <v>43095</v>
      </c>
      <c r="J336" s="150"/>
    </row>
    <row r="337" spans="1:10" ht="42.75" customHeight="1">
      <c r="A337" s="179" t="s">
        <v>474</v>
      </c>
      <c r="B337" s="179" t="s">
        <v>29</v>
      </c>
      <c r="C337" s="179" t="s">
        <v>39</v>
      </c>
      <c r="D337" s="179" t="s">
        <v>434</v>
      </c>
      <c r="E337" s="179" t="s">
        <v>435</v>
      </c>
      <c r="F337" s="179"/>
      <c r="G337" s="178" t="s">
        <v>35</v>
      </c>
      <c r="H337" s="176" t="s">
        <v>13</v>
      </c>
      <c r="I337" s="276">
        <v>43095</v>
      </c>
      <c r="J337" s="179"/>
    </row>
    <row r="338" spans="1:10" ht="43.15" customHeight="1" thickBot="1">
      <c r="A338" s="150" t="s">
        <v>475</v>
      </c>
      <c r="B338" s="150" t="s">
        <v>29</v>
      </c>
      <c r="C338" s="150" t="s">
        <v>39</v>
      </c>
      <c r="D338" s="150" t="s">
        <v>438</v>
      </c>
      <c r="E338" s="150" t="s">
        <v>439</v>
      </c>
      <c r="F338" s="150"/>
      <c r="G338" s="175" t="s">
        <v>35</v>
      </c>
      <c r="H338" s="176" t="s">
        <v>13</v>
      </c>
      <c r="I338" s="269">
        <v>43095</v>
      </c>
      <c r="J338" s="150"/>
    </row>
    <row r="339" spans="1:10" ht="114.75" customHeight="1">
      <c r="A339" s="179" t="s">
        <v>479</v>
      </c>
      <c r="B339" s="179" t="s">
        <v>29</v>
      </c>
      <c r="C339" s="179" t="s">
        <v>39</v>
      </c>
      <c r="D339" s="179" t="s">
        <v>480</v>
      </c>
      <c r="E339" s="179" t="s">
        <v>444</v>
      </c>
      <c r="F339" s="179"/>
      <c r="G339" s="178" t="s">
        <v>35</v>
      </c>
      <c r="H339" s="176" t="s">
        <v>13</v>
      </c>
      <c r="I339" s="276">
        <v>43095</v>
      </c>
      <c r="J339" s="179"/>
    </row>
    <row r="340" spans="1:10" ht="51" customHeight="1" thickBot="1">
      <c r="A340" s="150" t="s">
        <v>481</v>
      </c>
      <c r="B340" s="150" t="s">
        <v>29</v>
      </c>
      <c r="C340" s="150" t="s">
        <v>39</v>
      </c>
      <c r="D340" s="150" t="s">
        <v>449</v>
      </c>
      <c r="E340" s="150" t="s">
        <v>450</v>
      </c>
      <c r="F340" s="295"/>
      <c r="G340" s="175" t="s">
        <v>35</v>
      </c>
      <c r="H340" s="176" t="s">
        <v>13</v>
      </c>
      <c r="I340" s="269">
        <v>43095</v>
      </c>
      <c r="J340" s="295"/>
    </row>
    <row r="341" spans="1:10" ht="33" customHeight="1">
      <c r="A341" s="179" t="s">
        <v>1495</v>
      </c>
      <c r="B341" s="179" t="s">
        <v>29</v>
      </c>
      <c r="C341" s="179" t="s">
        <v>39</v>
      </c>
      <c r="D341" s="179" t="s">
        <v>1497</v>
      </c>
      <c r="E341" s="179" t="s">
        <v>1498</v>
      </c>
      <c r="F341" s="179"/>
      <c r="G341" s="178" t="s">
        <v>35</v>
      </c>
      <c r="H341" s="176" t="s">
        <v>12</v>
      </c>
      <c r="I341" s="276">
        <v>43095</v>
      </c>
      <c r="J341" s="179"/>
    </row>
    <row r="342" spans="1:10" ht="48.75" customHeight="1" thickBot="1">
      <c r="A342" s="150" t="s">
        <v>1496</v>
      </c>
      <c r="B342" s="150" t="s">
        <v>29</v>
      </c>
      <c r="C342" s="150" t="s">
        <v>39</v>
      </c>
      <c r="D342" s="150" t="s">
        <v>1499</v>
      </c>
      <c r="E342" s="150" t="s">
        <v>1500</v>
      </c>
      <c r="F342" s="295"/>
      <c r="G342" s="175" t="s">
        <v>35</v>
      </c>
      <c r="H342" s="176" t="s">
        <v>13</v>
      </c>
      <c r="I342" s="269">
        <v>43095</v>
      </c>
      <c r="J342" s="296" t="s">
        <v>1501</v>
      </c>
    </row>
    <row r="343" spans="1:10" s="129" customFormat="1"/>
    <row r="344" spans="1:10" s="129" customFormat="1"/>
    <row r="345" spans="1:10" ht="30.75" thickBot="1">
      <c r="A345" s="8" t="s">
        <v>498</v>
      </c>
      <c r="B345" s="62"/>
      <c r="C345" s="62"/>
      <c r="D345" s="62"/>
      <c r="E345" s="62"/>
      <c r="F345" s="62"/>
      <c r="G345" s="62"/>
      <c r="H345" s="62"/>
      <c r="I345" s="62"/>
      <c r="J345" s="62"/>
    </row>
    <row r="346" spans="1:10" ht="13.5" thickTop="1"/>
    <row r="347" spans="1:10" ht="13.15" customHeight="1">
      <c r="A347" s="410" t="s">
        <v>7</v>
      </c>
      <c r="B347" s="410"/>
      <c r="C347" s="410" t="s">
        <v>12</v>
      </c>
      <c r="D347" s="410"/>
      <c r="E347" s="410" t="s">
        <v>13</v>
      </c>
      <c r="F347" s="410" t="s">
        <v>14</v>
      </c>
      <c r="G347" s="410"/>
      <c r="H347" s="410"/>
      <c r="I347" s="410" t="s">
        <v>15</v>
      </c>
      <c r="J347" s="410"/>
    </row>
    <row r="348" spans="1:10" ht="13.15" customHeight="1">
      <c r="A348" s="410"/>
      <c r="B348" s="410"/>
      <c r="C348" s="410"/>
      <c r="D348" s="410"/>
      <c r="E348" s="410"/>
      <c r="F348" s="410"/>
      <c r="G348" s="410"/>
      <c r="H348" s="410"/>
      <c r="I348" s="410"/>
      <c r="J348" s="410"/>
    </row>
    <row r="349" spans="1:10" ht="13.15" customHeight="1">
      <c r="A349" s="381">
        <f>COUNTIFS(A354:A10546,"UC_AA_*",H354:H10546,"A tester")</f>
        <v>43</v>
      </c>
      <c r="B349" s="382"/>
      <c r="C349" s="385">
        <f>COUNTIFS(A354:A10546,"UC_AA_*",H354:H10546,"Succès")</f>
        <v>20</v>
      </c>
      <c r="D349" s="386"/>
      <c r="E349" s="389">
        <f>COUNTIFS(A354:A10546,"UC_AA_*",H354:H10546,"Echec")</f>
        <v>6</v>
      </c>
      <c r="F349" s="391">
        <f>(C349+E349)/SUM(A349:E350)</f>
        <v>0.37681159420289856</v>
      </c>
      <c r="G349" s="392"/>
      <c r="H349" s="393"/>
      <c r="I349" s="397">
        <f>C349/SUM(A349:E350)</f>
        <v>0.28985507246376813</v>
      </c>
      <c r="J349" s="398"/>
    </row>
    <row r="350" spans="1:10" ht="13.15" customHeight="1">
      <c r="A350" s="383"/>
      <c r="B350" s="384"/>
      <c r="C350" s="387"/>
      <c r="D350" s="388"/>
      <c r="E350" s="390"/>
      <c r="F350" s="394"/>
      <c r="G350" s="395"/>
      <c r="H350" s="396"/>
      <c r="I350" s="399"/>
      <c r="J350" s="400"/>
    </row>
    <row r="352" spans="1:10" s="136" customFormat="1"/>
    <row r="353" spans="1:10" ht="26.25">
      <c r="A353" s="497" t="s">
        <v>499</v>
      </c>
      <c r="B353" s="136"/>
      <c r="C353" s="136"/>
    </row>
    <row r="355" spans="1:10" ht="23.25" customHeight="1">
      <c r="A355" s="196" t="s">
        <v>17</v>
      </c>
      <c r="B355" s="196" t="s">
        <v>19</v>
      </c>
      <c r="C355" s="196" t="s">
        <v>20</v>
      </c>
      <c r="D355" s="196" t="s">
        <v>21</v>
      </c>
      <c r="E355" s="196" t="s">
        <v>22</v>
      </c>
      <c r="F355" s="196" t="s">
        <v>23</v>
      </c>
      <c r="G355" s="196" t="s">
        <v>24</v>
      </c>
      <c r="H355" s="196" t="s">
        <v>25</v>
      </c>
      <c r="I355" s="196" t="s">
        <v>26</v>
      </c>
      <c r="J355" s="196" t="s">
        <v>27</v>
      </c>
    </row>
    <row r="356" spans="1:10" ht="56.25" customHeight="1" thickBot="1">
      <c r="A356" s="150" t="s">
        <v>500</v>
      </c>
      <c r="B356" s="150" t="s">
        <v>29</v>
      </c>
      <c r="C356" s="150" t="s">
        <v>39</v>
      </c>
      <c r="D356" s="150" t="s">
        <v>1509</v>
      </c>
      <c r="E356" s="150" t="s">
        <v>501</v>
      </c>
      <c r="F356" s="184"/>
      <c r="G356" s="175" t="s">
        <v>35</v>
      </c>
      <c r="H356" s="176" t="s">
        <v>12</v>
      </c>
      <c r="I356" s="269">
        <v>43095</v>
      </c>
      <c r="J356" s="150"/>
    </row>
    <row r="357" spans="1:10" ht="54" customHeight="1">
      <c r="A357" s="226" t="s">
        <v>502</v>
      </c>
      <c r="B357" s="203" t="s">
        <v>29</v>
      </c>
      <c r="C357" s="203" t="s">
        <v>39</v>
      </c>
      <c r="D357" s="226" t="s">
        <v>813</v>
      </c>
      <c r="E357" s="226" t="s">
        <v>814</v>
      </c>
      <c r="F357" s="165" t="str">
        <f>HYPERLINK("[Tagerim.xlsx]RM_AA_CD_10",RM_AA_CD_10)</f>
        <v>RM_AA_CD_10</v>
      </c>
      <c r="G357" s="183" t="s">
        <v>35</v>
      </c>
      <c r="H357" s="176" t="s">
        <v>12</v>
      </c>
      <c r="I357" s="276">
        <v>43095</v>
      </c>
      <c r="J357" s="179"/>
    </row>
    <row r="358" spans="1:10" ht="47.25" customHeight="1" thickBot="1">
      <c r="A358" s="150" t="s">
        <v>816</v>
      </c>
      <c r="B358" s="150" t="s">
        <v>29</v>
      </c>
      <c r="C358" s="150" t="s">
        <v>39</v>
      </c>
      <c r="D358" s="150" t="s">
        <v>822</v>
      </c>
      <c r="E358" s="150" t="s">
        <v>814</v>
      </c>
      <c r="F358" s="184" t="str">
        <f>HYPERLINK("[Tagerim.xlsx]RM_AA_CD_20",RM_AA_CD_20)</f>
        <v>RM_AA_CD_20</v>
      </c>
      <c r="G358" s="175" t="s">
        <v>35</v>
      </c>
      <c r="H358" s="176" t="s">
        <v>12</v>
      </c>
      <c r="I358" s="269">
        <v>43095</v>
      </c>
      <c r="J358" s="150"/>
    </row>
    <row r="359" spans="1:10" s="166" customFormat="1" ht="43.5" customHeight="1">
      <c r="A359" s="226" t="s">
        <v>817</v>
      </c>
      <c r="B359" s="203" t="s">
        <v>29</v>
      </c>
      <c r="C359" s="203" t="s">
        <v>39</v>
      </c>
      <c r="D359" s="226" t="s">
        <v>1505</v>
      </c>
      <c r="E359" s="226" t="s">
        <v>826</v>
      </c>
      <c r="F359" s="165" t="str">
        <f>HYPERLINK("[Tagerim.xlsx]RM_AA_CD_30",RM_AA_CD_30)</f>
        <v>RM_AA_CD_30</v>
      </c>
      <c r="G359" s="183" t="s">
        <v>35</v>
      </c>
      <c r="H359" s="176" t="s">
        <v>12</v>
      </c>
      <c r="I359" s="276">
        <v>43095</v>
      </c>
      <c r="J359" s="179"/>
    </row>
    <row r="360" spans="1:10" s="166" customFormat="1" ht="35.450000000000003" customHeight="1" thickBot="1">
      <c r="A360" s="150" t="s">
        <v>818</v>
      </c>
      <c r="B360" s="150" t="s">
        <v>29</v>
      </c>
      <c r="C360" s="150" t="s">
        <v>39</v>
      </c>
      <c r="D360" s="150" t="s">
        <v>831</v>
      </c>
      <c r="E360" s="150" t="s">
        <v>832</v>
      </c>
      <c r="F360" s="184"/>
      <c r="G360" s="175" t="s">
        <v>35</v>
      </c>
      <c r="H360" s="176" t="s">
        <v>12</v>
      </c>
      <c r="I360" s="269">
        <v>43095</v>
      </c>
      <c r="J360" s="150"/>
    </row>
    <row r="361" spans="1:10" s="244" customFormat="1" ht="77.25" customHeight="1">
      <c r="A361" s="226" t="s">
        <v>1516</v>
      </c>
      <c r="B361" s="226" t="s">
        <v>29</v>
      </c>
      <c r="C361" s="226" t="s">
        <v>39</v>
      </c>
      <c r="D361" s="226" t="s">
        <v>1513</v>
      </c>
      <c r="E361" s="226" t="s">
        <v>1514</v>
      </c>
      <c r="F361" s="226"/>
      <c r="G361" s="198" t="s">
        <v>35</v>
      </c>
      <c r="H361" s="176" t="s">
        <v>12</v>
      </c>
      <c r="I361" s="276">
        <v>43095</v>
      </c>
      <c r="J361" s="226"/>
    </row>
    <row r="362" spans="1:10" s="166" customFormat="1" ht="43.9" customHeight="1" thickBot="1">
      <c r="A362" s="201" t="s">
        <v>819</v>
      </c>
      <c r="B362" s="202" t="s">
        <v>29</v>
      </c>
      <c r="C362" s="202" t="s">
        <v>39</v>
      </c>
      <c r="D362" s="201" t="s">
        <v>1506</v>
      </c>
      <c r="E362" s="201" t="s">
        <v>833</v>
      </c>
      <c r="F362" s="164"/>
      <c r="G362" s="186" t="s">
        <v>35</v>
      </c>
      <c r="H362" s="218" t="s">
        <v>12</v>
      </c>
      <c r="I362" s="269">
        <v>43095</v>
      </c>
      <c r="J362" s="202"/>
    </row>
    <row r="363" spans="1:10" s="166" customFormat="1" ht="37.15" customHeight="1">
      <c r="A363" s="226" t="s">
        <v>820</v>
      </c>
      <c r="B363" s="226" t="s">
        <v>29</v>
      </c>
      <c r="C363" s="226" t="s">
        <v>39</v>
      </c>
      <c r="D363" s="226" t="s">
        <v>834</v>
      </c>
      <c r="E363" s="226" t="s">
        <v>835</v>
      </c>
      <c r="F363" s="237"/>
      <c r="G363" s="198" t="s">
        <v>35</v>
      </c>
      <c r="H363" s="252" t="s">
        <v>13</v>
      </c>
      <c r="I363" s="276">
        <v>43095</v>
      </c>
      <c r="J363" s="226" t="s">
        <v>1507</v>
      </c>
    </row>
    <row r="364" spans="1:10" s="166" customFormat="1" ht="53.25" customHeight="1" thickBot="1">
      <c r="A364" s="201" t="s">
        <v>821</v>
      </c>
      <c r="B364" s="202" t="s">
        <v>29</v>
      </c>
      <c r="C364" s="202" t="s">
        <v>39</v>
      </c>
      <c r="D364" s="201" t="s">
        <v>836</v>
      </c>
      <c r="E364" s="201" t="s">
        <v>839</v>
      </c>
      <c r="F364" s="164" t="str">
        <f>HYPERLINK("[Tagerim.xlsx]RM_AA_CD_40",RM_AA_CD_40)</f>
        <v>RM_AA_CD_40</v>
      </c>
      <c r="G364" s="186" t="s">
        <v>35</v>
      </c>
      <c r="H364" s="218" t="s">
        <v>12</v>
      </c>
      <c r="I364" s="269">
        <v>43095</v>
      </c>
      <c r="J364" s="202" t="s">
        <v>1451</v>
      </c>
    </row>
    <row r="365" spans="1:10" s="166" customFormat="1"/>
    <row r="367" spans="1:10" ht="26.25">
      <c r="A367" s="497" t="s">
        <v>506</v>
      </c>
      <c r="B367" s="136"/>
      <c r="C367" s="136"/>
      <c r="D367" s="136"/>
      <c r="E367" s="136"/>
      <c r="F367" s="136"/>
      <c r="G367" s="136"/>
      <c r="H367" s="136"/>
      <c r="I367" s="136"/>
      <c r="J367" s="136"/>
    </row>
    <row r="368" spans="1:10">
      <c r="A368" s="136"/>
      <c r="B368" s="136"/>
      <c r="C368" s="136"/>
      <c r="D368" s="136"/>
      <c r="E368" s="136"/>
      <c r="F368" s="136"/>
      <c r="G368" s="136"/>
      <c r="H368" s="136"/>
      <c r="I368" s="136"/>
      <c r="J368" s="136"/>
    </row>
    <row r="369" spans="1:10" ht="24" customHeight="1">
      <c r="A369" s="169" t="s">
        <v>17</v>
      </c>
      <c r="B369" s="169" t="s">
        <v>19</v>
      </c>
      <c r="C369" s="169" t="s">
        <v>20</v>
      </c>
      <c r="D369" s="169" t="s">
        <v>21</v>
      </c>
      <c r="E369" s="169" t="s">
        <v>22</v>
      </c>
      <c r="F369" s="169" t="s">
        <v>23</v>
      </c>
      <c r="G369" s="169" t="s">
        <v>24</v>
      </c>
      <c r="H369" s="169" t="s">
        <v>25</v>
      </c>
      <c r="I369" s="169" t="s">
        <v>26</v>
      </c>
      <c r="J369" s="169" t="s">
        <v>27</v>
      </c>
    </row>
    <row r="370" spans="1:10" ht="60" customHeight="1" thickBot="1">
      <c r="A370" s="150" t="s">
        <v>503</v>
      </c>
      <c r="B370" s="150" t="s">
        <v>29</v>
      </c>
      <c r="C370" s="150" t="s">
        <v>39</v>
      </c>
      <c r="D370" s="150" t="s">
        <v>1508</v>
      </c>
      <c r="E370" s="150" t="s">
        <v>505</v>
      </c>
      <c r="F370" s="150"/>
      <c r="G370" s="175" t="s">
        <v>35</v>
      </c>
      <c r="H370" s="176" t="s">
        <v>12</v>
      </c>
      <c r="I370" s="269">
        <v>43095</v>
      </c>
      <c r="J370" s="150"/>
    </row>
    <row r="371" spans="1:10" ht="48.75" customHeight="1">
      <c r="A371" s="226" t="s">
        <v>504</v>
      </c>
      <c r="B371" s="203" t="s">
        <v>29</v>
      </c>
      <c r="C371" s="203" t="s">
        <v>39</v>
      </c>
      <c r="D371" s="226" t="s">
        <v>1510</v>
      </c>
      <c r="E371" s="226" t="s">
        <v>814</v>
      </c>
      <c r="F371" s="165" t="str">
        <f>HYPERLINK("[Tagerim.xlsx]RM_AA_CM_10",RM_AA_CM_10)</f>
        <v>RM_AA_CM_10</v>
      </c>
      <c r="G371" s="183" t="s">
        <v>35</v>
      </c>
      <c r="H371" s="176" t="s">
        <v>12</v>
      </c>
      <c r="I371" s="276">
        <v>43095</v>
      </c>
      <c r="J371" s="179"/>
    </row>
    <row r="372" spans="1:10" s="244" customFormat="1" ht="93" customHeight="1" thickBot="1">
      <c r="A372" s="150" t="s">
        <v>840</v>
      </c>
      <c r="B372" s="150" t="s">
        <v>29</v>
      </c>
      <c r="C372" s="150" t="s">
        <v>39</v>
      </c>
      <c r="D372" s="150" t="s">
        <v>1513</v>
      </c>
      <c r="E372" s="150" t="s">
        <v>1514</v>
      </c>
      <c r="F372" s="150"/>
      <c r="G372" s="175" t="s">
        <v>35</v>
      </c>
      <c r="H372" s="176" t="s">
        <v>13</v>
      </c>
      <c r="I372" s="269">
        <v>43095</v>
      </c>
      <c r="J372" s="150" t="s">
        <v>1515</v>
      </c>
    </row>
    <row r="373" spans="1:10" s="166" customFormat="1" ht="48" customHeight="1">
      <c r="A373" s="226" t="s">
        <v>841</v>
      </c>
      <c r="B373" s="203" t="s">
        <v>29</v>
      </c>
      <c r="C373" s="203" t="s">
        <v>39</v>
      </c>
      <c r="D373" s="226" t="s">
        <v>825</v>
      </c>
      <c r="E373" s="226" t="s">
        <v>826</v>
      </c>
      <c r="F373" s="165" t="str">
        <f>HYPERLINK("[Tagerim.xlsx]RM_AA_CM_30",RM_AA_CM_30)</f>
        <v>RM_AA_CM_30</v>
      </c>
      <c r="G373" s="183" t="s">
        <v>35</v>
      </c>
      <c r="H373" s="252" t="s">
        <v>12</v>
      </c>
      <c r="I373" s="276">
        <v>43095</v>
      </c>
      <c r="J373" s="203"/>
    </row>
    <row r="374" spans="1:10" s="166" customFormat="1" ht="30" customHeight="1" thickBot="1">
      <c r="A374" s="201" t="s">
        <v>842</v>
      </c>
      <c r="B374" s="201" t="s">
        <v>1294</v>
      </c>
      <c r="C374" s="201" t="s">
        <v>39</v>
      </c>
      <c r="D374" s="201" t="s">
        <v>834</v>
      </c>
      <c r="E374" s="201" t="s">
        <v>835</v>
      </c>
      <c r="F374" s="201"/>
      <c r="G374" s="181" t="s">
        <v>35</v>
      </c>
      <c r="H374" s="176" t="s">
        <v>7</v>
      </c>
      <c r="I374" s="269"/>
      <c r="J374" s="201"/>
    </row>
    <row r="375" spans="1:10" s="166" customFormat="1" ht="48.75" customHeight="1">
      <c r="A375" s="226" t="s">
        <v>843</v>
      </c>
      <c r="B375" s="203" t="s">
        <v>29</v>
      </c>
      <c r="C375" s="203" t="s">
        <v>39</v>
      </c>
      <c r="D375" s="226" t="s">
        <v>836</v>
      </c>
      <c r="E375" s="226" t="s">
        <v>839</v>
      </c>
      <c r="F375" s="165" t="str">
        <f>HYPERLINK("[Tagerim.xlsx]RM_AA_CM_40",RM_AA_CM_40)</f>
        <v>RM_AA_CM_40</v>
      </c>
      <c r="G375" s="183" t="s">
        <v>35</v>
      </c>
      <c r="H375" s="252" t="s">
        <v>13</v>
      </c>
      <c r="I375" s="276">
        <v>43095</v>
      </c>
      <c r="J375" s="203" t="s">
        <v>1451</v>
      </c>
    </row>
    <row r="376" spans="1:10" s="166" customFormat="1" ht="156" customHeight="1" thickBot="1">
      <c r="A376" s="201" t="s">
        <v>842</v>
      </c>
      <c r="B376" s="201" t="s">
        <v>29</v>
      </c>
      <c r="C376" s="201" t="s">
        <v>39</v>
      </c>
      <c r="D376" s="201" t="s">
        <v>1677</v>
      </c>
      <c r="E376" s="201" t="s">
        <v>1678</v>
      </c>
      <c r="F376" s="201"/>
      <c r="G376" s="181" t="s">
        <v>35</v>
      </c>
      <c r="H376" s="218" t="s">
        <v>13</v>
      </c>
      <c r="I376" s="269">
        <v>43095</v>
      </c>
      <c r="J376" s="201" t="s">
        <v>1679</v>
      </c>
    </row>
    <row r="377" spans="1:10" s="244" customFormat="1"/>
    <row r="379" spans="1:10" ht="26.25">
      <c r="A379" s="497" t="s">
        <v>544</v>
      </c>
      <c r="B379" s="136"/>
      <c r="C379" s="136"/>
      <c r="D379" s="136"/>
      <c r="E379" s="136"/>
      <c r="F379" s="136"/>
      <c r="G379" s="136"/>
      <c r="H379" s="136"/>
      <c r="I379" s="136"/>
      <c r="J379" s="136"/>
    </row>
    <row r="380" spans="1:10">
      <c r="A380" s="136"/>
      <c r="B380" s="136"/>
      <c r="C380" s="136"/>
      <c r="D380" s="136"/>
      <c r="E380" s="136"/>
      <c r="F380" s="136"/>
      <c r="G380" s="136"/>
      <c r="H380" s="136"/>
      <c r="I380" s="136"/>
      <c r="J380" s="136"/>
    </row>
    <row r="381" spans="1:10" ht="24" customHeight="1">
      <c r="A381" s="232" t="s">
        <v>17</v>
      </c>
      <c r="B381" s="232" t="s">
        <v>19</v>
      </c>
      <c r="C381" s="232" t="s">
        <v>20</v>
      </c>
      <c r="D381" s="232" t="s">
        <v>21</v>
      </c>
      <c r="E381" s="232" t="s">
        <v>22</v>
      </c>
      <c r="F381" s="232" t="s">
        <v>23</v>
      </c>
      <c r="G381" s="232" t="s">
        <v>24</v>
      </c>
      <c r="H381" s="232" t="s">
        <v>25</v>
      </c>
      <c r="I381" s="232" t="s">
        <v>26</v>
      </c>
      <c r="J381" s="232" t="s">
        <v>27</v>
      </c>
    </row>
    <row r="382" spans="1:10" ht="45.75" customHeight="1">
      <c r="A382" s="150" t="s">
        <v>579</v>
      </c>
      <c r="B382" s="150" t="s">
        <v>29</v>
      </c>
      <c r="C382" s="150" t="s">
        <v>39</v>
      </c>
      <c r="D382" s="150" t="s">
        <v>1517</v>
      </c>
      <c r="E382" s="150" t="s">
        <v>507</v>
      </c>
      <c r="F382" s="150"/>
      <c r="G382" s="175" t="s">
        <v>35</v>
      </c>
      <c r="H382" s="176" t="s">
        <v>7</v>
      </c>
      <c r="I382" s="150"/>
      <c r="J382" s="150"/>
    </row>
    <row r="383" spans="1:10" ht="47.25" customHeight="1">
      <c r="A383" s="226" t="s">
        <v>580</v>
      </c>
      <c r="B383" s="179" t="s">
        <v>29</v>
      </c>
      <c r="C383" s="179" t="s">
        <v>39</v>
      </c>
      <c r="D383" s="226" t="s">
        <v>508</v>
      </c>
      <c r="E383" s="226" t="s">
        <v>512</v>
      </c>
      <c r="F383" s="200" t="str">
        <f>HYPERLINK("[Tagerim.xlsx]RM_AA_RF_10",RM_AA_RF_10)</f>
        <v>RM_AA_RF_10</v>
      </c>
      <c r="G383" s="178" t="s">
        <v>35</v>
      </c>
      <c r="H383" s="176" t="s">
        <v>7</v>
      </c>
      <c r="I383" s="179"/>
      <c r="J383" s="179"/>
    </row>
    <row r="384" spans="1:10" ht="35.450000000000003" customHeight="1">
      <c r="A384" s="150" t="s">
        <v>581</v>
      </c>
      <c r="B384" s="150" t="s">
        <v>29</v>
      </c>
      <c r="C384" s="150" t="s">
        <v>39</v>
      </c>
      <c r="D384" s="150" t="s">
        <v>509</v>
      </c>
      <c r="E384" s="150"/>
      <c r="F384" s="150"/>
      <c r="G384" s="175" t="s">
        <v>35</v>
      </c>
      <c r="H384" s="176" t="s">
        <v>7</v>
      </c>
      <c r="I384" s="150"/>
      <c r="J384" s="150"/>
    </row>
    <row r="385" spans="1:10" ht="38.25" customHeight="1">
      <c r="A385" s="226" t="s">
        <v>582</v>
      </c>
      <c r="B385" s="179" t="s">
        <v>29</v>
      </c>
      <c r="C385" s="179" t="s">
        <v>39</v>
      </c>
      <c r="D385" s="226" t="s">
        <v>510</v>
      </c>
      <c r="E385" s="226" t="s">
        <v>555</v>
      </c>
      <c r="F385" s="165" t="str">
        <f>HYPERLINK("[Tagerim.xlsx]RM_AA_RF_20",RM_AA_RF_20)</f>
        <v>RM_AA_RF_20</v>
      </c>
      <c r="G385" s="183" t="s">
        <v>35</v>
      </c>
      <c r="H385" s="176" t="s">
        <v>7</v>
      </c>
      <c r="I385" s="179"/>
      <c r="J385" s="179"/>
    </row>
    <row r="386" spans="1:10" ht="37.5" customHeight="1">
      <c r="A386" s="201" t="s">
        <v>583</v>
      </c>
      <c r="B386" s="201" t="s">
        <v>29</v>
      </c>
      <c r="C386" s="201" t="s">
        <v>39</v>
      </c>
      <c r="D386" s="201" t="s">
        <v>511</v>
      </c>
      <c r="E386" s="201" t="s">
        <v>513</v>
      </c>
      <c r="F386" s="164" t="str">
        <f>HYPERLINK("[Tagerim.xlsx]RM_AA_RF_30",RM_AA_RF_30)</f>
        <v>RM_AA_RF_30</v>
      </c>
      <c r="G386" s="181" t="s">
        <v>35</v>
      </c>
      <c r="H386" s="176" t="s">
        <v>7</v>
      </c>
      <c r="I386" s="150"/>
      <c r="J386" s="150"/>
    </row>
    <row r="387" spans="1:10" ht="44.25" customHeight="1">
      <c r="A387" s="226" t="s">
        <v>584</v>
      </c>
      <c r="B387" s="226" t="s">
        <v>29</v>
      </c>
      <c r="C387" s="226" t="s">
        <v>39</v>
      </c>
      <c r="D387" s="226" t="s">
        <v>543</v>
      </c>
      <c r="E387" s="226" t="s">
        <v>542</v>
      </c>
      <c r="F387" s="165" t="str">
        <f>HYPERLINK("[Tagerim.xlsx]RM_AA_RF_40",RM_AA_RF_40)</f>
        <v>RM_AA_RF_40</v>
      </c>
      <c r="G387" s="198" t="s">
        <v>35</v>
      </c>
      <c r="H387" s="176" t="s">
        <v>7</v>
      </c>
      <c r="I387" s="226"/>
      <c r="J387" s="226"/>
    </row>
    <row r="388" spans="1:10" ht="52.15" customHeight="1">
      <c r="A388" s="201" t="s">
        <v>585</v>
      </c>
      <c r="B388" s="201" t="s">
        <v>29</v>
      </c>
      <c r="C388" s="201" t="s">
        <v>39</v>
      </c>
      <c r="D388" s="201" t="s">
        <v>515</v>
      </c>
      <c r="E388" s="201" t="s">
        <v>556</v>
      </c>
      <c r="F388" s="164" t="str">
        <f>HYPERLINK("[Tagerim.xlsx]RM_AA_RF_50",RM_AA_RF_50)</f>
        <v>RM_AA_RF_50</v>
      </c>
      <c r="G388" s="181" t="s">
        <v>35</v>
      </c>
      <c r="H388" s="176" t="s">
        <v>7</v>
      </c>
      <c r="I388" s="150"/>
      <c r="J388" s="150"/>
    </row>
    <row r="390" spans="1:10" s="136" customFormat="1"/>
    <row r="391" spans="1:10" s="136" customFormat="1" ht="26.25">
      <c r="A391" s="497" t="s">
        <v>557</v>
      </c>
    </row>
    <row r="392" spans="1:10" s="136" customFormat="1"/>
    <row r="393" spans="1:10" s="136" customFormat="1" ht="30" customHeight="1">
      <c r="A393" s="10" t="s">
        <v>17</v>
      </c>
      <c r="B393" s="10" t="s">
        <v>19</v>
      </c>
      <c r="C393" s="10" t="s">
        <v>20</v>
      </c>
      <c r="D393" s="10" t="s">
        <v>21</v>
      </c>
      <c r="E393" s="10" t="s">
        <v>22</v>
      </c>
      <c r="F393" s="10" t="s">
        <v>23</v>
      </c>
      <c r="G393" s="10" t="s">
        <v>24</v>
      </c>
      <c r="H393" s="10" t="s">
        <v>25</v>
      </c>
      <c r="I393" s="10" t="s">
        <v>26</v>
      </c>
      <c r="J393" s="10" t="s">
        <v>27</v>
      </c>
    </row>
    <row r="394" spans="1:10" s="136" customFormat="1" ht="63.6" customHeight="1">
      <c r="A394" s="42" t="s">
        <v>558</v>
      </c>
      <c r="B394" s="42" t="s">
        <v>29</v>
      </c>
      <c r="C394" s="42" t="s">
        <v>39</v>
      </c>
      <c r="D394" s="42" t="s">
        <v>578</v>
      </c>
      <c r="E394" s="42" t="s">
        <v>565</v>
      </c>
      <c r="F394" s="42"/>
      <c r="G394" s="17" t="s">
        <v>35</v>
      </c>
      <c r="H394" s="11" t="s">
        <v>7</v>
      </c>
      <c r="I394" s="42"/>
      <c r="J394" s="42"/>
    </row>
    <row r="395" spans="1:10" s="136" customFormat="1" ht="36.6" customHeight="1">
      <c r="A395" s="78" t="s">
        <v>559</v>
      </c>
      <c r="B395" s="40" t="s">
        <v>29</v>
      </c>
      <c r="C395" s="40" t="s">
        <v>39</v>
      </c>
      <c r="D395" s="78" t="s">
        <v>710</v>
      </c>
      <c r="E395" s="78" t="s">
        <v>566</v>
      </c>
      <c r="F395" s="40"/>
      <c r="G395" s="23" t="s">
        <v>35</v>
      </c>
      <c r="H395" s="11" t="s">
        <v>7</v>
      </c>
      <c r="I395" s="40"/>
      <c r="J395" s="40"/>
    </row>
    <row r="396" spans="1:10" s="136" customFormat="1" ht="32.450000000000003" customHeight="1">
      <c r="A396" s="42" t="s">
        <v>560</v>
      </c>
      <c r="B396" s="42" t="s">
        <v>29</v>
      </c>
      <c r="C396" s="42" t="s">
        <v>39</v>
      </c>
      <c r="D396" s="42" t="s">
        <v>568</v>
      </c>
      <c r="E396" s="42" t="s">
        <v>569</v>
      </c>
      <c r="F396" s="42"/>
      <c r="G396" s="17" t="s">
        <v>35</v>
      </c>
      <c r="H396" s="11" t="s">
        <v>7</v>
      </c>
      <c r="I396" s="42"/>
      <c r="J396" s="42"/>
    </row>
    <row r="397" spans="1:10" s="136" customFormat="1" ht="42" customHeight="1">
      <c r="A397" s="78" t="s">
        <v>561</v>
      </c>
      <c r="B397" s="77" t="s">
        <v>29</v>
      </c>
      <c r="C397" s="77" t="s">
        <v>39</v>
      </c>
      <c r="D397" s="78" t="s">
        <v>570</v>
      </c>
      <c r="E397" s="78" t="s">
        <v>571</v>
      </c>
      <c r="F397" s="159" t="str">
        <f>HYPERLINK("[Tagerim.xlsx]RM_AA_AC_10",RM_AA_AC_10)</f>
        <v>RM_AA_AC_10</v>
      </c>
      <c r="G397" s="138" t="s">
        <v>35</v>
      </c>
      <c r="H397" s="11" t="s">
        <v>7</v>
      </c>
      <c r="I397" s="40"/>
      <c r="J397" s="40"/>
    </row>
    <row r="398" spans="1:10" s="136" customFormat="1" ht="36.6" customHeight="1">
      <c r="A398" s="42" t="s">
        <v>562</v>
      </c>
      <c r="B398" s="42" t="s">
        <v>29</v>
      </c>
      <c r="C398" s="42" t="s">
        <v>39</v>
      </c>
      <c r="D398" s="42" t="s">
        <v>572</v>
      </c>
      <c r="E398" s="42" t="s">
        <v>573</v>
      </c>
      <c r="F398" s="42"/>
      <c r="G398" s="17" t="s">
        <v>35</v>
      </c>
      <c r="H398" s="11" t="s">
        <v>7</v>
      </c>
      <c r="I398" s="42"/>
      <c r="J398" s="42"/>
    </row>
    <row r="399" spans="1:10" s="136" customFormat="1" ht="49.5" customHeight="1">
      <c r="A399" s="78" t="s">
        <v>563</v>
      </c>
      <c r="B399" s="78" t="s">
        <v>29</v>
      </c>
      <c r="C399" s="78" t="s">
        <v>39</v>
      </c>
      <c r="D399" s="78" t="s">
        <v>710</v>
      </c>
      <c r="E399" s="78" t="s">
        <v>566</v>
      </c>
      <c r="F399" s="78"/>
      <c r="G399" s="79" t="s">
        <v>35</v>
      </c>
      <c r="H399" s="11" t="s">
        <v>7</v>
      </c>
      <c r="I399" s="78"/>
      <c r="J399" s="78"/>
    </row>
    <row r="400" spans="1:10" s="136" customFormat="1" ht="54" customHeight="1">
      <c r="A400" s="42" t="s">
        <v>564</v>
      </c>
      <c r="B400" s="42" t="s">
        <v>29</v>
      </c>
      <c r="C400" s="42" t="s">
        <v>39</v>
      </c>
      <c r="D400" s="42" t="s">
        <v>574</v>
      </c>
      <c r="E400" s="42" t="s">
        <v>567</v>
      </c>
      <c r="F400" s="42"/>
      <c r="G400" s="17" t="s">
        <v>35</v>
      </c>
      <c r="H400" s="11" t="s">
        <v>7</v>
      </c>
      <c r="I400" s="42"/>
      <c r="J400" s="42"/>
    </row>
    <row r="401" spans="1:10" s="136" customFormat="1" ht="13.9" customHeight="1"/>
    <row r="403" spans="1:10" ht="26.25">
      <c r="A403" s="497" t="s">
        <v>575</v>
      </c>
    </row>
    <row r="405" spans="1:10" ht="27.75" customHeight="1">
      <c r="A405" s="14" t="s">
        <v>17</v>
      </c>
      <c r="B405" s="14" t="s">
        <v>19</v>
      </c>
      <c r="C405" s="14" t="s">
        <v>20</v>
      </c>
      <c r="D405" s="14" t="s">
        <v>21</v>
      </c>
      <c r="E405" s="14" t="s">
        <v>22</v>
      </c>
      <c r="F405" s="14" t="s">
        <v>23</v>
      </c>
      <c r="G405" s="14" t="s">
        <v>24</v>
      </c>
      <c r="H405" s="14" t="s">
        <v>25</v>
      </c>
      <c r="I405" s="14" t="s">
        <v>26</v>
      </c>
      <c r="J405" s="14" t="s">
        <v>27</v>
      </c>
    </row>
    <row r="406" spans="1:10" ht="65.25" customHeight="1">
      <c r="A406" s="150" t="s">
        <v>586</v>
      </c>
      <c r="B406" s="150" t="s">
        <v>29</v>
      </c>
      <c r="C406" s="150" t="s">
        <v>140</v>
      </c>
      <c r="D406" s="150" t="s">
        <v>517</v>
      </c>
      <c r="E406" s="150" t="s">
        <v>507</v>
      </c>
      <c r="F406" s="150"/>
      <c r="G406" s="175" t="s">
        <v>35</v>
      </c>
      <c r="H406" s="176" t="s">
        <v>7</v>
      </c>
      <c r="I406" s="150"/>
      <c r="J406" s="150"/>
    </row>
    <row r="407" spans="1:10" ht="46.5" customHeight="1">
      <c r="A407" s="226" t="s">
        <v>587</v>
      </c>
      <c r="B407" s="179" t="s">
        <v>29</v>
      </c>
      <c r="C407" s="226" t="s">
        <v>140</v>
      </c>
      <c r="D407" s="226" t="s">
        <v>508</v>
      </c>
      <c r="E407" s="226" t="s">
        <v>512</v>
      </c>
      <c r="F407" s="165" t="str">
        <f>HYPERLINK("[Tagerim.xlsx]RM_AA_RR_10",RM_AA_RR_10)</f>
        <v>RM_AA_RR_10</v>
      </c>
      <c r="G407" s="183" t="s">
        <v>35</v>
      </c>
      <c r="H407" s="176" t="s">
        <v>7</v>
      </c>
      <c r="I407" s="179"/>
      <c r="J407" s="179"/>
    </row>
    <row r="408" spans="1:10" ht="45" customHeight="1">
      <c r="A408" s="201" t="s">
        <v>588</v>
      </c>
      <c r="B408" s="201" t="s">
        <v>29</v>
      </c>
      <c r="C408" s="201" t="s">
        <v>140</v>
      </c>
      <c r="D408" s="201" t="s">
        <v>649</v>
      </c>
      <c r="E408" s="201" t="s">
        <v>650</v>
      </c>
      <c r="F408" s="164" t="str">
        <f>HYPERLINK("[Tagerim.xlsx]RM_AA_RR_20",RM_AA_RR_20)</f>
        <v>RM_AA_RR_20</v>
      </c>
      <c r="G408" s="181" t="s">
        <v>35</v>
      </c>
      <c r="H408" s="176" t="s">
        <v>7</v>
      </c>
      <c r="I408" s="150"/>
      <c r="J408" s="150"/>
    </row>
    <row r="409" spans="1:10" ht="33.6" customHeight="1">
      <c r="A409" s="226" t="s">
        <v>589</v>
      </c>
      <c r="B409" s="179" t="s">
        <v>29</v>
      </c>
      <c r="C409" s="226" t="s">
        <v>140</v>
      </c>
      <c r="D409" s="226" t="s">
        <v>510</v>
      </c>
      <c r="E409" s="226" t="s">
        <v>518</v>
      </c>
      <c r="F409" s="165" t="str">
        <f>HYPERLINK("[Tagerim.xlsx]RM_AA_RR_30",RM_AA_RR_30)</f>
        <v>RM_AA_RR_30</v>
      </c>
      <c r="G409" s="178" t="s">
        <v>35</v>
      </c>
      <c r="H409" s="176" t="s">
        <v>7</v>
      </c>
      <c r="I409" s="179"/>
      <c r="J409" s="179"/>
    </row>
    <row r="410" spans="1:10" ht="34.15" customHeight="1">
      <c r="A410" s="201" t="s">
        <v>590</v>
      </c>
      <c r="B410" s="201" t="s">
        <v>29</v>
      </c>
      <c r="C410" s="201" t="s">
        <v>140</v>
      </c>
      <c r="D410" s="201" t="s">
        <v>511</v>
      </c>
      <c r="E410" s="201" t="s">
        <v>513</v>
      </c>
      <c r="F410" s="164" t="str">
        <f>HYPERLINK("[Tagerim.xlsx]RM_AA_RR_40",RM_AA_RR_40)</f>
        <v>RM_AA_RR_40</v>
      </c>
      <c r="G410" s="181" t="s">
        <v>35</v>
      </c>
      <c r="H410" s="176" t="s">
        <v>7</v>
      </c>
      <c r="I410" s="150"/>
      <c r="J410" s="150"/>
    </row>
    <row r="411" spans="1:10" ht="34.9" customHeight="1">
      <c r="A411" s="226" t="s">
        <v>591</v>
      </c>
      <c r="B411" s="226" t="s">
        <v>29</v>
      </c>
      <c r="C411" s="226" t="s">
        <v>140</v>
      </c>
      <c r="D411" s="226" t="s">
        <v>543</v>
      </c>
      <c r="E411" s="226" t="s">
        <v>542</v>
      </c>
      <c r="F411" s="165" t="str">
        <f>HYPERLINK("[Tagerim.xlsx]RM_AA_RR_50",RM_AA_RR_50)</f>
        <v>RM_AA_RR_50</v>
      </c>
      <c r="G411" s="198" t="s">
        <v>35</v>
      </c>
      <c r="H411" s="176" t="s">
        <v>7</v>
      </c>
      <c r="I411" s="226"/>
      <c r="J411" s="226"/>
    </row>
    <row r="412" spans="1:10" ht="42.75">
      <c r="A412" s="150" t="s">
        <v>592</v>
      </c>
      <c r="B412" s="150" t="s">
        <v>29</v>
      </c>
      <c r="C412" s="150" t="s">
        <v>140</v>
      </c>
      <c r="D412" s="150" t="s">
        <v>515</v>
      </c>
      <c r="E412" s="201" t="s">
        <v>516</v>
      </c>
      <c r="F412" s="164" t="str">
        <f>HYPERLINK("[Tagerim.xlsx]RM_AA_RR_60",RM_AA_RR_60)</f>
        <v>RM_AA_RR_60</v>
      </c>
      <c r="G412" s="181" t="s">
        <v>35</v>
      </c>
      <c r="H412" s="176" t="s">
        <v>7</v>
      </c>
      <c r="I412" s="150"/>
      <c r="J412" s="150"/>
    </row>
    <row r="413" spans="1:10" s="136" customFormat="1" ht="55.9" customHeight="1">
      <c r="A413" s="226" t="s">
        <v>613</v>
      </c>
      <c r="B413" s="226" t="s">
        <v>29</v>
      </c>
      <c r="C413" s="226" t="s">
        <v>39</v>
      </c>
      <c r="D413" s="226" t="s">
        <v>617</v>
      </c>
      <c r="E413" s="226" t="s">
        <v>618</v>
      </c>
      <c r="F413" s="185"/>
      <c r="G413" s="198" t="s">
        <v>35</v>
      </c>
      <c r="H413" s="176" t="s">
        <v>7</v>
      </c>
      <c r="I413" s="226"/>
      <c r="J413" s="226"/>
    </row>
    <row r="414" spans="1:10" s="136" customFormat="1" ht="71.25">
      <c r="A414" s="150" t="s">
        <v>614</v>
      </c>
      <c r="B414" s="150" t="s">
        <v>29</v>
      </c>
      <c r="C414" s="150" t="s">
        <v>39</v>
      </c>
      <c r="D414" s="150" t="s">
        <v>619</v>
      </c>
      <c r="E414" s="201" t="s">
        <v>620</v>
      </c>
      <c r="F414" s="233"/>
      <c r="G414" s="181" t="s">
        <v>35</v>
      </c>
      <c r="H414" s="176" t="s">
        <v>7</v>
      </c>
      <c r="I414" s="150"/>
      <c r="J414" s="150"/>
    </row>
    <row r="415" spans="1:10" s="136" customFormat="1" ht="29.45" customHeight="1">
      <c r="A415" s="226" t="s">
        <v>615</v>
      </c>
      <c r="B415" s="226" t="s">
        <v>29</v>
      </c>
      <c r="C415" s="226" t="s">
        <v>39</v>
      </c>
      <c r="D415" s="226" t="s">
        <v>621</v>
      </c>
      <c r="E415" s="226" t="s">
        <v>622</v>
      </c>
      <c r="F415" s="165" t="str">
        <f>HYPERLINK("[Tagerim.xlsx]RM_AA_RR_70",RM_AA_RR_70)</f>
        <v>RM_AA_RR_70</v>
      </c>
      <c r="G415" s="198" t="s">
        <v>35</v>
      </c>
      <c r="H415" s="176" t="s">
        <v>7</v>
      </c>
      <c r="I415" s="226"/>
      <c r="J415" s="226"/>
    </row>
    <row r="416" spans="1:10" s="136" customFormat="1" ht="30.6" customHeight="1">
      <c r="A416" s="150" t="s">
        <v>616</v>
      </c>
      <c r="B416" s="150" t="s">
        <v>29</v>
      </c>
      <c r="C416" s="150" t="s">
        <v>39</v>
      </c>
      <c r="D416" s="150" t="s">
        <v>623</v>
      </c>
      <c r="E416" s="201" t="s">
        <v>624</v>
      </c>
      <c r="F416" s="164" t="str">
        <f>HYPERLINK("[Tagerim.xlsx]RM_AA_RR_80",RM_AA_RR_80)</f>
        <v>RM_AA_RR_80</v>
      </c>
      <c r="G416" s="181" t="s">
        <v>35</v>
      </c>
      <c r="H416" s="176" t="s">
        <v>7</v>
      </c>
      <c r="I416" s="150"/>
      <c r="J416" s="150"/>
    </row>
    <row r="417" spans="1:10" s="136" customFormat="1"/>
    <row r="419" spans="1:10" ht="26.25">
      <c r="A419" s="497" t="s">
        <v>576</v>
      </c>
      <c r="B419" s="136"/>
      <c r="C419" s="136"/>
      <c r="D419" s="136"/>
      <c r="E419" s="136"/>
      <c r="F419" s="136"/>
      <c r="G419" s="136"/>
      <c r="H419" s="136"/>
      <c r="I419" s="136"/>
      <c r="J419" s="136"/>
    </row>
    <row r="420" spans="1:10">
      <c r="A420" s="136"/>
      <c r="B420" s="136"/>
      <c r="C420" s="136"/>
      <c r="D420" s="136"/>
      <c r="E420" s="136"/>
      <c r="F420" s="136"/>
      <c r="G420" s="136"/>
      <c r="H420" s="136"/>
      <c r="I420" s="136"/>
      <c r="J420" s="136"/>
    </row>
    <row r="421" spans="1:10" ht="27" customHeight="1">
      <c r="A421" s="169" t="s">
        <v>17</v>
      </c>
      <c r="B421" s="169" t="s">
        <v>19</v>
      </c>
      <c r="C421" s="169" t="s">
        <v>20</v>
      </c>
      <c r="D421" s="169" t="s">
        <v>21</v>
      </c>
      <c r="E421" s="169" t="s">
        <v>22</v>
      </c>
      <c r="F421" s="169" t="s">
        <v>23</v>
      </c>
      <c r="G421" s="169" t="s">
        <v>24</v>
      </c>
      <c r="H421" s="169" t="s">
        <v>25</v>
      </c>
      <c r="I421" s="169" t="s">
        <v>26</v>
      </c>
      <c r="J421" s="169" t="s">
        <v>27</v>
      </c>
    </row>
    <row r="422" spans="1:10" ht="89.25" customHeight="1">
      <c r="A422" s="150" t="s">
        <v>593</v>
      </c>
      <c r="B422" s="150" t="s">
        <v>29</v>
      </c>
      <c r="C422" s="150" t="s">
        <v>39</v>
      </c>
      <c r="D422" s="150" t="s">
        <v>519</v>
      </c>
      <c r="E422" s="150" t="s">
        <v>507</v>
      </c>
      <c r="F422" s="150"/>
      <c r="G422" s="175" t="s">
        <v>35</v>
      </c>
      <c r="H422" s="176" t="s">
        <v>7</v>
      </c>
      <c r="I422" s="150"/>
      <c r="J422" s="150"/>
    </row>
    <row r="423" spans="1:10" ht="51.75" customHeight="1">
      <c r="A423" s="226" t="s">
        <v>594</v>
      </c>
      <c r="B423" s="179" t="s">
        <v>29</v>
      </c>
      <c r="C423" s="179" t="s">
        <v>39</v>
      </c>
      <c r="D423" s="226" t="s">
        <v>520</v>
      </c>
      <c r="E423" s="226" t="s">
        <v>521</v>
      </c>
      <c r="F423" s="165" t="str">
        <f>HYPERLINK("[Tagerim.xlsx]RM_AA_MF_10",RM_AA_MF_10)</f>
        <v>RM_AA_MF_10</v>
      </c>
      <c r="G423" s="183" t="s">
        <v>35</v>
      </c>
      <c r="H423" s="176" t="s">
        <v>7</v>
      </c>
      <c r="I423" s="179"/>
      <c r="J423" s="179"/>
    </row>
    <row r="424" spans="1:10" ht="33" customHeight="1">
      <c r="A424" s="150" t="s">
        <v>595</v>
      </c>
      <c r="B424" s="150" t="s">
        <v>29</v>
      </c>
      <c r="C424" s="150" t="s">
        <v>39</v>
      </c>
      <c r="D424" s="150" t="s">
        <v>509</v>
      </c>
      <c r="E424" s="150"/>
      <c r="F424" s="150"/>
      <c r="G424" s="175" t="s">
        <v>35</v>
      </c>
      <c r="H424" s="176" t="s">
        <v>7</v>
      </c>
      <c r="I424" s="150"/>
      <c r="J424" s="150"/>
    </row>
    <row r="425" spans="1:10" ht="36" customHeight="1">
      <c r="A425" s="226" t="s">
        <v>596</v>
      </c>
      <c r="B425" s="179" t="s">
        <v>29</v>
      </c>
      <c r="C425" s="179" t="s">
        <v>39</v>
      </c>
      <c r="D425" s="226" t="s">
        <v>523</v>
      </c>
      <c r="E425" s="226" t="s">
        <v>522</v>
      </c>
      <c r="F425" s="165" t="str">
        <f>HYPERLINK("[Tagerim.xlsx]RM_AA_MF_20",RM_AA_MF_20)</f>
        <v>RM_AA_MF_20</v>
      </c>
      <c r="G425" s="183" t="s">
        <v>35</v>
      </c>
      <c r="H425" s="176" t="s">
        <v>7</v>
      </c>
      <c r="I425" s="179"/>
      <c r="J425" s="179"/>
    </row>
    <row r="426" spans="1:10" ht="27" customHeight="1">
      <c r="A426" s="150" t="s">
        <v>597</v>
      </c>
      <c r="B426" s="150" t="s">
        <v>29</v>
      </c>
      <c r="C426" s="150" t="s">
        <v>39</v>
      </c>
      <c r="D426" s="150" t="s">
        <v>524</v>
      </c>
      <c r="E426" s="201" t="s">
        <v>525</v>
      </c>
      <c r="F426" s="164" t="str">
        <f>HYPERLINK("[Tagerim.xlsx]RM_AA_MF_30",RM_AA_MF_30)</f>
        <v>RM_AA_MF_30</v>
      </c>
      <c r="G426" s="181" t="s">
        <v>35</v>
      </c>
      <c r="H426" s="176" t="s">
        <v>7</v>
      </c>
      <c r="I426" s="150"/>
      <c r="J426" s="150"/>
    </row>
    <row r="427" spans="1:10" ht="32.450000000000003" customHeight="1">
      <c r="A427" s="226" t="s">
        <v>598</v>
      </c>
      <c r="B427" s="226" t="s">
        <v>29</v>
      </c>
      <c r="C427" s="226" t="s">
        <v>39</v>
      </c>
      <c r="D427" s="226" t="s">
        <v>540</v>
      </c>
      <c r="E427" s="226" t="s">
        <v>541</v>
      </c>
      <c r="F427" s="165" t="str">
        <f>HYPERLINK("[Tagerim.xlsx]RM_AA_MF_0",RM_AA_MF_40)</f>
        <v>RM_AA_MF_40</v>
      </c>
      <c r="G427" s="198" t="s">
        <v>35</v>
      </c>
      <c r="H427" s="176" t="s">
        <v>7</v>
      </c>
      <c r="I427" s="226"/>
      <c r="J427" s="226"/>
    </row>
    <row r="428" spans="1:10" ht="52.9" customHeight="1">
      <c r="A428" s="201" t="s">
        <v>599</v>
      </c>
      <c r="B428" s="201" t="s">
        <v>29</v>
      </c>
      <c r="C428" s="201" t="s">
        <v>39</v>
      </c>
      <c r="D428" s="201" t="s">
        <v>526</v>
      </c>
      <c r="E428" s="201" t="s">
        <v>527</v>
      </c>
      <c r="F428" s="164" t="str">
        <f>HYPERLINK("[Tagerim.xlsx]RM_AA_MF_",RM_AA_MF_50)</f>
        <v>RM_AA_MF_50</v>
      </c>
      <c r="G428" s="181" t="s">
        <v>35</v>
      </c>
      <c r="H428" s="176" t="s">
        <v>7</v>
      </c>
      <c r="I428" s="201"/>
      <c r="J428" s="201"/>
    </row>
    <row r="429" spans="1:10" ht="39.6" customHeight="1">
      <c r="A429" s="226" t="s">
        <v>600</v>
      </c>
      <c r="B429" s="226" t="s">
        <v>29</v>
      </c>
      <c r="C429" s="226" t="s">
        <v>39</v>
      </c>
      <c r="D429" s="226" t="s">
        <v>514</v>
      </c>
      <c r="E429" s="226" t="s">
        <v>545</v>
      </c>
      <c r="F429" s="165" t="str">
        <f>HYPERLINK("[Tagerim.xlsx]RM_AA_MF_60",RM_AA_MF_60)</f>
        <v>RM_AA_MF_60</v>
      </c>
      <c r="G429" s="198" t="s">
        <v>35</v>
      </c>
      <c r="H429" s="176" t="s">
        <v>7</v>
      </c>
      <c r="I429" s="226"/>
      <c r="J429" s="226"/>
    </row>
    <row r="432" spans="1:10" ht="26.25">
      <c r="A432" s="497" t="s">
        <v>577</v>
      </c>
    </row>
    <row r="434" spans="1:10" ht="27.75" customHeight="1">
      <c r="A434" s="169" t="s">
        <v>17</v>
      </c>
      <c r="B434" s="169" t="s">
        <v>19</v>
      </c>
      <c r="C434" s="169" t="s">
        <v>20</v>
      </c>
      <c r="D434" s="169" t="s">
        <v>21</v>
      </c>
      <c r="E434" s="169" t="s">
        <v>22</v>
      </c>
      <c r="F434" s="169" t="s">
        <v>23</v>
      </c>
      <c r="G434" s="169" t="s">
        <v>24</v>
      </c>
      <c r="H434" s="169" t="s">
        <v>25</v>
      </c>
      <c r="I434" s="169" t="s">
        <v>26</v>
      </c>
      <c r="J434" s="169" t="s">
        <v>27</v>
      </c>
    </row>
    <row r="435" spans="1:10" ht="87" customHeight="1">
      <c r="A435" s="150" t="s">
        <v>530</v>
      </c>
      <c r="B435" s="150" t="s">
        <v>29</v>
      </c>
      <c r="C435" s="150" t="s">
        <v>140</v>
      </c>
      <c r="D435" s="150" t="s">
        <v>519</v>
      </c>
      <c r="E435" s="150" t="s">
        <v>507</v>
      </c>
      <c r="F435" s="150"/>
      <c r="G435" s="175" t="s">
        <v>35</v>
      </c>
      <c r="H435" s="176" t="s">
        <v>7</v>
      </c>
      <c r="I435" s="150"/>
      <c r="J435" s="150"/>
    </row>
    <row r="436" spans="1:10" ht="51.75" customHeight="1">
      <c r="A436" s="226" t="s">
        <v>531</v>
      </c>
      <c r="B436" s="179" t="s">
        <v>29</v>
      </c>
      <c r="C436" s="179" t="s">
        <v>140</v>
      </c>
      <c r="D436" s="226" t="s">
        <v>520</v>
      </c>
      <c r="E436" s="226" t="s">
        <v>521</v>
      </c>
      <c r="F436" s="165" t="str">
        <f>HYPERLINK("[Tagerim.xlsx]RM_AA_MR_10",RM_AA_MR_10)</f>
        <v>RM_AA_MR_10</v>
      </c>
      <c r="G436" s="178" t="s">
        <v>35</v>
      </c>
      <c r="H436" s="176" t="s">
        <v>7</v>
      </c>
      <c r="I436" s="179"/>
      <c r="J436" s="179"/>
    </row>
    <row r="437" spans="1:10" ht="25.9" customHeight="1">
      <c r="A437" s="150" t="s">
        <v>532</v>
      </c>
      <c r="B437" s="150" t="s">
        <v>29</v>
      </c>
      <c r="C437" s="150" t="s">
        <v>140</v>
      </c>
      <c r="D437" s="150" t="s">
        <v>538</v>
      </c>
      <c r="E437" s="201" t="s">
        <v>539</v>
      </c>
      <c r="F437" s="164" t="str">
        <f>HYPERLINK("[Tagerim.xlsx]RM_AA_MR_20",RM_AA_MR_20)</f>
        <v>RM_AA_MR_20</v>
      </c>
      <c r="G437" s="181" t="s">
        <v>35</v>
      </c>
      <c r="H437" s="176" t="s">
        <v>7</v>
      </c>
      <c r="I437" s="150"/>
      <c r="J437" s="150"/>
    </row>
    <row r="438" spans="1:10" ht="34.15" customHeight="1">
      <c r="A438" s="226" t="s">
        <v>533</v>
      </c>
      <c r="B438" s="179" t="s">
        <v>29</v>
      </c>
      <c r="C438" s="179" t="s">
        <v>140</v>
      </c>
      <c r="D438" s="226" t="s">
        <v>523</v>
      </c>
      <c r="E438" s="226" t="s">
        <v>522</v>
      </c>
      <c r="F438" s="165" t="str">
        <f>HYPERLINK("[Tagerim.xlsx]RM_AA_MR_30",RM_AA_MR_30)</f>
        <v>RM_AA_MR_30</v>
      </c>
      <c r="G438" s="183" t="s">
        <v>35</v>
      </c>
      <c r="H438" s="176" t="s">
        <v>7</v>
      </c>
      <c r="I438" s="179"/>
      <c r="J438" s="179"/>
    </row>
    <row r="439" spans="1:10" ht="27" customHeight="1">
      <c r="A439" s="150" t="s">
        <v>534</v>
      </c>
      <c r="B439" s="150" t="s">
        <v>29</v>
      </c>
      <c r="C439" s="150" t="s">
        <v>140</v>
      </c>
      <c r="D439" s="150" t="s">
        <v>524</v>
      </c>
      <c r="E439" s="201" t="s">
        <v>525</v>
      </c>
      <c r="F439" s="164" t="str">
        <f>HYPERLINK("[Tagerim.xlsx]RM_AA_MR_40",RM_AA_MR_40)</f>
        <v>RM_AA_MR_40</v>
      </c>
      <c r="G439" s="175" t="s">
        <v>35</v>
      </c>
      <c r="H439" s="176" t="s">
        <v>7</v>
      </c>
      <c r="I439" s="150"/>
      <c r="J439" s="150"/>
    </row>
    <row r="440" spans="1:10" ht="54" customHeight="1">
      <c r="A440" s="226" t="s">
        <v>535</v>
      </c>
      <c r="B440" s="226" t="s">
        <v>29</v>
      </c>
      <c r="C440" s="226" t="s">
        <v>140</v>
      </c>
      <c r="D440" s="226" t="s">
        <v>540</v>
      </c>
      <c r="E440" s="226" t="s">
        <v>541</v>
      </c>
      <c r="F440" s="165" t="str">
        <f>HYPERLINK("[Tagerim.xlsx]RM_AA_MR_50",RM_AA_MR_50)</f>
        <v>RM_AA_MR_50</v>
      </c>
      <c r="G440" s="198" t="s">
        <v>35</v>
      </c>
      <c r="H440" s="176" t="s">
        <v>7</v>
      </c>
      <c r="I440" s="226"/>
      <c r="J440" s="226"/>
    </row>
    <row r="441" spans="1:10" ht="54" customHeight="1">
      <c r="A441" s="201" t="s">
        <v>536</v>
      </c>
      <c r="B441" s="201" t="s">
        <v>29</v>
      </c>
      <c r="C441" s="201" t="s">
        <v>140</v>
      </c>
      <c r="D441" s="201" t="s">
        <v>526</v>
      </c>
      <c r="E441" s="201" t="s">
        <v>527</v>
      </c>
      <c r="F441" s="164" t="str">
        <f>HYPERLINK("[Tagerim.xlsx]RM_AA_MR_60",RM_AA_MR_60)</f>
        <v>RM_AA_MR_60</v>
      </c>
      <c r="G441" s="181" t="s">
        <v>35</v>
      </c>
      <c r="H441" s="176" t="s">
        <v>7</v>
      </c>
      <c r="I441" s="201"/>
      <c r="J441" s="201"/>
    </row>
    <row r="442" spans="1:10" ht="34.9" customHeight="1">
      <c r="A442" s="226" t="s">
        <v>537</v>
      </c>
      <c r="B442" s="226" t="s">
        <v>29</v>
      </c>
      <c r="C442" s="226" t="s">
        <v>140</v>
      </c>
      <c r="D442" s="226" t="s">
        <v>514</v>
      </c>
      <c r="E442" s="226" t="s">
        <v>528</v>
      </c>
      <c r="F442" s="165" t="str">
        <f>HYPERLINK("[Tagerim.xlsx]RM_AA_MR_70",RM_AA_MR_70)</f>
        <v>RM_AA_MR_70</v>
      </c>
      <c r="G442" s="198" t="s">
        <v>35</v>
      </c>
      <c r="H442" s="176" t="s">
        <v>7</v>
      </c>
      <c r="I442" s="226"/>
      <c r="J442" s="226"/>
    </row>
    <row r="445" spans="1:10" ht="26.25">
      <c r="A445" s="497" t="s">
        <v>625</v>
      </c>
    </row>
    <row r="447" spans="1:10" ht="24" customHeight="1">
      <c r="A447" s="14" t="s">
        <v>17</v>
      </c>
      <c r="B447" s="14" t="s">
        <v>19</v>
      </c>
      <c r="C447" s="14" t="s">
        <v>20</v>
      </c>
      <c r="D447" s="14" t="s">
        <v>21</v>
      </c>
      <c r="E447" s="14" t="s">
        <v>22</v>
      </c>
      <c r="F447" s="14" t="s">
        <v>23</v>
      </c>
      <c r="G447" s="14" t="s">
        <v>24</v>
      </c>
      <c r="H447" s="14" t="s">
        <v>25</v>
      </c>
      <c r="I447" s="14" t="s">
        <v>26</v>
      </c>
      <c r="J447" s="14" t="s">
        <v>27</v>
      </c>
    </row>
    <row r="448" spans="1:10" ht="42.6" customHeight="1">
      <c r="A448" s="150" t="s">
        <v>546</v>
      </c>
      <c r="B448" s="150" t="s">
        <v>29</v>
      </c>
      <c r="C448" s="150" t="s">
        <v>140</v>
      </c>
      <c r="D448" s="150" t="s">
        <v>601</v>
      </c>
      <c r="E448" s="150" t="s">
        <v>602</v>
      </c>
      <c r="F448" s="150"/>
      <c r="G448" s="175" t="s">
        <v>35</v>
      </c>
      <c r="H448" s="176" t="s">
        <v>12</v>
      </c>
      <c r="I448" s="273">
        <v>43095</v>
      </c>
      <c r="J448" s="150"/>
    </row>
    <row r="449" spans="1:10" ht="31.9" customHeight="1">
      <c r="A449" s="226" t="s">
        <v>547</v>
      </c>
      <c r="B449" s="179" t="s">
        <v>29</v>
      </c>
      <c r="C449" s="179" t="s">
        <v>140</v>
      </c>
      <c r="D449" s="226" t="s">
        <v>851</v>
      </c>
      <c r="E449" s="226" t="s">
        <v>814</v>
      </c>
      <c r="F449" s="165" t="str">
        <f>HYPERLINK("[Tagerim.xlsx]RM_AA_EF_10",RM_AA_EF_10)</f>
        <v>RM_AA_EF_10</v>
      </c>
      <c r="G449" s="183" t="s">
        <v>35</v>
      </c>
      <c r="H449" s="176" t="s">
        <v>7</v>
      </c>
      <c r="I449" s="272"/>
      <c r="J449" s="179"/>
    </row>
    <row r="450" spans="1:10" ht="30" customHeight="1">
      <c r="A450" s="150" t="s">
        <v>548</v>
      </c>
      <c r="B450" s="150" t="s">
        <v>29</v>
      </c>
      <c r="C450" s="150" t="s">
        <v>140</v>
      </c>
      <c r="D450" s="150" t="s">
        <v>848</v>
      </c>
      <c r="E450" s="201" t="s">
        <v>814</v>
      </c>
      <c r="F450" s="164" t="str">
        <f>HYPERLINK("[Tagerim.xlsx]RM_AA_EF_20",RM_AA_EF_20)</f>
        <v>RM_AA_EF_20</v>
      </c>
      <c r="G450" s="175" t="s">
        <v>35</v>
      </c>
      <c r="H450" s="176" t="s">
        <v>12</v>
      </c>
      <c r="I450" s="273">
        <v>43095</v>
      </c>
      <c r="J450" s="150"/>
    </row>
    <row r="451" spans="1:10" ht="51.6" customHeight="1">
      <c r="A451" s="226" t="s">
        <v>549</v>
      </c>
      <c r="B451" s="179" t="s">
        <v>29</v>
      </c>
      <c r="C451" s="179" t="s">
        <v>140</v>
      </c>
      <c r="D451" s="226" t="s">
        <v>852</v>
      </c>
      <c r="E451" s="226" t="s">
        <v>853</v>
      </c>
      <c r="F451" s="165" t="str">
        <f>HYPERLINK("[Tagerim.xlsx]RM_AA_EF_30",RM_AA_EF_30)</f>
        <v>RM_AA_EF_30</v>
      </c>
      <c r="G451" s="178" t="s">
        <v>35</v>
      </c>
      <c r="H451" s="176" t="s">
        <v>12</v>
      </c>
      <c r="I451" s="272">
        <v>43095</v>
      </c>
      <c r="J451" s="179"/>
    </row>
    <row r="452" spans="1:10" ht="31.15" customHeight="1">
      <c r="A452" s="150" t="s">
        <v>550</v>
      </c>
      <c r="B452" s="150" t="s">
        <v>29</v>
      </c>
      <c r="C452" s="150" t="s">
        <v>140</v>
      </c>
      <c r="D452" s="150" t="s">
        <v>854</v>
      </c>
      <c r="E452" s="150" t="s">
        <v>603</v>
      </c>
      <c r="F452" s="164" t="str">
        <f>HYPERLINK("[Tagerim.xlsx]RM_AA_RF_40",RM_AA_RF_40)</f>
        <v>RM_AA_RF_40</v>
      </c>
      <c r="G452" s="175" t="s">
        <v>35</v>
      </c>
      <c r="H452" s="176" t="s">
        <v>12</v>
      </c>
      <c r="I452" s="273">
        <v>43095</v>
      </c>
      <c r="J452" s="150"/>
    </row>
    <row r="453" spans="1:10" ht="33" customHeight="1">
      <c r="A453" s="226" t="s">
        <v>551</v>
      </c>
      <c r="B453" s="226" t="s">
        <v>29</v>
      </c>
      <c r="C453" s="226" t="s">
        <v>140</v>
      </c>
      <c r="D453" s="226" t="s">
        <v>604</v>
      </c>
      <c r="E453" s="226" t="s">
        <v>612</v>
      </c>
      <c r="F453" s="165" t="str">
        <f>HYPERLINK("[Tagerim.xlsx]RM_AA_EF_50",RM_AA_EF_50)</f>
        <v>RM_AA_EF_50</v>
      </c>
      <c r="G453" s="198" t="s">
        <v>35</v>
      </c>
      <c r="H453" s="176" t="s">
        <v>12</v>
      </c>
      <c r="I453" s="272">
        <v>43095</v>
      </c>
      <c r="J453" s="226"/>
    </row>
    <row r="454" spans="1:10" ht="34.15" customHeight="1">
      <c r="A454" s="150" t="s">
        <v>552</v>
      </c>
      <c r="B454" s="150" t="s">
        <v>29</v>
      </c>
      <c r="C454" s="150" t="s">
        <v>140</v>
      </c>
      <c r="D454" s="150" t="s">
        <v>605</v>
      </c>
      <c r="E454" s="150" t="s">
        <v>606</v>
      </c>
      <c r="F454" s="164" t="str">
        <f>HYPERLINK("[Tagerim.xlsx]RM_AA_EF_60",RM_AA_EF_60)</f>
        <v>RM_AA_EF_60</v>
      </c>
      <c r="G454" s="175" t="s">
        <v>35</v>
      </c>
      <c r="H454" s="176" t="s">
        <v>13</v>
      </c>
      <c r="I454" s="273">
        <v>43095</v>
      </c>
      <c r="J454" s="150" t="s">
        <v>1451</v>
      </c>
    </row>
    <row r="455" spans="1:10" s="244" customFormat="1" ht="34.15" customHeight="1">
      <c r="A455" s="226" t="s">
        <v>1524</v>
      </c>
      <c r="B455" s="226" t="s">
        <v>29</v>
      </c>
      <c r="C455" s="226" t="s">
        <v>140</v>
      </c>
      <c r="D455" s="226" t="s">
        <v>1525</v>
      </c>
      <c r="E455" s="226" t="s">
        <v>611</v>
      </c>
      <c r="F455" s="165" t="str">
        <f>HYPERLINK("[Tagerim.xlsx]RM_AA_EF_65",RM_AA_EF_65)</f>
        <v>RM_AA_EF_65</v>
      </c>
      <c r="G455" s="198" t="s">
        <v>35</v>
      </c>
      <c r="H455" s="252" t="s">
        <v>13</v>
      </c>
      <c r="I455" s="276">
        <v>43095</v>
      </c>
      <c r="J455" s="226" t="s">
        <v>1451</v>
      </c>
    </row>
    <row r="456" spans="1:10" ht="39" customHeight="1">
      <c r="A456" s="201" t="s">
        <v>553</v>
      </c>
      <c r="B456" s="201" t="s">
        <v>29</v>
      </c>
      <c r="C456" s="201" t="s">
        <v>39</v>
      </c>
      <c r="D456" s="201" t="s">
        <v>607</v>
      </c>
      <c r="E456" s="201" t="s">
        <v>608</v>
      </c>
      <c r="F456" s="233"/>
      <c r="G456" s="181" t="s">
        <v>35</v>
      </c>
      <c r="H456" s="218" t="s">
        <v>12</v>
      </c>
      <c r="I456" s="274">
        <v>43095</v>
      </c>
      <c r="J456" s="201"/>
    </row>
    <row r="457" spans="1:10" ht="73.150000000000006" customHeight="1">
      <c r="A457" s="226" t="s">
        <v>554</v>
      </c>
      <c r="B457" s="226" t="s">
        <v>29</v>
      </c>
      <c r="C457" s="226" t="s">
        <v>39</v>
      </c>
      <c r="D457" s="226" t="s">
        <v>1518</v>
      </c>
      <c r="E457" s="226" t="s">
        <v>1519</v>
      </c>
      <c r="F457" s="298"/>
      <c r="G457" s="198" t="s">
        <v>35</v>
      </c>
      <c r="H457" s="252" t="s">
        <v>12</v>
      </c>
      <c r="I457" s="276">
        <v>43095</v>
      </c>
      <c r="J457" s="226"/>
    </row>
    <row r="458" spans="1:10" ht="40.9" customHeight="1">
      <c r="A458" s="201" t="s">
        <v>609</v>
      </c>
      <c r="B458" s="201" t="s">
        <v>29</v>
      </c>
      <c r="C458" s="201" t="s">
        <v>39</v>
      </c>
      <c r="D458" s="201" t="s">
        <v>1520</v>
      </c>
      <c r="E458" s="201" t="s">
        <v>1521</v>
      </c>
      <c r="F458" s="164" t="str">
        <f>HYPERLINK("[Tagerim.xlsx]RM_AA_EF_70",RM_AA_EF_70)</f>
        <v>RM_AA_EF_70</v>
      </c>
      <c r="G458" s="181" t="s">
        <v>35</v>
      </c>
      <c r="H458" s="218" t="s">
        <v>12</v>
      </c>
      <c r="I458" s="274">
        <v>43095</v>
      </c>
      <c r="J458" s="201"/>
    </row>
    <row r="459" spans="1:10" ht="42" customHeight="1">
      <c r="A459" s="226" t="s">
        <v>610</v>
      </c>
      <c r="B459" s="226" t="s">
        <v>29</v>
      </c>
      <c r="C459" s="226" t="s">
        <v>39</v>
      </c>
      <c r="D459" s="226" t="s">
        <v>1522</v>
      </c>
      <c r="E459" s="226" t="s">
        <v>1523</v>
      </c>
      <c r="F459" s="165" t="str">
        <f>HYPERLINK("[Tagerim.xlsx]RM_AA_EF_80",RM_AA_EF_80)</f>
        <v>RM_AA_EF_80</v>
      </c>
      <c r="G459" s="198" t="s">
        <v>35</v>
      </c>
      <c r="H459" s="252" t="s">
        <v>12</v>
      </c>
      <c r="I459" s="276">
        <v>43095</v>
      </c>
      <c r="J459" s="226"/>
    </row>
    <row r="461" spans="1:10" s="168" customFormat="1"/>
    <row r="462" spans="1:10" s="168" customFormat="1"/>
    <row r="463" spans="1:10" s="168" customFormat="1" ht="30.75" thickBot="1">
      <c r="A463" s="8" t="s">
        <v>711</v>
      </c>
      <c r="B463" s="62"/>
      <c r="C463" s="62"/>
      <c r="D463" s="62"/>
      <c r="E463" s="62"/>
      <c r="F463" s="62"/>
      <c r="G463" s="62"/>
      <c r="H463" s="62"/>
      <c r="I463" s="62"/>
      <c r="J463" s="62"/>
    </row>
    <row r="464" spans="1:10" s="168" customFormat="1" ht="13.5" thickTop="1">
      <c r="A464" s="52"/>
      <c r="B464" s="52"/>
      <c r="C464" s="52"/>
      <c r="D464" s="52"/>
      <c r="E464" s="52"/>
      <c r="F464" s="52"/>
      <c r="G464" s="52"/>
      <c r="H464" s="52"/>
      <c r="I464" s="52"/>
      <c r="J464" s="52"/>
    </row>
    <row r="465" spans="1:11" s="168" customFormat="1" ht="23.25" customHeight="1">
      <c r="A465" s="424" t="s">
        <v>7</v>
      </c>
      <c r="B465" s="425"/>
      <c r="C465" s="426" t="s">
        <v>12</v>
      </c>
      <c r="D465" s="425"/>
      <c r="E465" s="247" t="s">
        <v>13</v>
      </c>
      <c r="F465" s="426" t="s">
        <v>14</v>
      </c>
      <c r="G465" s="427"/>
      <c r="H465" s="425"/>
      <c r="I465" s="426" t="s">
        <v>15</v>
      </c>
      <c r="J465" s="428"/>
    </row>
    <row r="466" spans="1:11" s="168" customFormat="1" ht="36.75" customHeight="1">
      <c r="A466" s="401">
        <f>COUNTIFS(A470:A10651,"UC_EC_*",H470:H10651,"A tester")</f>
        <v>17</v>
      </c>
      <c r="B466" s="402"/>
      <c r="C466" s="403">
        <f>COUNTIFS(A470:A10651,"UC_EC_*",H470:H10651,"Succès")</f>
        <v>0</v>
      </c>
      <c r="D466" s="404"/>
      <c r="E466" s="249">
        <f>COUNTIFS(A470:A10651,"UC_EC_*",H470:H10651,"Echec")</f>
        <v>0</v>
      </c>
      <c r="F466" s="405">
        <f>(C466+E466)/SUM(A466:E466)</f>
        <v>0</v>
      </c>
      <c r="G466" s="406"/>
      <c r="H466" s="407"/>
      <c r="I466" s="408">
        <f>C466/SUM(A466:E466)</f>
        <v>0</v>
      </c>
      <c r="J466" s="409"/>
      <c r="K466" s="250"/>
    </row>
    <row r="467" spans="1:11" s="168" customFormat="1" ht="24.75" customHeight="1">
      <c r="A467" s="52"/>
      <c r="B467" s="52"/>
      <c r="C467" s="248"/>
      <c r="D467" s="248"/>
      <c r="E467" s="52"/>
      <c r="F467" s="52"/>
      <c r="G467" s="52"/>
      <c r="H467" s="52"/>
      <c r="I467" s="248"/>
      <c r="J467" s="248"/>
    </row>
    <row r="468" spans="1:11" s="168" customFormat="1" ht="22.5" customHeight="1">
      <c r="A468" s="52"/>
      <c r="B468" s="52"/>
      <c r="C468" s="52"/>
      <c r="D468" s="52"/>
      <c r="E468" s="52"/>
      <c r="F468" s="52"/>
      <c r="G468" s="52"/>
      <c r="H468" s="52"/>
      <c r="I468" s="52"/>
      <c r="J468" s="52"/>
    </row>
    <row r="469" spans="1:11" s="168" customFormat="1" ht="30.75" customHeight="1">
      <c r="A469" s="497" t="s">
        <v>713</v>
      </c>
      <c r="B469" s="155"/>
      <c r="C469" s="155"/>
      <c r="D469" s="155"/>
      <c r="E469" s="155"/>
      <c r="F469" s="155"/>
      <c r="G469" s="155"/>
      <c r="H469" s="155"/>
      <c r="I469" s="155"/>
      <c r="J469" s="155"/>
    </row>
    <row r="470" spans="1:11" s="168" customFormat="1">
      <c r="A470" s="155"/>
      <c r="B470" s="155"/>
      <c r="C470" s="155"/>
      <c r="D470" s="155"/>
      <c r="E470" s="155"/>
      <c r="F470" s="155"/>
      <c r="G470" s="155"/>
      <c r="H470" s="155"/>
      <c r="I470" s="155"/>
      <c r="J470" s="155"/>
    </row>
    <row r="471" spans="1:11" s="168" customFormat="1">
      <c r="A471" s="169" t="s">
        <v>17</v>
      </c>
      <c r="B471" s="169" t="s">
        <v>19</v>
      </c>
      <c r="C471" s="169" t="s">
        <v>20</v>
      </c>
      <c r="D471" s="169" t="s">
        <v>21</v>
      </c>
      <c r="E471" s="169" t="s">
        <v>22</v>
      </c>
      <c r="F471" s="169" t="s">
        <v>23</v>
      </c>
      <c r="G471" s="169" t="s">
        <v>24</v>
      </c>
      <c r="H471" s="169" t="s">
        <v>25</v>
      </c>
      <c r="I471" s="169" t="s">
        <v>26</v>
      </c>
      <c r="J471" s="169" t="s">
        <v>27</v>
      </c>
    </row>
    <row r="472" spans="1:11" ht="44.25" customHeight="1">
      <c r="A472" s="150" t="s">
        <v>714</v>
      </c>
      <c r="B472" s="150" t="s">
        <v>29</v>
      </c>
      <c r="C472" s="150" t="s">
        <v>39</v>
      </c>
      <c r="D472" s="150" t="s">
        <v>750</v>
      </c>
      <c r="E472" s="150" t="s">
        <v>716</v>
      </c>
      <c r="F472" s="184"/>
      <c r="G472" s="175" t="s">
        <v>35</v>
      </c>
      <c r="H472" s="176" t="s">
        <v>7</v>
      </c>
      <c r="I472" s="150"/>
      <c r="J472" s="150"/>
    </row>
    <row r="473" spans="1:11" ht="33.75" customHeight="1">
      <c r="A473" s="226" t="s">
        <v>715</v>
      </c>
      <c r="B473" s="203" t="s">
        <v>29</v>
      </c>
      <c r="C473" s="203" t="s">
        <v>39</v>
      </c>
      <c r="D473" s="226" t="s">
        <v>717</v>
      </c>
      <c r="E473" s="226" t="s">
        <v>718</v>
      </c>
      <c r="F473" s="237"/>
      <c r="G473" s="183" t="s">
        <v>35</v>
      </c>
      <c r="H473" s="176" t="s">
        <v>7</v>
      </c>
      <c r="I473" s="179"/>
      <c r="J473" s="179"/>
    </row>
    <row r="474" spans="1:11" ht="33.75" customHeight="1">
      <c r="A474" s="150" t="s">
        <v>719</v>
      </c>
      <c r="B474" s="150" t="s">
        <v>29</v>
      </c>
      <c r="C474" s="150" t="s">
        <v>39</v>
      </c>
      <c r="D474" s="150" t="s">
        <v>722</v>
      </c>
      <c r="E474" s="150" t="s">
        <v>723</v>
      </c>
      <c r="F474" s="164" t="str">
        <f>HYPERLINK("[Tagerim.xlsx]RM_EC_LF_10",RM_EC_LF_10)</f>
        <v>RM_EC_LF_10</v>
      </c>
      <c r="G474" s="175" t="s">
        <v>35</v>
      </c>
      <c r="H474" s="176" t="s">
        <v>7</v>
      </c>
      <c r="I474" s="150"/>
      <c r="J474" s="150"/>
    </row>
    <row r="475" spans="1:11" ht="39" customHeight="1">
      <c r="A475" s="226" t="s">
        <v>720</v>
      </c>
      <c r="B475" s="203" t="s">
        <v>29</v>
      </c>
      <c r="C475" s="203" t="s">
        <v>39</v>
      </c>
      <c r="D475" s="226" t="s">
        <v>724</v>
      </c>
      <c r="E475" s="226" t="s">
        <v>725</v>
      </c>
      <c r="F475" s="237"/>
      <c r="G475" s="183" t="s">
        <v>35</v>
      </c>
      <c r="H475" s="176" t="s">
        <v>7</v>
      </c>
      <c r="I475" s="179"/>
      <c r="J475" s="179"/>
    </row>
    <row r="476" spans="1:11" ht="28.5" customHeight="1">
      <c r="A476" s="150" t="s">
        <v>721</v>
      </c>
      <c r="B476" s="150" t="s">
        <v>29</v>
      </c>
      <c r="C476" s="150" t="s">
        <v>39</v>
      </c>
      <c r="D476" s="150" t="s">
        <v>726</v>
      </c>
      <c r="E476" s="150" t="s">
        <v>727</v>
      </c>
      <c r="F476" s="164" t="str">
        <f>HYPERLINK("[Tagerim.xlsx]RM_EC_LF_20",RM_EC_LF_20)</f>
        <v>RM_EC_LF_20</v>
      </c>
      <c r="G476" s="175" t="s">
        <v>35</v>
      </c>
      <c r="H476" s="176" t="s">
        <v>7</v>
      </c>
      <c r="I476" s="150"/>
      <c r="J476" s="150"/>
    </row>
    <row r="479" spans="1:11" ht="26.25">
      <c r="A479" s="497" t="s">
        <v>733</v>
      </c>
      <c r="B479" s="155"/>
      <c r="C479" s="155"/>
      <c r="D479" s="155"/>
      <c r="E479" s="155"/>
      <c r="F479" s="155"/>
      <c r="G479" s="155"/>
      <c r="H479" s="155"/>
      <c r="I479" s="155"/>
      <c r="J479" s="155"/>
    </row>
    <row r="480" spans="1:11">
      <c r="A480" s="155"/>
      <c r="B480" s="155"/>
      <c r="C480" s="155"/>
      <c r="D480" s="155"/>
      <c r="E480" s="155"/>
      <c r="F480" s="155"/>
      <c r="G480" s="155"/>
      <c r="H480" s="155"/>
      <c r="I480" s="155"/>
      <c r="J480" s="155"/>
    </row>
    <row r="481" spans="1:10">
      <c r="A481" s="14" t="s">
        <v>17</v>
      </c>
      <c r="B481" s="14" t="s">
        <v>19</v>
      </c>
      <c r="C481" s="14" t="s">
        <v>20</v>
      </c>
      <c r="D481" s="14" t="s">
        <v>21</v>
      </c>
      <c r="E481" s="14" t="s">
        <v>22</v>
      </c>
      <c r="F481" s="14" t="s">
        <v>23</v>
      </c>
      <c r="G481" s="14" t="s">
        <v>24</v>
      </c>
      <c r="H481" s="14" t="s">
        <v>25</v>
      </c>
      <c r="I481" s="14" t="s">
        <v>26</v>
      </c>
      <c r="J481" s="14" t="s">
        <v>27</v>
      </c>
    </row>
    <row r="482" spans="1:10" ht="43.5" customHeight="1">
      <c r="A482" s="150" t="s">
        <v>734</v>
      </c>
      <c r="B482" s="150" t="s">
        <v>29</v>
      </c>
      <c r="C482" s="150" t="s">
        <v>39</v>
      </c>
      <c r="D482" s="150" t="s">
        <v>751</v>
      </c>
      <c r="E482" s="150" t="s">
        <v>716</v>
      </c>
      <c r="F482" s="184"/>
      <c r="G482" s="175" t="s">
        <v>35</v>
      </c>
      <c r="H482" s="176" t="s">
        <v>7</v>
      </c>
      <c r="I482" s="150"/>
      <c r="J482" s="150"/>
    </row>
    <row r="483" spans="1:10" ht="33" customHeight="1">
      <c r="A483" s="226" t="s">
        <v>735</v>
      </c>
      <c r="B483" s="203" t="s">
        <v>29</v>
      </c>
      <c r="C483" s="203" t="s">
        <v>39</v>
      </c>
      <c r="D483" s="226" t="s">
        <v>737</v>
      </c>
      <c r="E483" s="226" t="s">
        <v>738</v>
      </c>
      <c r="F483" s="237"/>
      <c r="G483" s="183" t="s">
        <v>35</v>
      </c>
      <c r="H483" s="176" t="s">
        <v>7</v>
      </c>
      <c r="I483" s="179"/>
      <c r="J483" s="179"/>
    </row>
    <row r="484" spans="1:10" ht="36" customHeight="1">
      <c r="A484" s="150" t="s">
        <v>736</v>
      </c>
      <c r="B484" s="150" t="s">
        <v>29</v>
      </c>
      <c r="C484" s="150" t="s">
        <v>39</v>
      </c>
      <c r="D484" s="150" t="s">
        <v>722</v>
      </c>
      <c r="E484" s="201" t="s">
        <v>723</v>
      </c>
      <c r="F484" s="164" t="str">
        <f>HYPERLINK("[Tagerim.xlsx]RM_EC_OE_10",RM_EC_OE_10)</f>
        <v>RM_EC_OE_10</v>
      </c>
      <c r="G484" s="181" t="s">
        <v>35</v>
      </c>
      <c r="H484" s="176" t="s">
        <v>7</v>
      </c>
      <c r="I484" s="150"/>
      <c r="J484" s="150"/>
    </row>
    <row r="485" spans="1:10" ht="28.9" customHeight="1">
      <c r="A485" s="226" t="s">
        <v>777</v>
      </c>
      <c r="B485" s="226" t="s">
        <v>29</v>
      </c>
      <c r="C485" s="226" t="s">
        <v>39</v>
      </c>
      <c r="D485" s="226" t="s">
        <v>726</v>
      </c>
      <c r="E485" s="226" t="s">
        <v>727</v>
      </c>
      <c r="F485" s="165" t="str">
        <f>HYPERLINK("[Tagerim.xlsx]RM_EC_OE_20",RM_EC_OE_20)</f>
        <v>RM_EC_OE_20</v>
      </c>
      <c r="G485" s="198" t="s">
        <v>35</v>
      </c>
      <c r="H485" s="176" t="s">
        <v>7</v>
      </c>
      <c r="I485" s="226"/>
      <c r="J485" s="226"/>
    </row>
    <row r="486" spans="1:10" ht="31.15" customHeight="1"/>
    <row r="487" spans="1:10" ht="25.9" customHeight="1"/>
    <row r="488" spans="1:10" ht="26.25">
      <c r="A488" s="497" t="s">
        <v>741</v>
      </c>
      <c r="B488" s="155"/>
      <c r="C488" s="155"/>
      <c r="D488" s="155"/>
      <c r="E488" s="155"/>
      <c r="F488" s="155"/>
      <c r="G488" s="155"/>
      <c r="H488" s="155"/>
      <c r="I488" s="155"/>
      <c r="J488" s="155"/>
    </row>
    <row r="489" spans="1:10">
      <c r="A489" s="155"/>
      <c r="B489" s="155"/>
      <c r="C489" s="155"/>
      <c r="D489" s="155"/>
      <c r="E489" s="155"/>
      <c r="F489" s="155"/>
      <c r="G489" s="155"/>
      <c r="H489" s="155"/>
      <c r="I489" s="155"/>
      <c r="J489" s="155"/>
    </row>
    <row r="490" spans="1:10">
      <c r="A490" s="169" t="s">
        <v>17</v>
      </c>
      <c r="B490" s="169" t="s">
        <v>19</v>
      </c>
      <c r="C490" s="169" t="s">
        <v>20</v>
      </c>
      <c r="D490" s="169" t="s">
        <v>21</v>
      </c>
      <c r="E490" s="169" t="s">
        <v>22</v>
      </c>
      <c r="F490" s="169" t="s">
        <v>23</v>
      </c>
      <c r="G490" s="169" t="s">
        <v>24</v>
      </c>
      <c r="H490" s="169" t="s">
        <v>25</v>
      </c>
      <c r="I490" s="169" t="s">
        <v>26</v>
      </c>
      <c r="J490" s="169" t="s">
        <v>27</v>
      </c>
    </row>
    <row r="491" spans="1:10" ht="28.5">
      <c r="A491" s="150" t="s">
        <v>742</v>
      </c>
      <c r="B491" s="150" t="s">
        <v>29</v>
      </c>
      <c r="C491" s="150" t="s">
        <v>39</v>
      </c>
      <c r="D491" s="150" t="s">
        <v>747</v>
      </c>
      <c r="E491" s="150" t="s">
        <v>716</v>
      </c>
      <c r="F491" s="184"/>
      <c r="G491" s="175" t="s">
        <v>35</v>
      </c>
      <c r="H491" s="176" t="s">
        <v>7</v>
      </c>
      <c r="I491" s="150"/>
      <c r="J491" s="150"/>
    </row>
    <row r="492" spans="1:10" ht="20.45" customHeight="1">
      <c r="A492" s="226" t="s">
        <v>743</v>
      </c>
      <c r="B492" s="203" t="s">
        <v>29</v>
      </c>
      <c r="C492" s="203" t="s">
        <v>39</v>
      </c>
      <c r="D492" s="226" t="s">
        <v>748</v>
      </c>
      <c r="E492" s="226" t="s">
        <v>749</v>
      </c>
      <c r="F492" s="237"/>
      <c r="G492" s="183" t="s">
        <v>35</v>
      </c>
      <c r="H492" s="176" t="s">
        <v>7</v>
      </c>
      <c r="I492" s="179"/>
      <c r="J492" s="179"/>
    </row>
    <row r="493" spans="1:10" ht="39.6" customHeight="1">
      <c r="A493" s="150" t="s">
        <v>744</v>
      </c>
      <c r="B493" s="150" t="s">
        <v>29</v>
      </c>
      <c r="C493" s="150" t="s">
        <v>39</v>
      </c>
      <c r="D493" s="150" t="s">
        <v>722</v>
      </c>
      <c r="E493" s="150" t="s">
        <v>723</v>
      </c>
      <c r="F493" s="164" t="str">
        <f>HYPERLINK("[Tagerim.xlsx]RM_EC_OS_10",RM_EC_OS_10)</f>
        <v>RM_EC_OS_10</v>
      </c>
      <c r="G493" s="175" t="s">
        <v>35</v>
      </c>
      <c r="H493" s="176" t="s">
        <v>7</v>
      </c>
      <c r="I493" s="150"/>
      <c r="J493" s="150"/>
    </row>
    <row r="494" spans="1:10" ht="20.45" customHeight="1">
      <c r="A494" s="226" t="s">
        <v>778</v>
      </c>
      <c r="B494" s="226" t="s">
        <v>29</v>
      </c>
      <c r="C494" s="226" t="s">
        <v>39</v>
      </c>
      <c r="D494" s="226" t="s">
        <v>726</v>
      </c>
      <c r="E494" s="226" t="s">
        <v>727</v>
      </c>
      <c r="F494" s="165" t="str">
        <f>HYPERLINK("[Tagerim.xlsx]RM_EC_OS_20",RM_EC_OS_20)</f>
        <v>RM_EC_OS_20</v>
      </c>
      <c r="G494" s="198" t="s">
        <v>35</v>
      </c>
      <c r="H494" s="176" t="s">
        <v>7</v>
      </c>
      <c r="I494" s="226"/>
      <c r="J494" s="226"/>
    </row>
    <row r="495" spans="1:10" ht="30" customHeight="1"/>
    <row r="496" spans="1:10" ht="25.9" customHeight="1"/>
    <row r="497" spans="1:10" ht="26.25">
      <c r="A497" s="497" t="s">
        <v>752</v>
      </c>
      <c r="B497" s="155"/>
      <c r="C497" s="155"/>
      <c r="D497" s="155"/>
      <c r="E497" s="155"/>
      <c r="F497" s="155"/>
      <c r="G497" s="155"/>
      <c r="H497" s="155"/>
      <c r="I497" s="155"/>
      <c r="J497" s="155"/>
    </row>
    <row r="498" spans="1:10">
      <c r="A498" s="155"/>
      <c r="B498" s="155"/>
      <c r="C498" s="155"/>
      <c r="D498" s="155"/>
      <c r="E498" s="155"/>
      <c r="F498" s="155"/>
      <c r="G498" s="155"/>
      <c r="H498" s="155"/>
      <c r="I498" s="155"/>
      <c r="J498" s="155"/>
    </row>
    <row r="499" spans="1:10">
      <c r="A499" s="14" t="s">
        <v>17</v>
      </c>
      <c r="B499" s="14" t="s">
        <v>19</v>
      </c>
      <c r="C499" s="14" t="s">
        <v>20</v>
      </c>
      <c r="D499" s="14" t="s">
        <v>21</v>
      </c>
      <c r="E499" s="14" t="s">
        <v>22</v>
      </c>
      <c r="F499" s="14" t="s">
        <v>23</v>
      </c>
      <c r="G499" s="14" t="s">
        <v>24</v>
      </c>
      <c r="H499" s="14" t="s">
        <v>25</v>
      </c>
      <c r="I499" s="14" t="s">
        <v>26</v>
      </c>
      <c r="J499" s="14" t="s">
        <v>27</v>
      </c>
    </row>
    <row r="500" spans="1:10" ht="39.75" customHeight="1">
      <c r="A500" s="150" t="s">
        <v>753</v>
      </c>
      <c r="B500" s="150" t="s">
        <v>29</v>
      </c>
      <c r="C500" s="150" t="s">
        <v>39</v>
      </c>
      <c r="D500" s="150" t="s">
        <v>756</v>
      </c>
      <c r="E500" s="150" t="s">
        <v>716</v>
      </c>
      <c r="F500" s="184"/>
      <c r="G500" s="175" t="s">
        <v>35</v>
      </c>
      <c r="H500" s="176" t="s">
        <v>7</v>
      </c>
      <c r="I500" s="150"/>
      <c r="J500" s="150"/>
    </row>
    <row r="501" spans="1:10" ht="45.75" customHeight="1">
      <c r="A501" s="226" t="s">
        <v>754</v>
      </c>
      <c r="B501" s="203" t="s">
        <v>29</v>
      </c>
      <c r="C501" s="203" t="s">
        <v>39</v>
      </c>
      <c r="D501" s="226" t="s">
        <v>757</v>
      </c>
      <c r="E501" s="226" t="s">
        <v>758</v>
      </c>
      <c r="F501" s="237"/>
      <c r="G501" s="183" t="s">
        <v>35</v>
      </c>
      <c r="H501" s="176" t="s">
        <v>7</v>
      </c>
      <c r="I501" s="179"/>
      <c r="J501" s="179"/>
    </row>
    <row r="502" spans="1:10" ht="36" customHeight="1">
      <c r="A502" s="150" t="s">
        <v>755</v>
      </c>
      <c r="B502" s="150" t="s">
        <v>29</v>
      </c>
      <c r="C502" s="150" t="s">
        <v>39</v>
      </c>
      <c r="D502" s="150" t="s">
        <v>722</v>
      </c>
      <c r="E502" s="201" t="s">
        <v>723</v>
      </c>
      <c r="F502" s="164" t="str">
        <f>HYPERLINK("[Tagerim.xlsx]RM_EC_NGP_10",RM_EC_NGP_10)</f>
        <v>RM_EC_NGP_10</v>
      </c>
      <c r="G502" s="181" t="s">
        <v>35</v>
      </c>
      <c r="H502" s="176" t="s">
        <v>7</v>
      </c>
      <c r="I502" s="150"/>
      <c r="J502" s="150"/>
    </row>
    <row r="503" spans="1:10" ht="35.25" customHeight="1">
      <c r="A503" s="226" t="s">
        <v>779</v>
      </c>
      <c r="B503" s="226" t="s">
        <v>29</v>
      </c>
      <c r="C503" s="226" t="s">
        <v>39</v>
      </c>
      <c r="D503" s="226" t="s">
        <v>726</v>
      </c>
      <c r="E503" s="226" t="s">
        <v>727</v>
      </c>
      <c r="F503" s="165" t="str">
        <f>HYPERLINK("[Tagerim.xlsx]RM_EC_NGP_20",RM_EC_NGP_20)</f>
        <v>RM_EC_NGP_20</v>
      </c>
      <c r="G503" s="198" t="s">
        <v>35</v>
      </c>
      <c r="H503" s="176" t="s">
        <v>7</v>
      </c>
      <c r="I503" s="226"/>
      <c r="J503" s="226"/>
    </row>
    <row r="504" spans="1:10" s="166" customFormat="1" ht="20.25" customHeight="1">
      <c r="A504" s="52"/>
      <c r="B504" s="52"/>
      <c r="C504" s="52"/>
      <c r="D504" s="52"/>
      <c r="E504" s="52"/>
      <c r="F504" s="52"/>
      <c r="G504" s="52"/>
      <c r="H504" s="52"/>
      <c r="I504" s="52"/>
      <c r="J504" s="52"/>
    </row>
    <row r="505" spans="1:10" ht="15.75" customHeight="1"/>
    <row r="506" spans="1:10" ht="20.25" customHeight="1"/>
    <row r="507" spans="1:10" ht="45" customHeight="1" thickBot="1">
      <c r="A507" s="8" t="s">
        <v>1199</v>
      </c>
      <c r="B507" s="62"/>
      <c r="C507" s="62"/>
      <c r="D507" s="62"/>
      <c r="E507" s="62"/>
      <c r="F507" s="62"/>
      <c r="G507" s="62"/>
      <c r="H507" s="62"/>
      <c r="I507" s="62"/>
      <c r="J507" s="62"/>
    </row>
    <row r="508" spans="1:10" ht="15.75" customHeight="1" thickTop="1">
      <c r="A508" s="168"/>
      <c r="B508" s="168"/>
      <c r="C508" s="168"/>
      <c r="D508" s="168"/>
      <c r="E508" s="168"/>
      <c r="F508" s="168"/>
      <c r="G508" s="168"/>
      <c r="H508" s="168"/>
      <c r="I508" s="168"/>
      <c r="J508" s="168"/>
    </row>
    <row r="509" spans="1:10" ht="34.5" customHeight="1">
      <c r="A509" s="372" t="s">
        <v>7</v>
      </c>
      <c r="B509" s="373"/>
      <c r="C509" s="374" t="s">
        <v>12</v>
      </c>
      <c r="D509" s="375"/>
      <c r="E509" s="246" t="s">
        <v>13</v>
      </c>
      <c r="F509" s="376" t="s">
        <v>14</v>
      </c>
      <c r="G509" s="372"/>
      <c r="H509" s="373"/>
      <c r="I509" s="374" t="s">
        <v>15</v>
      </c>
      <c r="J509" s="372"/>
    </row>
    <row r="510" spans="1:10" ht="39.6" customHeight="1">
      <c r="A510" s="377">
        <f>COUNTIFS(A514:A10726,"UC_GM_*",H514:H10726,"A tester")</f>
        <v>4</v>
      </c>
      <c r="B510" s="377"/>
      <c r="C510" s="378">
        <f>COUNTIFS(A514:A10726,"UC_GM_*",H514:H10726,"Succès")</f>
        <v>0</v>
      </c>
      <c r="D510" s="378"/>
      <c r="E510" s="167">
        <f>COUNTIFS(A514:A10726,"UC_GM_*",H514:H10726,"Echec")</f>
        <v>0</v>
      </c>
      <c r="F510" s="379">
        <f>(C510+E510)/SUM(A510:E510)</f>
        <v>0</v>
      </c>
      <c r="G510" s="379"/>
      <c r="H510" s="379"/>
      <c r="I510" s="380">
        <f>C510/SUM(A510:E510)</f>
        <v>0</v>
      </c>
      <c r="J510" s="380"/>
    </row>
    <row r="511" spans="1:10" ht="22.5" customHeight="1">
      <c r="A511" s="168"/>
      <c r="B511" s="168"/>
      <c r="C511" s="168"/>
      <c r="D511" s="168"/>
      <c r="E511" s="168"/>
      <c r="F511" s="168"/>
      <c r="G511" s="168"/>
      <c r="H511" s="168"/>
      <c r="I511" s="168"/>
      <c r="J511" s="168"/>
    </row>
    <row r="512" spans="1:10" ht="15.75" customHeight="1">
      <c r="A512" s="168"/>
      <c r="B512" s="168"/>
      <c r="C512" s="168"/>
      <c r="D512" s="168"/>
      <c r="E512" s="168"/>
      <c r="F512" s="168"/>
      <c r="G512" s="168"/>
      <c r="H512" s="168"/>
      <c r="I512" s="168"/>
      <c r="J512" s="168"/>
    </row>
    <row r="513" spans="1:10" ht="26.25">
      <c r="A513" s="497" t="s">
        <v>1200</v>
      </c>
      <c r="B513" s="168"/>
      <c r="C513" s="168"/>
      <c r="D513" s="168"/>
      <c r="E513" s="168"/>
      <c r="F513" s="168"/>
      <c r="G513" s="168"/>
      <c r="H513" s="168"/>
      <c r="I513" s="168"/>
      <c r="J513" s="168"/>
    </row>
    <row r="514" spans="1:10">
      <c r="A514" s="168"/>
      <c r="B514" s="168"/>
      <c r="C514" s="168"/>
      <c r="D514" s="168"/>
      <c r="E514" s="168"/>
      <c r="F514" s="168"/>
      <c r="G514" s="168"/>
      <c r="H514" s="168"/>
      <c r="I514" s="168"/>
      <c r="J514" s="168"/>
    </row>
    <row r="515" spans="1:10">
      <c r="A515" s="169" t="s">
        <v>17</v>
      </c>
      <c r="B515" s="169" t="s">
        <v>19</v>
      </c>
      <c r="C515" s="169" t="s">
        <v>20</v>
      </c>
      <c r="D515" s="169" t="s">
        <v>21</v>
      </c>
      <c r="E515" s="169" t="s">
        <v>22</v>
      </c>
      <c r="F515" s="169" t="s">
        <v>23</v>
      </c>
      <c r="G515" s="169" t="s">
        <v>24</v>
      </c>
      <c r="H515" s="169" t="s">
        <v>25</v>
      </c>
      <c r="I515" s="169" t="s">
        <v>26</v>
      </c>
      <c r="J515" s="169" t="s">
        <v>27</v>
      </c>
    </row>
    <row r="516" spans="1:10" ht="35.25" customHeight="1">
      <c r="A516" s="150" t="s">
        <v>855</v>
      </c>
      <c r="B516" s="150" t="s">
        <v>29</v>
      </c>
      <c r="C516" s="150" t="s">
        <v>39</v>
      </c>
      <c r="D516" s="150" t="s">
        <v>857</v>
      </c>
      <c r="E516" s="150" t="s">
        <v>858</v>
      </c>
      <c r="F516" s="184"/>
      <c r="G516" s="175" t="s">
        <v>35</v>
      </c>
      <c r="H516" s="176" t="s">
        <v>7</v>
      </c>
      <c r="I516" s="150"/>
      <c r="J516" s="150"/>
    </row>
    <row r="517" spans="1:10" s="168" customFormat="1" ht="38.25" customHeight="1">
      <c r="A517" s="226" t="s">
        <v>856</v>
      </c>
      <c r="B517" s="226" t="s">
        <v>29</v>
      </c>
      <c r="C517" s="226" t="s">
        <v>39</v>
      </c>
      <c r="D517" s="226" t="s">
        <v>859</v>
      </c>
      <c r="E517" s="226" t="s">
        <v>860</v>
      </c>
      <c r="F517" s="237"/>
      <c r="G517" s="198" t="s">
        <v>35</v>
      </c>
      <c r="H517" s="176" t="s">
        <v>7</v>
      </c>
      <c r="I517" s="226"/>
      <c r="J517" s="226"/>
    </row>
    <row r="518" spans="1:10" ht="105" customHeight="1">
      <c r="A518" s="150" t="s">
        <v>861</v>
      </c>
      <c r="B518" s="150" t="s">
        <v>29</v>
      </c>
      <c r="C518" s="150" t="s">
        <v>39</v>
      </c>
      <c r="D518" s="150" t="s">
        <v>863</v>
      </c>
      <c r="E518" s="150" t="s">
        <v>864</v>
      </c>
      <c r="F518" s="184"/>
      <c r="G518" s="175" t="s">
        <v>35</v>
      </c>
      <c r="H518" s="176" t="s">
        <v>7</v>
      </c>
      <c r="I518" s="150"/>
      <c r="J518" s="150"/>
    </row>
    <row r="519" spans="1:10" ht="57" customHeight="1">
      <c r="A519" s="226" t="s">
        <v>862</v>
      </c>
      <c r="B519" s="226" t="s">
        <v>29</v>
      </c>
      <c r="C519" s="226" t="s">
        <v>39</v>
      </c>
      <c r="D519" s="226" t="s">
        <v>865</v>
      </c>
      <c r="E519" s="226" t="s">
        <v>866</v>
      </c>
      <c r="F519" s="237"/>
      <c r="G519" s="198" t="s">
        <v>35</v>
      </c>
      <c r="H519" s="176" t="s">
        <v>7</v>
      </c>
      <c r="I519" s="226"/>
      <c r="J519" s="226"/>
    </row>
    <row r="523" spans="1:10" ht="30.75" thickBot="1">
      <c r="A523" s="8" t="s">
        <v>1201</v>
      </c>
      <c r="B523" s="62"/>
      <c r="C523" s="62"/>
      <c r="D523" s="62"/>
      <c r="E523" s="62"/>
      <c r="F523" s="62"/>
      <c r="G523" s="62"/>
      <c r="H523" s="62"/>
      <c r="I523" s="62"/>
      <c r="J523" s="62"/>
    </row>
    <row r="524" spans="1:10" ht="13.5" thickTop="1">
      <c r="A524" s="168"/>
      <c r="B524" s="168"/>
      <c r="C524" s="168"/>
      <c r="D524" s="168"/>
      <c r="E524" s="168"/>
      <c r="F524" s="168"/>
      <c r="G524" s="168"/>
      <c r="H524" s="168"/>
      <c r="I524" s="168"/>
      <c r="J524" s="168"/>
    </row>
    <row r="525" spans="1:10" ht="31.5" customHeight="1">
      <c r="A525" s="372" t="s">
        <v>7</v>
      </c>
      <c r="B525" s="373"/>
      <c r="C525" s="374" t="s">
        <v>12</v>
      </c>
      <c r="D525" s="375"/>
      <c r="E525" s="246" t="s">
        <v>13</v>
      </c>
      <c r="F525" s="376" t="s">
        <v>14</v>
      </c>
      <c r="G525" s="372"/>
      <c r="H525" s="373"/>
      <c r="I525" s="374" t="s">
        <v>15</v>
      </c>
      <c r="J525" s="372"/>
    </row>
    <row r="526" spans="1:10" ht="39" customHeight="1">
      <c r="A526" s="377">
        <f>COUNTIFS(A530:A10742,"UC_CO_*",H530:H10742,"A tester")</f>
        <v>7</v>
      </c>
      <c r="B526" s="377"/>
      <c r="C526" s="378">
        <f>COUNTIFS(A530:A10742,"UC_CO_*",H530:H10742,"Succès")</f>
        <v>0</v>
      </c>
      <c r="D526" s="378"/>
      <c r="E526" s="167">
        <f>COUNTIFS(A530:A10742,"UC_GM_*",H530:H10742,"Echec")</f>
        <v>0</v>
      </c>
      <c r="F526" s="379">
        <f>(C526+E526)/SUM(A526:E526)</f>
        <v>0</v>
      </c>
      <c r="G526" s="379"/>
      <c r="H526" s="379"/>
      <c r="I526" s="380">
        <f>C526/SUM(A526:E526)</f>
        <v>0</v>
      </c>
      <c r="J526" s="380"/>
    </row>
    <row r="527" spans="1:10">
      <c r="A527" s="168"/>
      <c r="B527" s="168"/>
      <c r="C527" s="168"/>
      <c r="D527" s="168"/>
      <c r="E527" s="168"/>
      <c r="F527" s="168"/>
      <c r="G527" s="168"/>
      <c r="H527" s="168"/>
      <c r="I527" s="168"/>
      <c r="J527" s="168"/>
    </row>
    <row r="528" spans="1:10">
      <c r="A528" s="168"/>
      <c r="B528" s="168"/>
      <c r="C528" s="168"/>
      <c r="D528" s="168"/>
      <c r="E528" s="168"/>
      <c r="F528" s="168"/>
      <c r="G528" s="168"/>
      <c r="H528" s="168"/>
      <c r="I528" s="168"/>
      <c r="J528" s="168"/>
    </row>
    <row r="529" spans="1:10" ht="26.25">
      <c r="A529" s="497" t="s">
        <v>1202</v>
      </c>
      <c r="B529" s="168"/>
      <c r="C529" s="168"/>
      <c r="D529" s="168"/>
      <c r="E529" s="168"/>
      <c r="F529" s="168"/>
      <c r="G529" s="168"/>
      <c r="H529" s="168"/>
      <c r="I529" s="168"/>
      <c r="J529" s="168"/>
    </row>
    <row r="531" spans="1:10">
      <c r="A531" s="169" t="s">
        <v>17</v>
      </c>
      <c r="B531" s="169" t="s">
        <v>19</v>
      </c>
      <c r="C531" s="169" t="s">
        <v>20</v>
      </c>
      <c r="D531" s="169" t="s">
        <v>21</v>
      </c>
      <c r="E531" s="169" t="s">
        <v>22</v>
      </c>
      <c r="F531" s="169" t="s">
        <v>23</v>
      </c>
      <c r="G531" s="169" t="s">
        <v>24</v>
      </c>
      <c r="H531" s="169" t="s">
        <v>25</v>
      </c>
      <c r="I531" s="169" t="s">
        <v>26</v>
      </c>
      <c r="J531" s="169" t="s">
        <v>27</v>
      </c>
    </row>
    <row r="532" spans="1:10" ht="42.75" customHeight="1">
      <c r="A532" s="150" t="s">
        <v>870</v>
      </c>
      <c r="B532" s="150" t="s">
        <v>29</v>
      </c>
      <c r="C532" s="150" t="s">
        <v>39</v>
      </c>
      <c r="D532" s="150" t="s">
        <v>872</v>
      </c>
      <c r="E532" s="150"/>
      <c r="F532" s="184"/>
      <c r="G532" s="175" t="s">
        <v>35</v>
      </c>
      <c r="H532" s="176" t="s">
        <v>7</v>
      </c>
      <c r="I532" s="150"/>
      <c r="J532" s="150"/>
    </row>
    <row r="533" spans="1:10" ht="45.75" customHeight="1">
      <c r="A533" s="226" t="s">
        <v>871</v>
      </c>
      <c r="B533" s="226" t="s">
        <v>29</v>
      </c>
      <c r="C533" s="226" t="s">
        <v>39</v>
      </c>
      <c r="D533" s="226" t="s">
        <v>873</v>
      </c>
      <c r="E533" s="226"/>
      <c r="F533" s="237"/>
      <c r="G533" s="198" t="s">
        <v>35</v>
      </c>
      <c r="H533" s="176" t="s">
        <v>7</v>
      </c>
      <c r="I533" s="226"/>
      <c r="J533" s="226"/>
    </row>
    <row r="534" spans="1:10" ht="39.75" customHeight="1">
      <c r="A534" s="201" t="s">
        <v>874</v>
      </c>
      <c r="B534" s="201" t="s">
        <v>29</v>
      </c>
      <c r="C534" s="201" t="s">
        <v>39</v>
      </c>
      <c r="D534" s="201" t="s">
        <v>877</v>
      </c>
      <c r="E534" s="201" t="s">
        <v>879</v>
      </c>
      <c r="F534" s="239"/>
      <c r="G534" s="181" t="s">
        <v>35</v>
      </c>
      <c r="H534" s="176" t="s">
        <v>7</v>
      </c>
      <c r="I534" s="201"/>
      <c r="J534" s="201"/>
    </row>
    <row r="535" spans="1:10" ht="39.75" customHeight="1">
      <c r="A535" s="226" t="s">
        <v>875</v>
      </c>
      <c r="B535" s="226" t="s">
        <v>29</v>
      </c>
      <c r="C535" s="226" t="s">
        <v>39</v>
      </c>
      <c r="D535" s="226" t="s">
        <v>878</v>
      </c>
      <c r="E535" s="226" t="s">
        <v>879</v>
      </c>
      <c r="F535" s="237"/>
      <c r="G535" s="198" t="s">
        <v>35</v>
      </c>
      <c r="H535" s="176" t="s">
        <v>7</v>
      </c>
      <c r="I535" s="226"/>
      <c r="J535" s="226"/>
    </row>
    <row r="536" spans="1:10" ht="40.5" customHeight="1">
      <c r="A536" s="150" t="s">
        <v>876</v>
      </c>
      <c r="B536" s="150" t="s">
        <v>29</v>
      </c>
      <c r="C536" s="150" t="s">
        <v>39</v>
      </c>
      <c r="D536" s="150" t="s">
        <v>1066</v>
      </c>
      <c r="E536" s="150" t="s">
        <v>1067</v>
      </c>
      <c r="F536" s="184"/>
      <c r="G536" s="175" t="s">
        <v>35</v>
      </c>
      <c r="H536" s="176" t="s">
        <v>7</v>
      </c>
      <c r="I536" s="150"/>
      <c r="J536" s="150"/>
    </row>
    <row r="537" spans="1:10" ht="48" customHeight="1">
      <c r="A537" s="226" t="s">
        <v>1072</v>
      </c>
      <c r="B537" s="226" t="s">
        <v>29</v>
      </c>
      <c r="C537" s="226" t="s">
        <v>39</v>
      </c>
      <c r="D537" s="226" t="s">
        <v>1068</v>
      </c>
      <c r="E537" s="226" t="s">
        <v>1069</v>
      </c>
      <c r="F537" s="237" t="str">
        <f>HYPERLINK("[Tagerim.xlsx]RM_CO_CO_10",RM_CO_CO_10)</f>
        <v>RM_CO_CO_10</v>
      </c>
      <c r="G537" s="198" t="s">
        <v>35</v>
      </c>
      <c r="H537" s="176" t="s">
        <v>7</v>
      </c>
      <c r="I537" s="226"/>
      <c r="J537" s="226"/>
    </row>
    <row r="538" spans="1:10" s="244" customFormat="1" ht="39" customHeight="1">
      <c r="A538" s="150" t="s">
        <v>1073</v>
      </c>
      <c r="B538" s="150" t="s">
        <v>29</v>
      </c>
      <c r="C538" s="150" t="s">
        <v>39</v>
      </c>
      <c r="D538" s="150" t="s">
        <v>1070</v>
      </c>
      <c r="E538" s="150" t="s">
        <v>1071</v>
      </c>
      <c r="F538" s="184" t="str">
        <f>HYPERLINK("[Tagerim.xlsx]RM_CO_CO_20",RM_CO_CO_20)</f>
        <v>RM_CO_CO_20</v>
      </c>
      <c r="G538" s="175" t="s">
        <v>35</v>
      </c>
      <c r="H538" s="176" t="s">
        <v>7</v>
      </c>
      <c r="I538" s="150"/>
      <c r="J538" s="150"/>
    </row>
    <row r="539" spans="1:10" s="244" customFormat="1"/>
    <row r="541" spans="1:10" ht="30.75" thickBot="1">
      <c r="A541" s="8" t="s">
        <v>1203</v>
      </c>
      <c r="B541" s="62"/>
      <c r="C541" s="62"/>
      <c r="D541" s="62"/>
      <c r="E541" s="62"/>
      <c r="F541" s="62"/>
      <c r="G541" s="62"/>
      <c r="H541" s="62"/>
      <c r="I541" s="62"/>
      <c r="J541" s="62"/>
    </row>
    <row r="542" spans="1:10" ht="13.5" thickTop="1">
      <c r="A542" s="168"/>
      <c r="B542" s="168"/>
      <c r="C542" s="168"/>
      <c r="D542" s="168"/>
      <c r="E542" s="168"/>
      <c r="F542" s="168"/>
      <c r="G542" s="168"/>
      <c r="H542" s="168"/>
      <c r="I542" s="168"/>
      <c r="J542" s="168"/>
    </row>
    <row r="543" spans="1:10" ht="18">
      <c r="A543" s="372" t="s">
        <v>7</v>
      </c>
      <c r="B543" s="373"/>
      <c r="C543" s="374" t="s">
        <v>12</v>
      </c>
      <c r="D543" s="375"/>
      <c r="E543" s="246" t="s">
        <v>13</v>
      </c>
      <c r="F543" s="376" t="s">
        <v>14</v>
      </c>
      <c r="G543" s="372"/>
      <c r="H543" s="373"/>
      <c r="I543" s="374" t="s">
        <v>15</v>
      </c>
      <c r="J543" s="372"/>
    </row>
    <row r="544" spans="1:10" ht="30" customHeight="1">
      <c r="A544" s="377">
        <f>COUNTIFS(A548:A10759,"UC_PA_*",H548:H10759,"A tester")</f>
        <v>1</v>
      </c>
      <c r="B544" s="377"/>
      <c r="C544" s="378">
        <f>COUNTIFS(A548:A10759,"UC_CO_*",H548:H10759,"Succès")</f>
        <v>0</v>
      </c>
      <c r="D544" s="378"/>
      <c r="E544" s="167">
        <f>COUNTIFS(A548:A10759,"UC_GM_*",H548:H10759,"Echec")</f>
        <v>0</v>
      </c>
      <c r="F544" s="379">
        <f>(C544+E544)/SUM(A544:E544)</f>
        <v>0</v>
      </c>
      <c r="G544" s="379"/>
      <c r="H544" s="379"/>
      <c r="I544" s="380">
        <f>C544/SUM(A544:E544)</f>
        <v>0</v>
      </c>
      <c r="J544" s="380"/>
    </row>
    <row r="545" spans="1:10">
      <c r="A545" s="168"/>
      <c r="B545" s="168"/>
      <c r="C545" s="168"/>
      <c r="D545" s="168"/>
      <c r="E545" s="168"/>
      <c r="F545" s="168"/>
      <c r="G545" s="168"/>
      <c r="H545" s="168"/>
      <c r="I545" s="168"/>
      <c r="J545" s="168"/>
    </row>
    <row r="546" spans="1:10">
      <c r="A546" s="168"/>
      <c r="B546" s="168"/>
      <c r="C546" s="168"/>
      <c r="D546" s="168"/>
      <c r="E546" s="168"/>
      <c r="F546" s="168"/>
      <c r="G546" s="168"/>
      <c r="H546" s="168"/>
      <c r="I546" s="168"/>
      <c r="J546" s="168"/>
    </row>
    <row r="547" spans="1:10" ht="26.25">
      <c r="A547" s="497" t="s">
        <v>1204</v>
      </c>
      <c r="B547" s="168"/>
      <c r="C547" s="168"/>
      <c r="D547" s="168"/>
      <c r="E547" s="168"/>
      <c r="F547" s="168"/>
      <c r="G547" s="168"/>
      <c r="H547" s="168"/>
      <c r="I547" s="168"/>
      <c r="J547" s="168"/>
    </row>
    <row r="548" spans="1:10">
      <c r="A548" s="168"/>
      <c r="B548" s="168"/>
      <c r="C548" s="168"/>
      <c r="D548" s="168"/>
      <c r="E548" s="168"/>
      <c r="F548" s="168"/>
      <c r="G548" s="168"/>
      <c r="H548" s="168"/>
      <c r="I548" s="168"/>
      <c r="J548" s="168"/>
    </row>
    <row r="549" spans="1:10">
      <c r="A549" s="169" t="s">
        <v>17</v>
      </c>
      <c r="B549" s="169" t="s">
        <v>19</v>
      </c>
      <c r="C549" s="169" t="s">
        <v>20</v>
      </c>
      <c r="D549" s="169" t="s">
        <v>21</v>
      </c>
      <c r="E549" s="169" t="s">
        <v>22</v>
      </c>
      <c r="F549" s="169" t="s">
        <v>23</v>
      </c>
      <c r="G549" s="169" t="s">
        <v>24</v>
      </c>
      <c r="H549" s="169" t="s">
        <v>25</v>
      </c>
      <c r="I549" s="169" t="s">
        <v>26</v>
      </c>
      <c r="J549" s="169" t="s">
        <v>27</v>
      </c>
    </row>
    <row r="550" spans="1:10" ht="51.75" customHeight="1">
      <c r="A550" s="150" t="s">
        <v>890</v>
      </c>
      <c r="B550" s="150" t="s">
        <v>29</v>
      </c>
      <c r="C550" s="150" t="s">
        <v>39</v>
      </c>
      <c r="D550" s="150" t="s">
        <v>893</v>
      </c>
      <c r="E550" s="150" t="s">
        <v>891</v>
      </c>
      <c r="F550" s="184"/>
      <c r="G550" s="175" t="s">
        <v>35</v>
      </c>
      <c r="H550" s="176" t="s">
        <v>7</v>
      </c>
      <c r="I550" s="150"/>
      <c r="J550" s="150"/>
    </row>
    <row r="554" spans="1:10" ht="30.75" thickBot="1">
      <c r="A554" s="8" t="s">
        <v>1205</v>
      </c>
      <c r="B554" s="62"/>
      <c r="C554" s="62"/>
      <c r="D554" s="62"/>
      <c r="E554" s="62"/>
      <c r="F554" s="62"/>
      <c r="G554" s="62"/>
      <c r="H554" s="62"/>
      <c r="I554" s="62"/>
      <c r="J554" s="62"/>
    </row>
    <row r="555" spans="1:10" ht="13.5" thickTop="1">
      <c r="A555" s="168"/>
      <c r="B555" s="168"/>
      <c r="C555" s="168"/>
      <c r="D555" s="168"/>
      <c r="E555" s="168"/>
      <c r="F555" s="168"/>
      <c r="G555" s="168"/>
      <c r="H555" s="168"/>
      <c r="I555" s="168"/>
      <c r="J555" s="168"/>
    </row>
    <row r="556" spans="1:10" ht="18">
      <c r="A556" s="372" t="s">
        <v>7</v>
      </c>
      <c r="B556" s="373"/>
      <c r="C556" s="374" t="s">
        <v>12</v>
      </c>
      <c r="D556" s="375"/>
      <c r="E556" s="246" t="s">
        <v>13</v>
      </c>
      <c r="F556" s="376" t="s">
        <v>14</v>
      </c>
      <c r="G556" s="372"/>
      <c r="H556" s="373"/>
      <c r="I556" s="374" t="s">
        <v>15</v>
      </c>
      <c r="J556" s="372"/>
    </row>
    <row r="557" spans="1:10" ht="31.5" customHeight="1">
      <c r="A557" s="377">
        <f>COUNTIFS(A561:A10772,"UC_IT_*",H561:H10772,"A tester")</f>
        <v>75</v>
      </c>
      <c r="B557" s="377"/>
      <c r="C557" s="378">
        <f>COUNTIFS(A561:A10772,"UC_CO_*",H561:H10772,"Succès")</f>
        <v>0</v>
      </c>
      <c r="D557" s="378"/>
      <c r="E557" s="167">
        <f>COUNTIFS(A561:A10772,"UC_GM_*",H561:H10772,"Echec")</f>
        <v>0</v>
      </c>
      <c r="F557" s="379">
        <f>(C557+E557)/SUM(A557:E557)</f>
        <v>0</v>
      </c>
      <c r="G557" s="379"/>
      <c r="H557" s="379"/>
      <c r="I557" s="380">
        <f>C557/SUM(A557:E557)</f>
        <v>0</v>
      </c>
      <c r="J557" s="380"/>
    </row>
    <row r="558" spans="1:10">
      <c r="A558" s="168"/>
      <c r="B558" s="168"/>
      <c r="C558" s="168"/>
      <c r="D558" s="168"/>
      <c r="E558" s="168"/>
      <c r="F558" s="168"/>
      <c r="G558" s="168"/>
      <c r="H558" s="168"/>
      <c r="I558" s="168"/>
      <c r="J558" s="168"/>
    </row>
    <row r="559" spans="1:10">
      <c r="A559" s="168"/>
      <c r="B559" s="168"/>
      <c r="C559" s="168"/>
      <c r="D559" s="168"/>
      <c r="E559" s="168"/>
      <c r="F559" s="168"/>
      <c r="G559" s="168"/>
      <c r="H559" s="168"/>
      <c r="I559" s="168"/>
      <c r="J559" s="168"/>
    </row>
    <row r="560" spans="1:10" ht="26.25">
      <c r="A560" s="497" t="s">
        <v>1206</v>
      </c>
      <c r="B560" s="168"/>
      <c r="C560" s="168"/>
      <c r="D560" s="168"/>
      <c r="E560" s="168"/>
      <c r="F560" s="168"/>
      <c r="G560" s="168"/>
      <c r="H560" s="168"/>
      <c r="I560" s="168"/>
      <c r="J560" s="168"/>
    </row>
    <row r="561" spans="1:10">
      <c r="A561" s="168"/>
      <c r="B561" s="168"/>
      <c r="C561" s="168"/>
      <c r="D561" s="168"/>
      <c r="E561" s="168"/>
      <c r="F561" s="168"/>
      <c r="G561" s="168"/>
      <c r="H561" s="168"/>
      <c r="I561" s="168"/>
      <c r="J561" s="168"/>
    </row>
    <row r="562" spans="1:10" ht="23.25" customHeight="1">
      <c r="A562" s="169" t="s">
        <v>17</v>
      </c>
      <c r="B562" s="169" t="s">
        <v>19</v>
      </c>
      <c r="C562" s="169" t="s">
        <v>20</v>
      </c>
      <c r="D562" s="169" t="s">
        <v>21</v>
      </c>
      <c r="E562" s="169" t="s">
        <v>22</v>
      </c>
      <c r="F562" s="169" t="s">
        <v>23</v>
      </c>
      <c r="G562" s="169" t="s">
        <v>24</v>
      </c>
      <c r="H562" s="169" t="s">
        <v>25</v>
      </c>
      <c r="I562" s="169" t="s">
        <v>26</v>
      </c>
      <c r="J562" s="169" t="s">
        <v>27</v>
      </c>
    </row>
    <row r="563" spans="1:10" ht="54" customHeight="1">
      <c r="A563" s="150" t="s">
        <v>892</v>
      </c>
      <c r="B563" s="150" t="s">
        <v>29</v>
      </c>
      <c r="C563" s="150" t="s">
        <v>39</v>
      </c>
      <c r="D563" s="150" t="s">
        <v>894</v>
      </c>
      <c r="E563" s="150" t="s">
        <v>895</v>
      </c>
      <c r="F563" s="184"/>
      <c r="G563" s="175" t="s">
        <v>35</v>
      </c>
      <c r="H563" s="176" t="s">
        <v>7</v>
      </c>
      <c r="I563" s="150"/>
      <c r="J563" s="150"/>
    </row>
    <row r="564" spans="1:10" ht="42" customHeight="1">
      <c r="A564" s="226" t="s">
        <v>896</v>
      </c>
      <c r="B564" s="226" t="s">
        <v>29</v>
      </c>
      <c r="C564" s="226" t="s">
        <v>39</v>
      </c>
      <c r="D564" s="226" t="s">
        <v>898</v>
      </c>
      <c r="E564" s="226"/>
      <c r="F564" s="237"/>
      <c r="G564" s="198" t="s">
        <v>35</v>
      </c>
      <c r="H564" s="176" t="s">
        <v>7</v>
      </c>
      <c r="I564" s="226"/>
      <c r="J564" s="226"/>
    </row>
    <row r="565" spans="1:10" ht="46.5" customHeight="1">
      <c r="A565" s="150" t="s">
        <v>897</v>
      </c>
      <c r="B565" s="150" t="s">
        <v>29</v>
      </c>
      <c r="C565" s="150" t="s">
        <v>39</v>
      </c>
      <c r="D565" s="150" t="s">
        <v>899</v>
      </c>
      <c r="E565" s="150"/>
      <c r="F565" s="184"/>
      <c r="G565" s="175" t="s">
        <v>35</v>
      </c>
      <c r="H565" s="176" t="s">
        <v>7</v>
      </c>
      <c r="I565" s="150"/>
      <c r="J565" s="150"/>
    </row>
    <row r="566" spans="1:10" ht="33.75" customHeight="1">
      <c r="A566" s="226" t="s">
        <v>900</v>
      </c>
      <c r="B566" s="226" t="s">
        <v>29</v>
      </c>
      <c r="C566" s="226" t="s">
        <v>39</v>
      </c>
      <c r="D566" s="226" t="s">
        <v>903</v>
      </c>
      <c r="E566" s="226"/>
      <c r="F566" s="237" t="str">
        <f>HYPERLINK("[Tagerim.xlsx]RM_IT_TS_10",RM_IT_TS_10)</f>
        <v>RM_IT_TS_10</v>
      </c>
      <c r="G566" s="198" t="s">
        <v>35</v>
      </c>
      <c r="H566" s="176" t="s">
        <v>7</v>
      </c>
      <c r="I566" s="226"/>
      <c r="J566" s="226"/>
    </row>
    <row r="567" spans="1:10" ht="32.25" customHeight="1">
      <c r="A567" s="201" t="s">
        <v>901</v>
      </c>
      <c r="B567" s="201" t="s">
        <v>29</v>
      </c>
      <c r="C567" s="201" t="s">
        <v>39</v>
      </c>
      <c r="D567" s="201" t="s">
        <v>909</v>
      </c>
      <c r="E567" s="201"/>
      <c r="F567" s="239" t="str">
        <f>HYPERLINK("[Tagerim.xlsx]RM_IT_TS_20",RM_IT_TS_20)</f>
        <v>RM_IT_TS_20</v>
      </c>
      <c r="G567" s="181" t="s">
        <v>35</v>
      </c>
      <c r="H567" s="176" t="s">
        <v>7</v>
      </c>
      <c r="I567" s="201"/>
      <c r="J567" s="201"/>
    </row>
    <row r="568" spans="1:10" ht="41.25" customHeight="1">
      <c r="A568" s="226" t="s">
        <v>902</v>
      </c>
      <c r="B568" s="226" t="s">
        <v>29</v>
      </c>
      <c r="C568" s="226" t="s">
        <v>39</v>
      </c>
      <c r="D568" s="226" t="s">
        <v>904</v>
      </c>
      <c r="E568" s="226"/>
      <c r="F568" s="237" t="str">
        <f>HYPERLINK("[Tagerim.xlsx]RM_IT_TS_30",RM_IT_TS_30)</f>
        <v>RM_IT_TS_30</v>
      </c>
      <c r="G568" s="198" t="s">
        <v>35</v>
      </c>
      <c r="H568" s="176" t="s">
        <v>7</v>
      </c>
      <c r="I568" s="226"/>
      <c r="J568" s="226"/>
    </row>
    <row r="569" spans="1:10" ht="28.5" customHeight="1">
      <c r="A569" s="150" t="s">
        <v>905</v>
      </c>
      <c r="B569" s="150" t="s">
        <v>29</v>
      </c>
      <c r="C569" s="150" t="s">
        <v>39</v>
      </c>
      <c r="D569" s="150" t="s">
        <v>910</v>
      </c>
      <c r="E569" s="201"/>
      <c r="F569" s="239" t="str">
        <f>HYPERLINK("[Tagerim.xlsx]RM_IT_TS_40",RM_IT_TS_40)</f>
        <v>RM_IT_TS_40</v>
      </c>
      <c r="G569" s="181" t="s">
        <v>35</v>
      </c>
      <c r="H569" s="176" t="s">
        <v>7</v>
      </c>
      <c r="I569" s="150"/>
      <c r="J569" s="150"/>
    </row>
    <row r="570" spans="1:10" ht="30.75" customHeight="1">
      <c r="A570" s="226" t="s">
        <v>906</v>
      </c>
      <c r="B570" s="226" t="s">
        <v>29</v>
      </c>
      <c r="C570" s="226" t="s">
        <v>39</v>
      </c>
      <c r="D570" s="226" t="s">
        <v>911</v>
      </c>
      <c r="E570" s="226"/>
      <c r="F570" s="237" t="str">
        <f>HYPERLINK("[Tagerim.xlsx]RM_IT_TS_50",RM_IT_TS_50)</f>
        <v>RM_IT_TS_50</v>
      </c>
      <c r="G570" s="198" t="s">
        <v>35</v>
      </c>
      <c r="H570" s="176" t="s">
        <v>7</v>
      </c>
      <c r="I570" s="226"/>
      <c r="J570" s="226"/>
    </row>
    <row r="571" spans="1:10" s="168" customFormat="1" ht="48" customHeight="1">
      <c r="A571" s="201" t="s">
        <v>907</v>
      </c>
      <c r="B571" s="201" t="s">
        <v>29</v>
      </c>
      <c r="C571" s="201" t="s">
        <v>39</v>
      </c>
      <c r="D571" s="201" t="s">
        <v>915</v>
      </c>
      <c r="E571" s="201"/>
      <c r="F571" s="239"/>
      <c r="G571" s="175" t="s">
        <v>35</v>
      </c>
      <c r="H571" s="176" t="s">
        <v>7</v>
      </c>
      <c r="I571" s="201"/>
      <c r="J571" s="201"/>
    </row>
    <row r="572" spans="1:10" ht="43.5" customHeight="1">
      <c r="A572" s="226" t="s">
        <v>908</v>
      </c>
      <c r="B572" s="226" t="s">
        <v>29</v>
      </c>
      <c r="C572" s="226" t="s">
        <v>39</v>
      </c>
      <c r="D572" s="226" t="s">
        <v>912</v>
      </c>
      <c r="E572" s="226" t="s">
        <v>913</v>
      </c>
      <c r="F572" s="237" t="str">
        <f>HYPERLINK("[Tagerim.xlsx]RM_IT_TS_55",RM_IT_TS_55)</f>
        <v>RM_IT_TS_55</v>
      </c>
      <c r="G572" s="198" t="s">
        <v>35</v>
      </c>
      <c r="H572" s="176" t="s">
        <v>7</v>
      </c>
      <c r="I572" s="226"/>
      <c r="J572" s="226"/>
    </row>
    <row r="573" spans="1:10" ht="46.5" customHeight="1">
      <c r="A573" s="201" t="s">
        <v>914</v>
      </c>
      <c r="B573" s="201" t="s">
        <v>29</v>
      </c>
      <c r="C573" s="201" t="s">
        <v>39</v>
      </c>
      <c r="D573" s="201" t="s">
        <v>916</v>
      </c>
      <c r="E573" s="201" t="s">
        <v>936</v>
      </c>
      <c r="F573" s="239" t="str">
        <f>HYPERLINK("[Tagerim.xlsx]RM_IT_TS_51",RM_IT_TS_51)</f>
        <v>RM_IT_TS_51</v>
      </c>
      <c r="G573" s="181" t="s">
        <v>35</v>
      </c>
      <c r="H573" s="176" t="s">
        <v>7</v>
      </c>
      <c r="I573" s="201"/>
      <c r="J573" s="201"/>
    </row>
    <row r="574" spans="1:10" s="168" customFormat="1" ht="41.25" customHeight="1">
      <c r="A574" s="226" t="s">
        <v>917</v>
      </c>
      <c r="B574" s="226" t="s">
        <v>29</v>
      </c>
      <c r="C574" s="226" t="s">
        <v>39</v>
      </c>
      <c r="D574" s="226" t="s">
        <v>930</v>
      </c>
      <c r="E574" s="226" t="s">
        <v>933</v>
      </c>
      <c r="F574" s="237" t="str">
        <f>HYPERLINK("[Tagerim.xlsx]RM_IT_TS_60",RM_IT_TS_60)</f>
        <v>RM_IT_TS_60</v>
      </c>
      <c r="G574" s="198" t="s">
        <v>35</v>
      </c>
      <c r="H574" s="176" t="s">
        <v>7</v>
      </c>
      <c r="I574" s="226"/>
      <c r="J574" s="226"/>
    </row>
    <row r="575" spans="1:10" s="168" customFormat="1" ht="48" customHeight="1">
      <c r="A575" s="201" t="s">
        <v>918</v>
      </c>
      <c r="B575" s="201" t="s">
        <v>29</v>
      </c>
      <c r="C575" s="201" t="s">
        <v>39</v>
      </c>
      <c r="D575" s="201" t="s">
        <v>1089</v>
      </c>
      <c r="E575" s="201" t="s">
        <v>931</v>
      </c>
      <c r="F575" s="239" t="str">
        <f>HYPERLINK("[Tagerim.xlsx]RM_IT_TS_70",RM_IT_TS_70)</f>
        <v>RM_IT_TS_70</v>
      </c>
      <c r="G575" s="181" t="s">
        <v>35</v>
      </c>
      <c r="H575" s="176" t="s">
        <v>7</v>
      </c>
      <c r="I575" s="201"/>
      <c r="J575" s="201"/>
    </row>
    <row r="576" spans="1:10" s="168" customFormat="1" ht="32.25" customHeight="1">
      <c r="A576" s="226" t="s">
        <v>919</v>
      </c>
      <c r="B576" s="226" t="s">
        <v>29</v>
      </c>
      <c r="C576" s="226" t="s">
        <v>39</v>
      </c>
      <c r="D576" s="226" t="s">
        <v>932</v>
      </c>
      <c r="E576" s="226" t="s">
        <v>933</v>
      </c>
      <c r="F576" s="237" t="str">
        <f>HYPERLINK("[Tagerim.xlsx]RM_IT_TS_75",RM_IT_TS_75)</f>
        <v>RM_IT_TS_75</v>
      </c>
      <c r="G576" s="198" t="s">
        <v>35</v>
      </c>
      <c r="H576" s="176" t="s">
        <v>7</v>
      </c>
      <c r="I576" s="226"/>
      <c r="J576" s="226"/>
    </row>
    <row r="577" spans="1:10" s="168" customFormat="1" ht="32.25" customHeight="1">
      <c r="A577" s="201" t="s">
        <v>920</v>
      </c>
      <c r="B577" s="201" t="s">
        <v>29</v>
      </c>
      <c r="C577" s="201" t="s">
        <v>39</v>
      </c>
      <c r="D577" s="201" t="s">
        <v>934</v>
      </c>
      <c r="E577" s="201" t="s">
        <v>935</v>
      </c>
      <c r="F577" s="239" t="str">
        <f>HYPERLINK("[Tagerim.xlsx]RM_IT_TS_80",RM_IT_TS_80)</f>
        <v>RM_IT_TS_80</v>
      </c>
      <c r="G577" s="181" t="s">
        <v>35</v>
      </c>
      <c r="H577" s="176" t="s">
        <v>7</v>
      </c>
      <c r="I577" s="201"/>
      <c r="J577" s="201"/>
    </row>
    <row r="578" spans="1:10" ht="44.25" customHeight="1">
      <c r="A578" s="226" t="s">
        <v>921</v>
      </c>
      <c r="B578" s="226" t="s">
        <v>29</v>
      </c>
      <c r="C578" s="226" t="s">
        <v>39</v>
      </c>
      <c r="D578" s="226" t="s">
        <v>937</v>
      </c>
      <c r="E578" s="226" t="s">
        <v>926</v>
      </c>
      <c r="F578" s="237" t="str">
        <f>HYPERLINK("[Tagerim.xlsx]RM_IT_TS_85",RM_IT_TS_85)</f>
        <v>RM_IT_TS_85</v>
      </c>
      <c r="G578" s="198" t="s">
        <v>35</v>
      </c>
      <c r="H578" s="176" t="s">
        <v>7</v>
      </c>
      <c r="I578" s="226"/>
      <c r="J578" s="226"/>
    </row>
    <row r="579" spans="1:10" ht="53.25" customHeight="1">
      <c r="A579" s="201" t="s">
        <v>922</v>
      </c>
      <c r="B579" s="201" t="s">
        <v>29</v>
      </c>
      <c r="C579" s="201" t="s">
        <v>39</v>
      </c>
      <c r="D579" s="201" t="s">
        <v>927</v>
      </c>
      <c r="E579" s="201" t="s">
        <v>938</v>
      </c>
      <c r="F579" s="239" t="str">
        <f>HYPERLINK("[Tagerim.xlsx]RM_IT_TS_86",RM_IT_TS_86)</f>
        <v>RM_IT_TS_86</v>
      </c>
      <c r="G579" s="175" t="s">
        <v>35</v>
      </c>
      <c r="H579" s="176" t="s">
        <v>7</v>
      </c>
      <c r="I579" s="201"/>
      <c r="J579" s="201"/>
    </row>
    <row r="580" spans="1:10" ht="38.25" customHeight="1">
      <c r="A580" s="226" t="s">
        <v>923</v>
      </c>
      <c r="B580" s="226" t="s">
        <v>29</v>
      </c>
      <c r="C580" s="226" t="s">
        <v>39</v>
      </c>
      <c r="D580" s="226" t="s">
        <v>1105</v>
      </c>
      <c r="E580" s="226" t="s">
        <v>940</v>
      </c>
      <c r="F580" s="237" t="str">
        <f>HYPERLINK("[Tagerim.xlsx]RM_IT_TS_90",RM_IT_TS_90)</f>
        <v>RM_IT_TS_90</v>
      </c>
      <c r="G580" s="198" t="s">
        <v>35</v>
      </c>
      <c r="H580" s="176" t="s">
        <v>7</v>
      </c>
      <c r="I580" s="226"/>
      <c r="J580" s="226"/>
    </row>
    <row r="581" spans="1:10" ht="27" customHeight="1">
      <c r="A581" s="201" t="s">
        <v>924</v>
      </c>
      <c r="B581" s="201" t="s">
        <v>29</v>
      </c>
      <c r="C581" s="201" t="s">
        <v>39</v>
      </c>
      <c r="D581" s="201" t="s">
        <v>939</v>
      </c>
      <c r="E581" s="201" t="s">
        <v>940</v>
      </c>
      <c r="F581" s="239"/>
      <c r="G581" s="181" t="s">
        <v>35</v>
      </c>
      <c r="H581" s="176" t="s">
        <v>7</v>
      </c>
      <c r="I581" s="201"/>
      <c r="J581" s="201"/>
    </row>
    <row r="582" spans="1:10" ht="45.75" customHeight="1">
      <c r="A582" s="226" t="s">
        <v>925</v>
      </c>
      <c r="B582" s="226" t="s">
        <v>29</v>
      </c>
      <c r="C582" s="226" t="s">
        <v>39</v>
      </c>
      <c r="D582" s="226" t="s">
        <v>941</v>
      </c>
      <c r="E582" s="226" t="s">
        <v>942</v>
      </c>
      <c r="F582" s="237" t="str">
        <f>HYPERLINK("[Tagerim.xlsx]RM_IT_TS_95",RM_IT_TS_95)</f>
        <v>RM_IT_TS_95</v>
      </c>
      <c r="G582" s="198" t="s">
        <v>35</v>
      </c>
      <c r="H582" s="176" t="s">
        <v>7</v>
      </c>
      <c r="I582" s="226"/>
      <c r="J582" s="226"/>
    </row>
    <row r="583" spans="1:10" ht="40.5" customHeight="1">
      <c r="A583" s="201" t="s">
        <v>928</v>
      </c>
      <c r="B583" s="201" t="s">
        <v>29</v>
      </c>
      <c r="C583" s="201" t="s">
        <v>39</v>
      </c>
      <c r="D583" s="201" t="s">
        <v>943</v>
      </c>
      <c r="E583" s="201" t="s">
        <v>935</v>
      </c>
      <c r="F583" s="239" t="str">
        <f>HYPERLINK("[Tagerim.xlsx]RM_IT_TS_96",RM_IT_TS_96)</f>
        <v>RM_IT_TS_96</v>
      </c>
      <c r="G583" s="181" t="s">
        <v>35</v>
      </c>
      <c r="H583" s="176" t="s">
        <v>7</v>
      </c>
      <c r="I583" s="201"/>
      <c r="J583" s="201"/>
    </row>
    <row r="584" spans="1:10" ht="51" customHeight="1">
      <c r="A584" s="226" t="s">
        <v>929</v>
      </c>
      <c r="B584" s="226" t="s">
        <v>29</v>
      </c>
      <c r="C584" s="226" t="s">
        <v>39</v>
      </c>
      <c r="D584" s="226" t="s">
        <v>944</v>
      </c>
      <c r="E584" s="226" t="s">
        <v>926</v>
      </c>
      <c r="F584" s="237" t="str">
        <f>HYPERLINK("[Tagerim.xlsx]RM_IT_TS_100",RM_IT_TS_100)</f>
        <v>RM_IT_TS_100</v>
      </c>
      <c r="G584" s="198" t="s">
        <v>35</v>
      </c>
      <c r="H584" s="176" t="s">
        <v>7</v>
      </c>
      <c r="I584" s="226"/>
      <c r="J584" s="226"/>
    </row>
    <row r="587" spans="1:10" ht="26.25">
      <c r="A587" s="497" t="s">
        <v>1207</v>
      </c>
      <c r="B587" s="168"/>
      <c r="C587" s="168"/>
      <c r="D587" s="168"/>
      <c r="E587" s="168"/>
      <c r="F587" s="168"/>
      <c r="G587" s="168"/>
      <c r="H587" s="168"/>
      <c r="I587" s="168"/>
      <c r="J587" s="168"/>
    </row>
    <row r="588" spans="1:10">
      <c r="A588" s="168"/>
      <c r="B588" s="168"/>
      <c r="C588" s="168"/>
      <c r="D588" s="168"/>
      <c r="E588" s="168"/>
      <c r="F588" s="168"/>
      <c r="G588" s="168"/>
      <c r="H588" s="168"/>
      <c r="I588" s="168"/>
      <c r="J588" s="168"/>
    </row>
    <row r="589" spans="1:10">
      <c r="A589" s="169" t="s">
        <v>17</v>
      </c>
      <c r="B589" s="169" t="s">
        <v>19</v>
      </c>
      <c r="C589" s="169" t="s">
        <v>20</v>
      </c>
      <c r="D589" s="169" t="s">
        <v>21</v>
      </c>
      <c r="E589" s="169" t="s">
        <v>22</v>
      </c>
      <c r="F589" s="169" t="s">
        <v>23</v>
      </c>
      <c r="G589" s="169" t="s">
        <v>24</v>
      </c>
      <c r="H589" s="169" t="s">
        <v>25</v>
      </c>
      <c r="I589" s="169" t="s">
        <v>26</v>
      </c>
      <c r="J589" s="169" t="s">
        <v>27</v>
      </c>
    </row>
    <row r="590" spans="1:10" ht="57">
      <c r="A590" s="150" t="s">
        <v>951</v>
      </c>
      <c r="B590" s="150" t="s">
        <v>29</v>
      </c>
      <c r="C590" s="150" t="s">
        <v>39</v>
      </c>
      <c r="D590" s="150" t="s">
        <v>953</v>
      </c>
      <c r="E590" s="150" t="s">
        <v>954</v>
      </c>
      <c r="F590" s="184"/>
      <c r="G590" s="175" t="s">
        <v>35</v>
      </c>
      <c r="H590" s="176" t="s">
        <v>7</v>
      </c>
      <c r="I590" s="150"/>
      <c r="J590" s="150"/>
    </row>
    <row r="591" spans="1:10" ht="43.5" customHeight="1">
      <c r="A591" s="226" t="s">
        <v>952</v>
      </c>
      <c r="B591" s="226" t="s">
        <v>29</v>
      </c>
      <c r="C591" s="226" t="s">
        <v>39</v>
      </c>
      <c r="D591" s="226" t="s">
        <v>955</v>
      </c>
      <c r="E591" s="226" t="s">
        <v>956</v>
      </c>
      <c r="F591" s="237" t="str">
        <f>HYPERLINK("[Tagerim.xlsx]RM_IT_PT_10",RM_IT_PT_10)</f>
        <v>RM_IT_PT_10</v>
      </c>
      <c r="G591" s="198" t="s">
        <v>35</v>
      </c>
      <c r="H591" s="176" t="s">
        <v>7</v>
      </c>
      <c r="I591" s="226"/>
      <c r="J591" s="226"/>
    </row>
    <row r="592" spans="1:10" ht="46.5" customHeight="1">
      <c r="A592" s="150" t="s">
        <v>957</v>
      </c>
      <c r="B592" s="150" t="s">
        <v>29</v>
      </c>
      <c r="C592" s="150" t="s">
        <v>39</v>
      </c>
      <c r="D592" s="150" t="s">
        <v>988</v>
      </c>
      <c r="E592" s="150" t="s">
        <v>961</v>
      </c>
      <c r="F592" s="184"/>
      <c r="G592" s="175" t="s">
        <v>35</v>
      </c>
      <c r="H592" s="176" t="s">
        <v>7</v>
      </c>
      <c r="I592" s="150"/>
      <c r="J592" s="150"/>
    </row>
    <row r="593" spans="1:10" ht="50.25" customHeight="1">
      <c r="A593" s="226" t="s">
        <v>958</v>
      </c>
      <c r="B593" s="226" t="s">
        <v>29</v>
      </c>
      <c r="C593" s="226" t="s">
        <v>39</v>
      </c>
      <c r="D593" s="226" t="s">
        <v>1114</v>
      </c>
      <c r="E593" s="226" t="s">
        <v>962</v>
      </c>
      <c r="F593" s="237" t="str">
        <f>HYPERLINK("[Tagerim.xlsx]RM_IT_PT_20",RM_IT_PT_20)</f>
        <v>RM_IT_PT_20</v>
      </c>
      <c r="G593" s="198" t="s">
        <v>35</v>
      </c>
      <c r="H593" s="176" t="s">
        <v>7</v>
      </c>
      <c r="I593" s="226"/>
      <c r="J593" s="226"/>
    </row>
    <row r="594" spans="1:10" ht="53.25" customHeight="1">
      <c r="A594" s="150" t="s">
        <v>959</v>
      </c>
      <c r="B594" s="150" t="s">
        <v>29</v>
      </c>
      <c r="C594" s="150" t="s">
        <v>39</v>
      </c>
      <c r="D594" s="150" t="s">
        <v>1115</v>
      </c>
      <c r="E594" s="150" t="s">
        <v>963</v>
      </c>
      <c r="F594" s="184" t="str">
        <f>HYPERLINK("[Tagerim.xlsx]RM_IT_PT_30",RM_IT_PT_30)</f>
        <v>RM_IT_PT_30</v>
      </c>
      <c r="G594" s="175" t="s">
        <v>35</v>
      </c>
      <c r="H594" s="176" t="s">
        <v>7</v>
      </c>
      <c r="I594" s="150"/>
      <c r="J594" s="150"/>
    </row>
    <row r="595" spans="1:10" ht="59.25" customHeight="1">
      <c r="A595" s="226" t="s">
        <v>960</v>
      </c>
      <c r="B595" s="226" t="s">
        <v>29</v>
      </c>
      <c r="C595" s="226" t="s">
        <v>39</v>
      </c>
      <c r="D595" s="226" t="s">
        <v>1116</v>
      </c>
      <c r="E595" s="226" t="s">
        <v>964</v>
      </c>
      <c r="F595" s="237" t="str">
        <f>HYPERLINK("[Tagerim.xlsx]RM_IT_PT_40",RM_IT_PT_40)</f>
        <v>RM_IT_PT_40</v>
      </c>
      <c r="G595" s="198" t="s">
        <v>35</v>
      </c>
      <c r="H595" s="176" t="s">
        <v>7</v>
      </c>
      <c r="I595" s="226"/>
      <c r="J595" s="226"/>
    </row>
    <row r="596" spans="1:10" ht="60.75" customHeight="1">
      <c r="A596" s="150" t="s">
        <v>965</v>
      </c>
      <c r="B596" s="150" t="s">
        <v>29</v>
      </c>
      <c r="C596" s="150" t="s">
        <v>39</v>
      </c>
      <c r="D596" s="150" t="s">
        <v>1117</v>
      </c>
      <c r="E596" s="150" t="s">
        <v>985</v>
      </c>
      <c r="F596" s="184" t="str">
        <f>HYPERLINK("[Tagerim.xlsx]RM_IT_PT_50",RM_IT_PT_50)</f>
        <v>RM_IT_PT_50</v>
      </c>
      <c r="G596" s="175" t="s">
        <v>35</v>
      </c>
      <c r="H596" s="176" t="s">
        <v>7</v>
      </c>
      <c r="I596" s="150"/>
      <c r="J596" s="150"/>
    </row>
    <row r="597" spans="1:10" ht="61.5" customHeight="1">
      <c r="A597" s="226" t="s">
        <v>966</v>
      </c>
      <c r="B597" s="226" t="s">
        <v>29</v>
      </c>
      <c r="C597" s="226" t="s">
        <v>39</v>
      </c>
      <c r="D597" s="226" t="s">
        <v>1118</v>
      </c>
      <c r="E597" s="226" t="s">
        <v>986</v>
      </c>
      <c r="F597" s="237" t="str">
        <f>HYPERLINK("[Tagerim.xlsx]RM_IT_PT_60",RM_IT_PT_60)</f>
        <v>RM_IT_PT_60</v>
      </c>
      <c r="G597" s="198" t="s">
        <v>35</v>
      </c>
      <c r="H597" s="176" t="s">
        <v>7</v>
      </c>
      <c r="I597" s="226"/>
      <c r="J597" s="226"/>
    </row>
    <row r="598" spans="1:10" ht="67.5" customHeight="1">
      <c r="A598" s="150" t="s">
        <v>967</v>
      </c>
      <c r="B598" s="150" t="s">
        <v>29</v>
      </c>
      <c r="C598" s="150" t="s">
        <v>39</v>
      </c>
      <c r="D598" s="150" t="s">
        <v>1119</v>
      </c>
      <c r="E598" s="150" t="s">
        <v>987</v>
      </c>
      <c r="F598" s="184" t="str">
        <f>HYPERLINK("[Tagerim.xlsx]RM_IT_PT_70",RM_IT_PT_70)</f>
        <v>RM_IT_PT_70</v>
      </c>
      <c r="G598" s="175" t="s">
        <v>35</v>
      </c>
      <c r="H598" s="176" t="s">
        <v>7</v>
      </c>
      <c r="I598" s="150"/>
      <c r="J598" s="150"/>
    </row>
    <row r="599" spans="1:10" ht="46.5" customHeight="1">
      <c r="A599" s="226" t="s">
        <v>968</v>
      </c>
      <c r="B599" s="226" t="s">
        <v>29</v>
      </c>
      <c r="C599" s="226" t="s">
        <v>39</v>
      </c>
      <c r="D599" s="226" t="s">
        <v>1120</v>
      </c>
      <c r="E599" s="226" t="s">
        <v>1127</v>
      </c>
      <c r="F599" s="237" t="str">
        <f>HYPERLINK("[Tagerim.xlsx]RM_IT_PT_80",RM_IT_PT_80)</f>
        <v>RM_IT_PT_80</v>
      </c>
      <c r="G599" s="198" t="s">
        <v>35</v>
      </c>
      <c r="H599" s="176" t="s">
        <v>7</v>
      </c>
      <c r="I599" s="226"/>
      <c r="J599" s="226"/>
    </row>
    <row r="600" spans="1:10" ht="49.5" customHeight="1">
      <c r="A600" s="150" t="s">
        <v>969</v>
      </c>
      <c r="B600" s="150" t="s">
        <v>29</v>
      </c>
      <c r="C600" s="150" t="s">
        <v>39</v>
      </c>
      <c r="D600" s="150" t="s">
        <v>1121</v>
      </c>
      <c r="E600" s="150" t="s">
        <v>1125</v>
      </c>
      <c r="F600" s="184" t="str">
        <f>HYPERLINK("[Tagerim.xlsx]RM_IT_PT_90",RM_IT_PT_90)</f>
        <v>RM_IT_PT_90</v>
      </c>
      <c r="G600" s="175" t="s">
        <v>35</v>
      </c>
      <c r="H600" s="176" t="s">
        <v>7</v>
      </c>
      <c r="I600" s="150"/>
      <c r="J600" s="150"/>
    </row>
    <row r="601" spans="1:10" s="168" customFormat="1" ht="51" customHeight="1">
      <c r="A601" s="226" t="s">
        <v>970</v>
      </c>
      <c r="B601" s="226" t="s">
        <v>29</v>
      </c>
      <c r="C601" s="226" t="s">
        <v>39</v>
      </c>
      <c r="D601" s="226" t="s">
        <v>1122</v>
      </c>
      <c r="E601" s="226" t="s">
        <v>1128</v>
      </c>
      <c r="F601" s="237" t="str">
        <f>HYPERLINK("[Tagerim.xlsx]RM_IT_PT_100",RM_IT_PT_100)</f>
        <v>RM_IT_PT_100</v>
      </c>
      <c r="G601" s="198" t="s">
        <v>35</v>
      </c>
      <c r="H601" s="176" t="s">
        <v>7</v>
      </c>
      <c r="I601" s="226"/>
      <c r="J601" s="226"/>
    </row>
    <row r="602" spans="1:10" ht="45" customHeight="1">
      <c r="A602" s="150" t="s">
        <v>971</v>
      </c>
      <c r="B602" s="150" t="s">
        <v>29</v>
      </c>
      <c r="C602" s="150" t="s">
        <v>39</v>
      </c>
      <c r="D602" s="150" t="s">
        <v>1123</v>
      </c>
      <c r="E602" s="150" t="s">
        <v>1126</v>
      </c>
      <c r="F602" s="184" t="str">
        <f>HYPERLINK("[Tagerim.xlsx]RM_IT_PT_110",RM_IT_PT_110)</f>
        <v>RM_IT_PT_110</v>
      </c>
      <c r="G602" s="175" t="s">
        <v>35</v>
      </c>
      <c r="H602" s="176" t="s">
        <v>7</v>
      </c>
      <c r="I602" s="150"/>
      <c r="J602" s="150"/>
    </row>
    <row r="603" spans="1:10" ht="51.75" customHeight="1">
      <c r="A603" s="226" t="s">
        <v>972</v>
      </c>
      <c r="B603" s="226" t="s">
        <v>29</v>
      </c>
      <c r="C603" s="226" t="s">
        <v>39</v>
      </c>
      <c r="D603" s="226" t="s">
        <v>1124</v>
      </c>
      <c r="E603" s="226" t="s">
        <v>1129</v>
      </c>
      <c r="F603" s="237" t="str">
        <f>HYPERLINK("[Tagerim.xlsx]RM_IT_PT_120",RM_IT_PT_120)</f>
        <v>RM_IT_PT_120</v>
      </c>
      <c r="G603" s="198" t="s">
        <v>35</v>
      </c>
      <c r="H603" s="176" t="s">
        <v>7</v>
      </c>
      <c r="I603" s="226"/>
      <c r="J603" s="226"/>
    </row>
    <row r="604" spans="1:10" ht="51" customHeight="1">
      <c r="A604" s="150" t="s">
        <v>973</v>
      </c>
      <c r="B604" s="150" t="s">
        <v>29</v>
      </c>
      <c r="C604" s="150" t="s">
        <v>39</v>
      </c>
      <c r="D604" s="150" t="s">
        <v>1151</v>
      </c>
      <c r="E604" s="150" t="s">
        <v>989</v>
      </c>
      <c r="F604" s="184" t="str">
        <f>HYPERLINK("[Tagerim.xlsx]RM_IT_PT_130",RM_IT_PT_130)</f>
        <v>RM_IT_PT_130</v>
      </c>
      <c r="G604" s="175" t="s">
        <v>35</v>
      </c>
      <c r="H604" s="176" t="s">
        <v>7</v>
      </c>
      <c r="I604" s="150"/>
      <c r="J604" s="150"/>
    </row>
    <row r="605" spans="1:10" ht="69" customHeight="1">
      <c r="A605" s="226" t="s">
        <v>974</v>
      </c>
      <c r="B605" s="226" t="s">
        <v>29</v>
      </c>
      <c r="C605" s="226" t="s">
        <v>39</v>
      </c>
      <c r="D605" s="226" t="s">
        <v>1152</v>
      </c>
      <c r="E605" s="226" t="s">
        <v>990</v>
      </c>
      <c r="F605" s="237"/>
      <c r="G605" s="198" t="s">
        <v>35</v>
      </c>
      <c r="H605" s="176" t="s">
        <v>7</v>
      </c>
      <c r="I605" s="226"/>
      <c r="J605" s="226"/>
    </row>
    <row r="606" spans="1:10" ht="73.5" customHeight="1">
      <c r="A606" s="150" t="s">
        <v>975</v>
      </c>
      <c r="B606" s="150" t="s">
        <v>29</v>
      </c>
      <c r="C606" s="150" t="s">
        <v>39</v>
      </c>
      <c r="D606" s="150" t="s">
        <v>1153</v>
      </c>
      <c r="E606" s="150" t="s">
        <v>1161</v>
      </c>
      <c r="F606" s="184"/>
      <c r="G606" s="175" t="s">
        <v>35</v>
      </c>
      <c r="H606" s="176" t="s">
        <v>7</v>
      </c>
      <c r="I606" s="150"/>
      <c r="J606" s="150"/>
    </row>
    <row r="607" spans="1:10" ht="71.25" customHeight="1">
      <c r="A607" s="226" t="s">
        <v>976</v>
      </c>
      <c r="B607" s="226" t="s">
        <v>29</v>
      </c>
      <c r="C607" s="226" t="s">
        <v>39</v>
      </c>
      <c r="D607" s="226" t="s">
        <v>1154</v>
      </c>
      <c r="E607" s="226" t="s">
        <v>991</v>
      </c>
      <c r="F607" s="237" t="str">
        <f>HYPERLINK("[Tagerim.xlsx]RM_IT_PT_140",RM_IT_PT_140)</f>
        <v>RM_IT_PT_140</v>
      </c>
      <c r="G607" s="198" t="s">
        <v>35</v>
      </c>
      <c r="H607" s="176" t="s">
        <v>7</v>
      </c>
      <c r="I607" s="226"/>
      <c r="J607" s="226"/>
    </row>
    <row r="608" spans="1:10" ht="65.25" customHeight="1">
      <c r="A608" s="150" t="s">
        <v>977</v>
      </c>
      <c r="B608" s="150" t="s">
        <v>29</v>
      </c>
      <c r="C608" s="150" t="s">
        <v>39</v>
      </c>
      <c r="D608" s="150" t="s">
        <v>1156</v>
      </c>
      <c r="E608" s="150" t="s">
        <v>992</v>
      </c>
      <c r="F608" s="184" t="str">
        <f>HYPERLINK("[Tagerim.xlsx]RM_IT_PT_150",RM_IT_PT_150)</f>
        <v>RM_IT_PT_150</v>
      </c>
      <c r="G608" s="175" t="s">
        <v>35</v>
      </c>
      <c r="H608" s="176" t="s">
        <v>7</v>
      </c>
      <c r="I608" s="150"/>
      <c r="J608" s="150"/>
    </row>
    <row r="609" spans="1:10" ht="66.75" customHeight="1">
      <c r="A609" s="226" t="s">
        <v>978</v>
      </c>
      <c r="B609" s="226" t="s">
        <v>29</v>
      </c>
      <c r="C609" s="226" t="s">
        <v>39</v>
      </c>
      <c r="D609" s="226" t="s">
        <v>1155</v>
      </c>
      <c r="E609" s="226" t="s">
        <v>1164</v>
      </c>
      <c r="F609" s="237" t="str">
        <f>HYPERLINK("[Tagerim.xlsx]RM_IT_PT_160",RM_IT_PT_160)</f>
        <v>RM_IT_PT_160</v>
      </c>
      <c r="G609" s="198" t="s">
        <v>35</v>
      </c>
      <c r="H609" s="176" t="s">
        <v>7</v>
      </c>
      <c r="I609" s="226"/>
      <c r="J609" s="226"/>
    </row>
    <row r="610" spans="1:10" ht="69.75" customHeight="1">
      <c r="A610" s="150" t="s">
        <v>979</v>
      </c>
      <c r="B610" s="150" t="s">
        <v>29</v>
      </c>
      <c r="C610" s="150" t="s">
        <v>39</v>
      </c>
      <c r="D610" s="150" t="s">
        <v>1157</v>
      </c>
      <c r="E610" s="150" t="s">
        <v>1165</v>
      </c>
      <c r="F610" s="184" t="str">
        <f>HYPERLINK("[Tagerim.xlsx]RM_IT_PT_170",RM_IT_PT_170)</f>
        <v>RM_IT_PT_170</v>
      </c>
      <c r="G610" s="175" t="s">
        <v>35</v>
      </c>
      <c r="H610" s="176" t="s">
        <v>7</v>
      </c>
      <c r="I610" s="150"/>
      <c r="J610" s="150"/>
    </row>
    <row r="611" spans="1:10" ht="63.75" customHeight="1">
      <c r="A611" s="226" t="s">
        <v>980</v>
      </c>
      <c r="B611" s="226" t="s">
        <v>29</v>
      </c>
      <c r="C611" s="226" t="s">
        <v>39</v>
      </c>
      <c r="D611" s="226" t="s">
        <v>1158</v>
      </c>
      <c r="E611" s="226" t="s">
        <v>1170</v>
      </c>
      <c r="F611" s="237" t="str">
        <f>HYPERLINK("[Tagerim.xlsx]RM_IT_PT_180",RM_IT_PT_180)</f>
        <v>RM_IT_PT_180</v>
      </c>
      <c r="G611" s="198" t="s">
        <v>35</v>
      </c>
      <c r="H611" s="176" t="s">
        <v>7</v>
      </c>
      <c r="I611" s="226"/>
      <c r="J611" s="226"/>
    </row>
    <row r="612" spans="1:10" ht="49.5" customHeight="1">
      <c r="A612" s="150" t="s">
        <v>981</v>
      </c>
      <c r="B612" s="150" t="s">
        <v>29</v>
      </c>
      <c r="C612" s="150" t="s">
        <v>39</v>
      </c>
      <c r="D612" s="150" t="s">
        <v>1159</v>
      </c>
      <c r="E612" s="150" t="s">
        <v>993</v>
      </c>
      <c r="F612" s="184"/>
      <c r="G612" s="175" t="s">
        <v>35</v>
      </c>
      <c r="H612" s="176" t="s">
        <v>7</v>
      </c>
      <c r="I612" s="150"/>
      <c r="J612" s="150"/>
    </row>
    <row r="613" spans="1:10" s="244" customFormat="1" ht="49.5" customHeight="1">
      <c r="A613" s="226" t="s">
        <v>982</v>
      </c>
      <c r="B613" s="226" t="s">
        <v>29</v>
      </c>
      <c r="C613" s="226" t="s">
        <v>39</v>
      </c>
      <c r="D613" s="226" t="s">
        <v>995</v>
      </c>
      <c r="E613" s="226" t="s">
        <v>996</v>
      </c>
      <c r="F613" s="237" t="str">
        <f>HYPERLINK("[Tagerim.xlsx]RM_IT_PT_190",RM_IT_PT_190)</f>
        <v>RM_IT_PT_190</v>
      </c>
      <c r="G613" s="198" t="s">
        <v>35</v>
      </c>
      <c r="H613" s="176" t="s">
        <v>7</v>
      </c>
      <c r="I613" s="226"/>
      <c r="J613" s="226"/>
    </row>
    <row r="614" spans="1:10" s="244" customFormat="1" ht="50.25" customHeight="1">
      <c r="A614" s="150" t="s">
        <v>983</v>
      </c>
      <c r="B614" s="150" t="s">
        <v>29</v>
      </c>
      <c r="C614" s="150" t="s">
        <v>39</v>
      </c>
      <c r="D614" s="150" t="s">
        <v>912</v>
      </c>
      <c r="E614" s="150" t="s">
        <v>997</v>
      </c>
      <c r="F614" s="184" t="str">
        <f>HYPERLINK("[Tagerim.xlsx]RM_IT_PT_200",RM_IT_PT_200)</f>
        <v>RM_IT_PT_200</v>
      </c>
      <c r="G614" s="175" t="s">
        <v>35</v>
      </c>
      <c r="H614" s="176" t="s">
        <v>7</v>
      </c>
      <c r="I614" s="150"/>
      <c r="J614" s="150"/>
    </row>
    <row r="615" spans="1:10" ht="40.5" customHeight="1">
      <c r="A615" s="226" t="s">
        <v>984</v>
      </c>
      <c r="B615" s="226" t="s">
        <v>29</v>
      </c>
      <c r="C615" s="226" t="s">
        <v>39</v>
      </c>
      <c r="D615" s="226" t="s">
        <v>999</v>
      </c>
      <c r="E615" s="226" t="s">
        <v>1000</v>
      </c>
      <c r="F615" s="237"/>
      <c r="G615" s="198" t="s">
        <v>35</v>
      </c>
      <c r="H615" s="176" t="s">
        <v>7</v>
      </c>
      <c r="I615" s="226"/>
      <c r="J615" s="226"/>
    </row>
    <row r="616" spans="1:10" ht="41.25" customHeight="1">
      <c r="A616" s="150" t="s">
        <v>998</v>
      </c>
      <c r="B616" s="150" t="s">
        <v>29</v>
      </c>
      <c r="C616" s="150" t="s">
        <v>39</v>
      </c>
      <c r="D616" s="150" t="s">
        <v>1001</v>
      </c>
      <c r="E616" s="150" t="s">
        <v>1002</v>
      </c>
      <c r="F616" s="184"/>
      <c r="G616" s="175" t="s">
        <v>35</v>
      </c>
      <c r="H616" s="176" t="s">
        <v>7</v>
      </c>
      <c r="I616" s="150"/>
      <c r="J616" s="150"/>
    </row>
    <row r="619" spans="1:10" ht="26.25">
      <c r="A619" s="497" t="s">
        <v>1208</v>
      </c>
      <c r="B619" s="168"/>
      <c r="C619" s="168"/>
      <c r="D619" s="168"/>
      <c r="E619" s="168"/>
      <c r="F619" s="168"/>
      <c r="G619" s="168"/>
      <c r="H619" s="168"/>
      <c r="I619" s="168"/>
      <c r="J619" s="168"/>
    </row>
    <row r="620" spans="1:10">
      <c r="A620" s="168"/>
      <c r="B620" s="168"/>
      <c r="C620" s="168"/>
      <c r="D620" s="168"/>
      <c r="E620" s="168"/>
      <c r="F620" s="168"/>
      <c r="G620" s="168"/>
      <c r="H620" s="168"/>
      <c r="I620" s="168"/>
      <c r="J620" s="168"/>
    </row>
    <row r="621" spans="1:10">
      <c r="A621" s="169" t="s">
        <v>17</v>
      </c>
      <c r="B621" s="169" t="s">
        <v>19</v>
      </c>
      <c r="C621" s="169" t="s">
        <v>20</v>
      </c>
      <c r="D621" s="169" t="s">
        <v>21</v>
      </c>
      <c r="E621" s="169" t="s">
        <v>22</v>
      </c>
      <c r="F621" s="169" t="s">
        <v>23</v>
      </c>
      <c r="G621" s="169" t="s">
        <v>24</v>
      </c>
      <c r="H621" s="169" t="s">
        <v>25</v>
      </c>
      <c r="I621" s="169" t="s">
        <v>26</v>
      </c>
      <c r="J621" s="169" t="s">
        <v>27</v>
      </c>
    </row>
    <row r="622" spans="1:10" ht="64.5" customHeight="1">
      <c r="A622" s="150" t="s">
        <v>1003</v>
      </c>
      <c r="B622" s="150" t="s">
        <v>29</v>
      </c>
      <c r="C622" s="150" t="s">
        <v>39</v>
      </c>
      <c r="D622" s="150" t="s">
        <v>1005</v>
      </c>
      <c r="E622" s="150" t="s">
        <v>1006</v>
      </c>
      <c r="F622" s="184"/>
      <c r="G622" s="175" t="s">
        <v>35</v>
      </c>
      <c r="H622" s="176" t="s">
        <v>7</v>
      </c>
      <c r="I622" s="150"/>
      <c r="J622" s="150"/>
    </row>
    <row r="623" spans="1:10" ht="45.75" customHeight="1">
      <c r="A623" s="226" t="s">
        <v>1004</v>
      </c>
      <c r="B623" s="226" t="s">
        <v>29</v>
      </c>
      <c r="C623" s="226" t="s">
        <v>39</v>
      </c>
      <c r="D623" s="226" t="s">
        <v>1007</v>
      </c>
      <c r="E623" s="226" t="s">
        <v>1006</v>
      </c>
      <c r="F623" s="237"/>
      <c r="G623" s="198" t="s">
        <v>35</v>
      </c>
      <c r="H623" s="176" t="s">
        <v>7</v>
      </c>
      <c r="I623" s="226"/>
      <c r="J623" s="226"/>
    </row>
    <row r="624" spans="1:10" ht="34.5" customHeight="1">
      <c r="A624" s="150" t="s">
        <v>1008</v>
      </c>
      <c r="B624" s="150" t="s">
        <v>29</v>
      </c>
      <c r="C624" s="150" t="s">
        <v>39</v>
      </c>
      <c r="D624" s="150" t="s">
        <v>1025</v>
      </c>
      <c r="E624" s="150" t="s">
        <v>1006</v>
      </c>
      <c r="F624" s="184"/>
      <c r="G624" s="175" t="s">
        <v>35</v>
      </c>
      <c r="H624" s="176" t="s">
        <v>7</v>
      </c>
      <c r="I624" s="150"/>
      <c r="J624" s="150"/>
    </row>
    <row r="625" spans="1:10" ht="34.5" customHeight="1">
      <c r="A625" s="226" t="s">
        <v>1009</v>
      </c>
      <c r="B625" s="226" t="s">
        <v>29</v>
      </c>
      <c r="C625" s="226" t="s">
        <v>39</v>
      </c>
      <c r="D625" s="226" t="s">
        <v>1026</v>
      </c>
      <c r="E625" s="226" t="s">
        <v>1006</v>
      </c>
      <c r="F625" s="237"/>
      <c r="G625" s="198" t="s">
        <v>35</v>
      </c>
      <c r="H625" s="176" t="s">
        <v>7</v>
      </c>
      <c r="I625" s="226"/>
      <c r="J625" s="226"/>
    </row>
    <row r="626" spans="1:10" ht="54.75" customHeight="1">
      <c r="A626" s="150" t="s">
        <v>1010</v>
      </c>
      <c r="B626" s="150" t="s">
        <v>29</v>
      </c>
      <c r="C626" s="150" t="s">
        <v>39</v>
      </c>
      <c r="D626" s="150" t="s">
        <v>1030</v>
      </c>
      <c r="E626" s="150" t="s">
        <v>1006</v>
      </c>
      <c r="F626" s="184"/>
      <c r="G626" s="175" t="s">
        <v>35</v>
      </c>
      <c r="H626" s="176" t="s">
        <v>7</v>
      </c>
      <c r="I626" s="150"/>
      <c r="J626" s="150"/>
    </row>
    <row r="627" spans="1:10" ht="50.25" customHeight="1">
      <c r="A627" s="226" t="s">
        <v>1011</v>
      </c>
      <c r="B627" s="226" t="s">
        <v>29</v>
      </c>
      <c r="C627" s="226" t="s">
        <v>39</v>
      </c>
      <c r="D627" s="226" t="s">
        <v>1027</v>
      </c>
      <c r="E627" s="226" t="s">
        <v>1006</v>
      </c>
      <c r="F627" s="237"/>
      <c r="G627" s="198" t="s">
        <v>35</v>
      </c>
      <c r="H627" s="176" t="s">
        <v>7</v>
      </c>
      <c r="I627" s="226"/>
      <c r="J627" s="226"/>
    </row>
    <row r="628" spans="1:10" ht="39" customHeight="1">
      <c r="A628" s="150" t="s">
        <v>1012</v>
      </c>
      <c r="B628" s="150" t="s">
        <v>29</v>
      </c>
      <c r="C628" s="201" t="s">
        <v>39</v>
      </c>
      <c r="D628" s="201" t="s">
        <v>1029</v>
      </c>
      <c r="E628" s="201" t="s">
        <v>1006</v>
      </c>
      <c r="F628" s="184"/>
      <c r="G628" s="175" t="s">
        <v>35</v>
      </c>
      <c r="H628" s="176" t="s">
        <v>7</v>
      </c>
      <c r="I628" s="150"/>
      <c r="J628" s="150"/>
    </row>
    <row r="629" spans="1:10" ht="31.5" customHeight="1">
      <c r="A629" s="226" t="s">
        <v>1013</v>
      </c>
      <c r="B629" s="226" t="s">
        <v>29</v>
      </c>
      <c r="C629" s="226" t="s">
        <v>39</v>
      </c>
      <c r="D629" s="226" t="s">
        <v>1028</v>
      </c>
      <c r="E629" s="226" t="s">
        <v>1006</v>
      </c>
      <c r="F629" s="237"/>
      <c r="G629" s="198" t="s">
        <v>35</v>
      </c>
      <c r="H629" s="176" t="s">
        <v>7</v>
      </c>
      <c r="I629" s="226"/>
      <c r="J629" s="226"/>
    </row>
    <row r="630" spans="1:10" ht="39" customHeight="1">
      <c r="A630" s="150" t="s">
        <v>1014</v>
      </c>
      <c r="B630" s="150" t="s">
        <v>29</v>
      </c>
      <c r="C630" s="150" t="s">
        <v>39</v>
      </c>
      <c r="D630" s="150" t="s">
        <v>1031</v>
      </c>
      <c r="E630" s="150" t="s">
        <v>1006</v>
      </c>
      <c r="F630" s="184"/>
      <c r="G630" s="175" t="s">
        <v>35</v>
      </c>
      <c r="H630" s="176" t="s">
        <v>7</v>
      </c>
      <c r="I630" s="150"/>
      <c r="J630" s="150"/>
    </row>
    <row r="631" spans="1:10" ht="45" customHeight="1">
      <c r="A631" s="226" t="s">
        <v>1015</v>
      </c>
      <c r="B631" s="226" t="s">
        <v>29</v>
      </c>
      <c r="C631" s="226" t="s">
        <v>39</v>
      </c>
      <c r="D631" s="226" t="s">
        <v>1032</v>
      </c>
      <c r="E631" s="226" t="s">
        <v>1034</v>
      </c>
      <c r="F631" s="237"/>
      <c r="G631" s="198" t="s">
        <v>35</v>
      </c>
      <c r="H631" s="176" t="s">
        <v>7</v>
      </c>
      <c r="I631" s="226"/>
      <c r="J631" s="226"/>
    </row>
    <row r="632" spans="1:10" ht="39" customHeight="1">
      <c r="A632" s="150" t="s">
        <v>1016</v>
      </c>
      <c r="B632" s="150" t="s">
        <v>29</v>
      </c>
      <c r="C632" s="150" t="s">
        <v>39</v>
      </c>
      <c r="D632" s="150" t="s">
        <v>1033</v>
      </c>
      <c r="E632" s="150" t="s">
        <v>1034</v>
      </c>
      <c r="F632" s="184"/>
      <c r="G632" s="175" t="s">
        <v>35</v>
      </c>
      <c r="H632" s="176" t="s">
        <v>7</v>
      </c>
      <c r="I632" s="150"/>
      <c r="J632" s="150"/>
    </row>
    <row r="633" spans="1:10" ht="44.25" customHeight="1">
      <c r="A633" s="226" t="s">
        <v>1017</v>
      </c>
      <c r="B633" s="226" t="s">
        <v>29</v>
      </c>
      <c r="C633" s="226" t="s">
        <v>39</v>
      </c>
      <c r="D633" s="226" t="s">
        <v>1035</v>
      </c>
      <c r="E633" s="226" t="s">
        <v>1034</v>
      </c>
      <c r="F633" s="237"/>
      <c r="G633" s="198" t="s">
        <v>35</v>
      </c>
      <c r="H633" s="176" t="s">
        <v>7</v>
      </c>
      <c r="I633" s="226"/>
      <c r="J633" s="226"/>
    </row>
    <row r="634" spans="1:10" ht="44.25" customHeight="1">
      <c r="A634" s="150" t="s">
        <v>1018</v>
      </c>
      <c r="B634" s="150" t="s">
        <v>29</v>
      </c>
      <c r="C634" s="150" t="s">
        <v>39</v>
      </c>
      <c r="D634" s="150" t="s">
        <v>1036</v>
      </c>
      <c r="E634" s="150" t="s">
        <v>1034</v>
      </c>
      <c r="F634" s="184"/>
      <c r="G634" s="175" t="s">
        <v>35</v>
      </c>
      <c r="H634" s="176" t="s">
        <v>7</v>
      </c>
      <c r="I634" s="150"/>
      <c r="J634" s="150"/>
    </row>
    <row r="635" spans="1:10" ht="35.25" customHeight="1">
      <c r="A635" s="226" t="s">
        <v>1019</v>
      </c>
      <c r="B635" s="226" t="s">
        <v>29</v>
      </c>
      <c r="C635" s="226" t="s">
        <v>39</v>
      </c>
      <c r="D635" s="226" t="s">
        <v>1037</v>
      </c>
      <c r="E635" s="226" t="s">
        <v>1034</v>
      </c>
      <c r="F635" s="237"/>
      <c r="G635" s="198" t="s">
        <v>35</v>
      </c>
      <c r="H635" s="176" t="s">
        <v>7</v>
      </c>
      <c r="I635" s="226"/>
      <c r="J635" s="226"/>
    </row>
    <row r="636" spans="1:10" ht="30" customHeight="1">
      <c r="A636" s="150" t="s">
        <v>1020</v>
      </c>
      <c r="B636" s="150" t="s">
        <v>29</v>
      </c>
      <c r="C636" s="150" t="s">
        <v>39</v>
      </c>
      <c r="D636" s="150" t="s">
        <v>1038</v>
      </c>
      <c r="E636" s="150" t="s">
        <v>1039</v>
      </c>
      <c r="F636" s="184"/>
      <c r="G636" s="175" t="s">
        <v>35</v>
      </c>
      <c r="H636" s="176" t="s">
        <v>7</v>
      </c>
      <c r="I636" s="150"/>
      <c r="J636" s="150"/>
    </row>
    <row r="637" spans="1:10" ht="28.5" customHeight="1">
      <c r="A637" s="226" t="s">
        <v>1021</v>
      </c>
      <c r="B637" s="226" t="s">
        <v>29</v>
      </c>
      <c r="C637" s="226" t="s">
        <v>39</v>
      </c>
      <c r="D637" s="226" t="s">
        <v>1040</v>
      </c>
      <c r="E637" s="226" t="s">
        <v>1039</v>
      </c>
      <c r="F637" s="237"/>
      <c r="G637" s="198" t="s">
        <v>35</v>
      </c>
      <c r="H637" s="176" t="s">
        <v>7</v>
      </c>
      <c r="I637" s="226"/>
      <c r="J637" s="226"/>
    </row>
    <row r="638" spans="1:10" ht="42.75" customHeight="1">
      <c r="A638" s="150" t="s">
        <v>1022</v>
      </c>
      <c r="B638" s="150" t="s">
        <v>29</v>
      </c>
      <c r="C638" s="150" t="s">
        <v>39</v>
      </c>
      <c r="D638" s="150" t="s">
        <v>1041</v>
      </c>
      <c r="E638" s="150" t="s">
        <v>1039</v>
      </c>
      <c r="F638" s="184"/>
      <c r="G638" s="175" t="s">
        <v>35</v>
      </c>
      <c r="H638" s="176" t="s">
        <v>7</v>
      </c>
      <c r="I638" s="150"/>
      <c r="J638" s="150"/>
    </row>
    <row r="639" spans="1:10" ht="41.25" customHeight="1">
      <c r="A639" s="226" t="s">
        <v>1023</v>
      </c>
      <c r="B639" s="226" t="s">
        <v>29</v>
      </c>
      <c r="C639" s="226" t="s">
        <v>39</v>
      </c>
      <c r="D639" s="226" t="s">
        <v>1042</v>
      </c>
      <c r="E639" s="226" t="s">
        <v>1039</v>
      </c>
      <c r="F639" s="237"/>
      <c r="G639" s="198" t="s">
        <v>35</v>
      </c>
      <c r="H639" s="176" t="s">
        <v>7</v>
      </c>
      <c r="I639" s="226"/>
      <c r="J639" s="226"/>
    </row>
    <row r="640" spans="1:10" ht="42" customHeight="1">
      <c r="A640" s="150" t="s">
        <v>1024</v>
      </c>
      <c r="B640" s="150" t="s">
        <v>29</v>
      </c>
      <c r="C640" s="150" t="s">
        <v>39</v>
      </c>
      <c r="D640" s="150" t="s">
        <v>1043</v>
      </c>
      <c r="E640" s="150" t="s">
        <v>1039</v>
      </c>
      <c r="F640" s="184"/>
      <c r="G640" s="175" t="s">
        <v>35</v>
      </c>
      <c r="H640" s="176" t="s">
        <v>7</v>
      </c>
      <c r="I640" s="150"/>
      <c r="J640" s="150"/>
    </row>
    <row r="641" spans="1:10" s="168" customFormat="1" ht="33.75" customHeight="1">
      <c r="A641" s="226" t="s">
        <v>1044</v>
      </c>
      <c r="B641" s="226" t="s">
        <v>29</v>
      </c>
      <c r="C641" s="226" t="s">
        <v>39</v>
      </c>
      <c r="D641" s="226" t="s">
        <v>1046</v>
      </c>
      <c r="E641" s="226" t="s">
        <v>997</v>
      </c>
      <c r="F641" s="237"/>
      <c r="G641" s="198" t="s">
        <v>35</v>
      </c>
      <c r="H641" s="176" t="s">
        <v>7</v>
      </c>
      <c r="I641" s="226"/>
      <c r="J641" s="226"/>
    </row>
    <row r="642" spans="1:10" s="168" customFormat="1" ht="47.25" customHeight="1">
      <c r="A642" s="201" t="s">
        <v>1045</v>
      </c>
      <c r="B642" s="201" t="s">
        <v>29</v>
      </c>
      <c r="C642" s="201" t="s">
        <v>39</v>
      </c>
      <c r="D642" s="201" t="s">
        <v>1047</v>
      </c>
      <c r="E642" s="201" t="s">
        <v>1048</v>
      </c>
      <c r="F642" s="239"/>
      <c r="G642" s="181" t="s">
        <v>35</v>
      </c>
      <c r="H642" s="176" t="s">
        <v>7</v>
      </c>
      <c r="I642" s="201"/>
      <c r="J642" s="201"/>
    </row>
    <row r="643" spans="1:10" s="168" customFormat="1" ht="72" customHeight="1">
      <c r="A643" s="226" t="s">
        <v>1049</v>
      </c>
      <c r="B643" s="226" t="s">
        <v>29</v>
      </c>
      <c r="C643" s="226" t="s">
        <v>39</v>
      </c>
      <c r="D643" s="226" t="s">
        <v>1053</v>
      </c>
      <c r="E643" s="226" t="s">
        <v>1054</v>
      </c>
      <c r="F643" s="237"/>
      <c r="G643" s="198" t="s">
        <v>35</v>
      </c>
      <c r="H643" s="176" t="s">
        <v>7</v>
      </c>
      <c r="I643" s="226"/>
      <c r="J643" s="226"/>
    </row>
    <row r="644" spans="1:10" s="168" customFormat="1" ht="72" customHeight="1">
      <c r="A644" s="201" t="s">
        <v>1055</v>
      </c>
      <c r="B644" s="201" t="s">
        <v>29</v>
      </c>
      <c r="C644" s="201" t="s">
        <v>39</v>
      </c>
      <c r="D644" s="201" t="s">
        <v>1056</v>
      </c>
      <c r="E644" s="201" t="s">
        <v>1054</v>
      </c>
      <c r="F644" s="239"/>
      <c r="G644" s="181" t="s">
        <v>35</v>
      </c>
      <c r="H644" s="176" t="s">
        <v>7</v>
      </c>
      <c r="I644" s="201"/>
      <c r="J644" s="201"/>
    </row>
    <row r="645" spans="1:10" s="168" customFormat="1" ht="47.25" customHeight="1">
      <c r="A645" s="226" t="s">
        <v>1050</v>
      </c>
      <c r="B645" s="226" t="s">
        <v>29</v>
      </c>
      <c r="C645" s="226" t="s">
        <v>39</v>
      </c>
      <c r="D645" s="226" t="s">
        <v>1058</v>
      </c>
      <c r="E645" s="226" t="s">
        <v>1057</v>
      </c>
      <c r="F645" s="237"/>
      <c r="G645" s="198" t="s">
        <v>35</v>
      </c>
      <c r="H645" s="176" t="s">
        <v>7</v>
      </c>
      <c r="I645" s="226"/>
      <c r="J645" s="226"/>
    </row>
    <row r="646" spans="1:10" s="168" customFormat="1" ht="47.25" customHeight="1">
      <c r="A646" s="201" t="s">
        <v>1051</v>
      </c>
      <c r="B646" s="201" t="s">
        <v>29</v>
      </c>
      <c r="C646" s="201" t="s">
        <v>39</v>
      </c>
      <c r="D646" s="201" t="s">
        <v>1059</v>
      </c>
      <c r="E646" s="201"/>
      <c r="F646" s="239"/>
      <c r="G646" s="181" t="s">
        <v>35</v>
      </c>
      <c r="H646" s="176" t="s">
        <v>7</v>
      </c>
      <c r="I646" s="201"/>
      <c r="J646" s="201"/>
    </row>
    <row r="647" spans="1:10" s="168" customFormat="1" ht="47.25" customHeight="1">
      <c r="A647" s="226" t="s">
        <v>1052</v>
      </c>
      <c r="B647" s="226" t="s">
        <v>29</v>
      </c>
      <c r="C647" s="226" t="s">
        <v>39</v>
      </c>
      <c r="D647" s="226" t="s">
        <v>1060</v>
      </c>
      <c r="E647" s="226" t="s">
        <v>1061</v>
      </c>
      <c r="F647" s="237"/>
      <c r="G647" s="198" t="s">
        <v>35</v>
      </c>
      <c r="H647" s="176" t="s">
        <v>7</v>
      </c>
      <c r="I647" s="226"/>
      <c r="J647" s="226"/>
    </row>
    <row r="649" spans="1:10">
      <c r="J649" s="168"/>
    </row>
    <row r="650" spans="1:10">
      <c r="J650" s="168"/>
    </row>
    <row r="651" spans="1:10" ht="30.75" thickBot="1">
      <c r="A651" s="8" t="s">
        <v>1209</v>
      </c>
      <c r="B651" s="62"/>
      <c r="C651" s="62"/>
      <c r="D651" s="62"/>
      <c r="E651" s="62"/>
      <c r="F651" s="62"/>
      <c r="G651" s="62"/>
      <c r="H651" s="62"/>
      <c r="I651" s="62"/>
      <c r="J651" s="62"/>
    </row>
    <row r="652" spans="1:10" ht="13.5" thickTop="1">
      <c r="A652" s="244"/>
      <c r="B652" s="244"/>
      <c r="C652" s="244"/>
      <c r="D652" s="244"/>
      <c r="E652" s="244"/>
      <c r="F652" s="244"/>
      <c r="G652" s="244"/>
      <c r="H652" s="244"/>
      <c r="I652" s="244"/>
      <c r="J652" s="244"/>
    </row>
    <row r="653" spans="1:10" ht="18">
      <c r="A653" s="372" t="s">
        <v>7</v>
      </c>
      <c r="B653" s="373"/>
      <c r="C653" s="374" t="s">
        <v>12</v>
      </c>
      <c r="D653" s="375"/>
      <c r="E653" s="246" t="s">
        <v>13</v>
      </c>
      <c r="F653" s="376" t="s">
        <v>14</v>
      </c>
      <c r="G653" s="372"/>
      <c r="H653" s="373"/>
      <c r="I653" s="374" t="s">
        <v>15</v>
      </c>
      <c r="J653" s="372"/>
    </row>
    <row r="654" spans="1:10" ht="32.25" customHeight="1">
      <c r="A654" s="377">
        <f>COUNTIFS(A658:A10869,"UC_AD_*",H658:H10869,"A tester")</f>
        <v>29</v>
      </c>
      <c r="B654" s="377"/>
      <c r="C654" s="378">
        <f>COUNTIFS(A658:A10869,"UC_CO_*",H658:H10869,"Succès")</f>
        <v>0</v>
      </c>
      <c r="D654" s="378"/>
      <c r="E654" s="242">
        <f>COUNTIFS(A658:A10869,"UC_GM_*",H658:H10869,"Echec")</f>
        <v>0</v>
      </c>
      <c r="F654" s="379">
        <f>(C654+E654)/SUM(A654:E654)</f>
        <v>0</v>
      </c>
      <c r="G654" s="379"/>
      <c r="H654" s="379"/>
      <c r="I654" s="380">
        <f>C654/SUM(A654:E654)</f>
        <v>0</v>
      </c>
      <c r="J654" s="380"/>
    </row>
    <row r="655" spans="1:10">
      <c r="A655" s="244"/>
      <c r="B655" s="244"/>
      <c r="C655" s="244"/>
      <c r="D655" s="244"/>
      <c r="E655" s="244"/>
      <c r="F655" s="244"/>
      <c r="G655" s="244"/>
      <c r="H655" s="244"/>
      <c r="I655" s="244"/>
      <c r="J655" s="244"/>
    </row>
    <row r="656" spans="1:10">
      <c r="A656" s="244"/>
      <c r="B656" s="244"/>
      <c r="C656" s="244"/>
      <c r="D656" s="244"/>
      <c r="E656" s="244"/>
      <c r="F656" s="244"/>
      <c r="G656" s="244"/>
      <c r="H656" s="244"/>
      <c r="I656" s="244"/>
      <c r="J656" s="244"/>
    </row>
    <row r="657" spans="1:10" ht="26.25">
      <c r="A657" s="497" t="s">
        <v>1210</v>
      </c>
      <c r="B657" s="244"/>
      <c r="C657" s="244"/>
      <c r="D657" s="244"/>
      <c r="E657" s="244"/>
      <c r="F657" s="244"/>
      <c r="G657" s="244"/>
      <c r="H657" s="244"/>
      <c r="I657" s="244"/>
      <c r="J657" s="244"/>
    </row>
    <row r="658" spans="1:10">
      <c r="A658" s="244"/>
      <c r="B658" s="244"/>
      <c r="C658" s="244"/>
      <c r="D658" s="244"/>
      <c r="E658" s="244"/>
      <c r="F658" s="244"/>
      <c r="G658" s="244"/>
      <c r="H658" s="244"/>
      <c r="I658" s="244"/>
      <c r="J658" s="244"/>
    </row>
    <row r="659" spans="1:10">
      <c r="A659" s="169" t="s">
        <v>17</v>
      </c>
      <c r="B659" s="169" t="s">
        <v>19</v>
      </c>
      <c r="C659" s="169" t="s">
        <v>20</v>
      </c>
      <c r="D659" s="169" t="s">
        <v>21</v>
      </c>
      <c r="E659" s="169" t="s">
        <v>22</v>
      </c>
      <c r="F659" s="169" t="s">
        <v>23</v>
      </c>
      <c r="G659" s="169" t="s">
        <v>24</v>
      </c>
      <c r="H659" s="169" t="s">
        <v>25</v>
      </c>
      <c r="I659" s="169" t="s">
        <v>26</v>
      </c>
      <c r="J659" s="169" t="s">
        <v>27</v>
      </c>
    </row>
    <row r="660" spans="1:10" ht="69" customHeight="1">
      <c r="A660" s="150" t="s">
        <v>1189</v>
      </c>
      <c r="B660" s="150" t="s">
        <v>29</v>
      </c>
      <c r="C660" s="150" t="s">
        <v>39</v>
      </c>
      <c r="D660" s="150" t="s">
        <v>1191</v>
      </c>
      <c r="E660" s="150" t="s">
        <v>1192</v>
      </c>
      <c r="F660" s="184"/>
      <c r="G660" s="175" t="s">
        <v>35</v>
      </c>
      <c r="H660" s="176" t="s">
        <v>7</v>
      </c>
      <c r="I660" s="150"/>
      <c r="J660" s="150"/>
    </row>
    <row r="661" spans="1:10" s="244" customFormat="1" ht="72" customHeight="1">
      <c r="A661" s="226" t="s">
        <v>1190</v>
      </c>
      <c r="B661" s="226" t="s">
        <v>29</v>
      </c>
      <c r="C661" s="226" t="s">
        <v>39</v>
      </c>
      <c r="D661" s="226" t="s">
        <v>1255</v>
      </c>
      <c r="E661" s="226" t="s">
        <v>1256</v>
      </c>
      <c r="F661" s="237"/>
      <c r="G661" s="198" t="s">
        <v>35</v>
      </c>
      <c r="H661" s="176" t="s">
        <v>7</v>
      </c>
      <c r="I661" s="226"/>
      <c r="J661" s="226"/>
    </row>
    <row r="662" spans="1:10" ht="40.5" customHeight="1">
      <c r="A662" s="150" t="s">
        <v>1194</v>
      </c>
      <c r="B662" s="150" t="s">
        <v>29</v>
      </c>
      <c r="C662" s="150" t="s">
        <v>39</v>
      </c>
      <c r="D662" s="150" t="s">
        <v>1280</v>
      </c>
      <c r="E662" s="150" t="s">
        <v>1196</v>
      </c>
      <c r="F662" s="184" t="str">
        <f>HYPERLINK("[Tagerim.xlsx]RM_AD_CB_10",RM_AD_CB_10)</f>
        <v>RM_AD_CB_10</v>
      </c>
      <c r="G662" s="175" t="s">
        <v>35</v>
      </c>
      <c r="H662" s="176" t="s">
        <v>7</v>
      </c>
      <c r="I662" s="150"/>
      <c r="J662" s="150"/>
    </row>
    <row r="663" spans="1:10" ht="47.25" customHeight="1">
      <c r="A663" s="226" t="s">
        <v>1195</v>
      </c>
      <c r="B663" s="226" t="s">
        <v>29</v>
      </c>
      <c r="C663" s="226" t="s">
        <v>39</v>
      </c>
      <c r="D663" s="226" t="s">
        <v>1197</v>
      </c>
      <c r="E663" s="226" t="s">
        <v>1198</v>
      </c>
      <c r="F663" s="237" t="str">
        <f>HYPERLINK("[Tagerim.xlsx]RM_AD_CB_20",RM_AD_CB_20)</f>
        <v>RM_AD_CB_20</v>
      </c>
      <c r="G663" s="198" t="s">
        <v>35</v>
      </c>
      <c r="H663" s="176" t="s">
        <v>7</v>
      </c>
      <c r="I663" s="226"/>
      <c r="J663" s="226"/>
    </row>
    <row r="664" spans="1:10" ht="44.25" customHeight="1">
      <c r="A664" s="150" t="s">
        <v>1229</v>
      </c>
      <c r="B664" s="150" t="s">
        <v>29</v>
      </c>
      <c r="C664" s="150" t="s">
        <v>39</v>
      </c>
      <c r="D664" s="150" t="s">
        <v>1231</v>
      </c>
      <c r="E664" s="150" t="s">
        <v>1232</v>
      </c>
      <c r="F664" s="184" t="str">
        <f>HYPERLINK("[Tagerim.xlsx]RM_AD_CB_30",RM_AD_CB_30)</f>
        <v>RM_AD_CB_30</v>
      </c>
      <c r="G664" s="175" t="s">
        <v>35</v>
      </c>
      <c r="H664" s="176" t="s">
        <v>7</v>
      </c>
      <c r="I664" s="150"/>
      <c r="J664" s="150"/>
    </row>
    <row r="665" spans="1:10" s="244" customFormat="1" ht="37.5" customHeight="1">
      <c r="A665" s="226" t="s">
        <v>1230</v>
      </c>
      <c r="B665" s="226" t="s">
        <v>29</v>
      </c>
      <c r="C665" s="226" t="s">
        <v>39</v>
      </c>
      <c r="D665" s="226" t="s">
        <v>1233</v>
      </c>
      <c r="E665" s="226" t="s">
        <v>1234</v>
      </c>
      <c r="F665" s="237"/>
      <c r="G665" s="198" t="s">
        <v>35</v>
      </c>
      <c r="H665" s="176" t="s">
        <v>7</v>
      </c>
      <c r="I665" s="226"/>
      <c r="J665" s="226"/>
    </row>
    <row r="666" spans="1:10" s="244" customFormat="1" ht="47.25" customHeight="1">
      <c r="A666" s="201" t="s">
        <v>1243</v>
      </c>
      <c r="B666" s="201" t="s">
        <v>29</v>
      </c>
      <c r="C666" s="201" t="s">
        <v>39</v>
      </c>
      <c r="D666" s="201" t="s">
        <v>1235</v>
      </c>
      <c r="E666" s="201" t="s">
        <v>1236</v>
      </c>
      <c r="F666" s="184" t="str">
        <f>HYPERLINK("[Tagerim.xlsx]RM_AD_CB_40",RM_AD_CB_40)</f>
        <v>RM_AD_CB_40</v>
      </c>
      <c r="G666" s="181" t="s">
        <v>35</v>
      </c>
      <c r="H666" s="176" t="s">
        <v>7</v>
      </c>
      <c r="I666" s="201"/>
      <c r="J666" s="201"/>
    </row>
    <row r="667" spans="1:10" s="244" customFormat="1" ht="41.25" customHeight="1">
      <c r="A667" s="226" t="s">
        <v>1244</v>
      </c>
      <c r="B667" s="226" t="s">
        <v>29</v>
      </c>
      <c r="C667" s="226" t="s">
        <v>39</v>
      </c>
      <c r="D667" s="226" t="s">
        <v>1237</v>
      </c>
      <c r="E667" s="226" t="s">
        <v>1238</v>
      </c>
      <c r="F667" s="237" t="str">
        <f>HYPERLINK("[Tagerim.xlsx]RM_AD_CB_50",RM_AD_CB_50)</f>
        <v>RM_AD_CB_50</v>
      </c>
      <c r="G667" s="198" t="s">
        <v>35</v>
      </c>
      <c r="H667" s="176" t="s">
        <v>7</v>
      </c>
      <c r="I667" s="226"/>
      <c r="J667" s="226"/>
    </row>
    <row r="668" spans="1:10" s="244" customFormat="1" ht="59.25" customHeight="1">
      <c r="A668" s="201" t="s">
        <v>1245</v>
      </c>
      <c r="B668" s="201" t="s">
        <v>29</v>
      </c>
      <c r="C668" s="201" t="s">
        <v>39</v>
      </c>
      <c r="D668" s="201" t="s">
        <v>1239</v>
      </c>
      <c r="E668" s="201" t="s">
        <v>1240</v>
      </c>
      <c r="F668" s="184" t="str">
        <f>HYPERLINK("[Tagerim.xlsx]RM_AD_CB_60",RM_AD_CB_60)</f>
        <v>RM_AD_CB_60</v>
      </c>
      <c r="G668" s="181" t="s">
        <v>35</v>
      </c>
      <c r="H668" s="176" t="s">
        <v>7</v>
      </c>
      <c r="I668" s="201"/>
      <c r="J668" s="201"/>
    </row>
    <row r="669" spans="1:10" s="244" customFormat="1" ht="34.5" customHeight="1">
      <c r="A669" s="226" t="s">
        <v>1246</v>
      </c>
      <c r="B669" s="226" t="s">
        <v>29</v>
      </c>
      <c r="C669" s="226" t="s">
        <v>39</v>
      </c>
      <c r="D669" s="226" t="s">
        <v>1241</v>
      </c>
      <c r="E669" s="226" t="s">
        <v>1242</v>
      </c>
      <c r="F669" s="237" t="str">
        <f>HYPERLINK("[Tagerim.xlsx]RM_AD_CB_70",RM_AD_CB_70)</f>
        <v>RM_AD_CB_70</v>
      </c>
      <c r="G669" s="198" t="s">
        <v>35</v>
      </c>
      <c r="H669" s="176" t="s">
        <v>7</v>
      </c>
      <c r="I669" s="226"/>
      <c r="J669" s="226"/>
    </row>
    <row r="670" spans="1:10" s="244" customFormat="1" ht="30.75" customHeight="1">
      <c r="A670" s="201" t="s">
        <v>1247</v>
      </c>
      <c r="B670" s="201" t="s">
        <v>29</v>
      </c>
      <c r="C670" s="201" t="s">
        <v>39</v>
      </c>
      <c r="D670" s="201" t="s">
        <v>1193</v>
      </c>
      <c r="E670" s="201" t="s">
        <v>1250</v>
      </c>
      <c r="F670" s="184" t="str">
        <f>HYPERLINK("[Tagerim.xlsx]RM_AD_CB_80",RM_AD_CB_80)</f>
        <v>RM_AD_CB_80</v>
      </c>
      <c r="G670" s="181" t="s">
        <v>35</v>
      </c>
      <c r="H670" s="176" t="s">
        <v>7</v>
      </c>
      <c r="I670" s="201"/>
      <c r="J670" s="201"/>
    </row>
    <row r="671" spans="1:10" s="244" customFormat="1" ht="43.5" customHeight="1">
      <c r="A671" s="226" t="s">
        <v>1248</v>
      </c>
      <c r="B671" s="226" t="s">
        <v>29</v>
      </c>
      <c r="C671" s="226" t="s">
        <v>39</v>
      </c>
      <c r="D671" s="226" t="s">
        <v>1251</v>
      </c>
      <c r="E671" s="226" t="s">
        <v>1252</v>
      </c>
      <c r="F671" s="237" t="str">
        <f>HYPERLINK("[Tagerim.xlsx]RM_AD_CB_90",RM_AD_CB_90)</f>
        <v>RM_AD_CB_90</v>
      </c>
      <c r="G671" s="198" t="s">
        <v>35</v>
      </c>
      <c r="H671" s="176" t="s">
        <v>7</v>
      </c>
      <c r="I671" s="226"/>
      <c r="J671" s="226"/>
    </row>
    <row r="672" spans="1:10" s="244" customFormat="1" ht="39" customHeight="1">
      <c r="A672" s="201" t="s">
        <v>1249</v>
      </c>
      <c r="B672" s="201" t="s">
        <v>29</v>
      </c>
      <c r="C672" s="201" t="s">
        <v>39</v>
      </c>
      <c r="D672" s="201" t="s">
        <v>1253</v>
      </c>
      <c r="E672" s="201" t="s">
        <v>1254</v>
      </c>
      <c r="F672" s="239"/>
      <c r="G672" s="181" t="s">
        <v>35</v>
      </c>
      <c r="H672" s="176" t="s">
        <v>7</v>
      </c>
      <c r="I672" s="201"/>
      <c r="J672" s="201"/>
    </row>
    <row r="673" spans="1:10" s="129" customFormat="1" ht="15.75" customHeight="1">
      <c r="A673" s="257"/>
      <c r="B673" s="257"/>
      <c r="C673" s="257"/>
      <c r="D673" s="257"/>
      <c r="E673" s="257"/>
      <c r="F673" s="258"/>
      <c r="G673" s="259"/>
      <c r="H673" s="260"/>
      <c r="I673" s="257"/>
      <c r="J673" s="257"/>
    </row>
    <row r="674" spans="1:10" ht="15" customHeight="1"/>
    <row r="675" spans="1:10" ht="26.25">
      <c r="A675" s="497" t="s">
        <v>1226</v>
      </c>
      <c r="B675" s="166"/>
      <c r="C675" s="166"/>
      <c r="D675" s="166"/>
      <c r="E675" s="166"/>
      <c r="F675" s="166"/>
      <c r="G675" s="166"/>
      <c r="H675" s="166"/>
      <c r="I675" s="166"/>
      <c r="J675" s="166"/>
    </row>
    <row r="676" spans="1:10" s="244" customFormat="1" ht="16.5" customHeight="1">
      <c r="A676" s="41"/>
    </row>
    <row r="677" spans="1:10" s="244" customFormat="1">
      <c r="A677" s="169" t="s">
        <v>17</v>
      </c>
      <c r="B677" s="169" t="s">
        <v>19</v>
      </c>
      <c r="C677" s="169" t="s">
        <v>20</v>
      </c>
      <c r="D677" s="169" t="s">
        <v>21</v>
      </c>
      <c r="E677" s="169" t="s">
        <v>22</v>
      </c>
      <c r="F677" s="169" t="s">
        <v>23</v>
      </c>
      <c r="G677" s="169" t="s">
        <v>24</v>
      </c>
      <c r="H677" s="169" t="s">
        <v>25</v>
      </c>
      <c r="I677" s="169" t="s">
        <v>26</v>
      </c>
      <c r="J677" s="169" t="s">
        <v>27</v>
      </c>
    </row>
    <row r="678" spans="1:10" s="244" customFormat="1" ht="42.75">
      <c r="A678" s="226" t="s">
        <v>1257</v>
      </c>
      <c r="B678" s="226" t="s">
        <v>29</v>
      </c>
      <c r="C678" s="226" t="s">
        <v>39</v>
      </c>
      <c r="D678" s="226" t="s">
        <v>1258</v>
      </c>
      <c r="E678" s="226" t="s">
        <v>1259</v>
      </c>
      <c r="F678" s="237"/>
      <c r="G678" s="198" t="s">
        <v>35</v>
      </c>
      <c r="H678" s="176" t="s">
        <v>7</v>
      </c>
      <c r="I678" s="226"/>
      <c r="J678" s="226"/>
    </row>
    <row r="679" spans="1:10" s="244" customFormat="1" ht="42" customHeight="1">
      <c r="A679" s="150" t="s">
        <v>1211</v>
      </c>
      <c r="B679" s="150" t="s">
        <v>29</v>
      </c>
      <c r="C679" s="150" t="s">
        <v>39</v>
      </c>
      <c r="D679" s="150" t="s">
        <v>1260</v>
      </c>
      <c r="E679" s="150" t="s">
        <v>782</v>
      </c>
      <c r="F679" s="184"/>
      <c r="G679" s="175" t="s">
        <v>35</v>
      </c>
      <c r="H679" s="176" t="s">
        <v>7</v>
      </c>
      <c r="I679" s="150"/>
      <c r="J679" s="150"/>
    </row>
    <row r="680" spans="1:10" s="244" customFormat="1" ht="30.75" customHeight="1">
      <c r="A680" s="226" t="s">
        <v>1212</v>
      </c>
      <c r="B680" s="203" t="s">
        <v>29</v>
      </c>
      <c r="C680" s="203" t="s">
        <v>39</v>
      </c>
      <c r="D680" s="226" t="s">
        <v>783</v>
      </c>
      <c r="E680" s="226" t="s">
        <v>784</v>
      </c>
      <c r="F680" s="237" t="str">
        <f>HYPERLINK("[Tagerim.xlsx]RM_AD_TR_10",RM_AD_TR_10)</f>
        <v>RM_AD_TR_10</v>
      </c>
      <c r="G680" s="183" t="s">
        <v>35</v>
      </c>
      <c r="H680" s="176" t="s">
        <v>7</v>
      </c>
      <c r="I680" s="179"/>
      <c r="J680" s="179"/>
    </row>
    <row r="681" spans="1:10" s="244" customFormat="1" ht="30.75" customHeight="1">
      <c r="A681" s="150" t="s">
        <v>1213</v>
      </c>
      <c r="B681" s="150" t="s">
        <v>29</v>
      </c>
      <c r="C681" s="150" t="s">
        <v>39</v>
      </c>
      <c r="D681" s="150" t="s">
        <v>787</v>
      </c>
      <c r="E681" s="150" t="s">
        <v>788</v>
      </c>
      <c r="F681" s="184" t="str">
        <f>HYPERLINK("[Tagerim.xlsx]RM_AD_TR_20",RM_AD_TR_20)</f>
        <v>RM_AD_TR_20</v>
      </c>
      <c r="G681" s="175" t="s">
        <v>35</v>
      </c>
      <c r="H681" s="176" t="s">
        <v>7</v>
      </c>
      <c r="I681" s="150"/>
      <c r="J681" s="150"/>
    </row>
    <row r="682" spans="1:10" s="244" customFormat="1" ht="50.25" customHeight="1">
      <c r="A682" s="226" t="s">
        <v>1214</v>
      </c>
      <c r="B682" s="226" t="s">
        <v>29</v>
      </c>
      <c r="C682" s="226" t="s">
        <v>39</v>
      </c>
      <c r="D682" s="226" t="s">
        <v>794</v>
      </c>
      <c r="E682" s="226" t="s">
        <v>790</v>
      </c>
      <c r="F682" s="237" t="str">
        <f>HYPERLINK("[Tagerim.xlsx]RM_AD_TR_30",RM_AD_TR_30)</f>
        <v>RM_AD_TR_30</v>
      </c>
      <c r="G682" s="198" t="s">
        <v>35</v>
      </c>
      <c r="H682" s="176" t="s">
        <v>7</v>
      </c>
      <c r="I682" s="226"/>
      <c r="J682" s="226"/>
    </row>
    <row r="683" spans="1:10" s="244" customFormat="1" ht="49.5" customHeight="1">
      <c r="A683" s="201" t="s">
        <v>1215</v>
      </c>
      <c r="B683" s="202" t="s">
        <v>29</v>
      </c>
      <c r="C683" s="202" t="s">
        <v>39</v>
      </c>
      <c r="D683" s="201" t="s">
        <v>792</v>
      </c>
      <c r="E683" s="201" t="s">
        <v>793</v>
      </c>
      <c r="F683" s="239" t="str">
        <f>HYPERLINK("[Tagerim.xlsx]RM_AD_TR_40",RM_AD_TR_40)</f>
        <v>RM_AD_TR_40</v>
      </c>
      <c r="G683" s="186" t="s">
        <v>35</v>
      </c>
      <c r="H683" s="176" t="s">
        <v>7</v>
      </c>
      <c r="I683" s="202"/>
      <c r="J683" s="202"/>
    </row>
    <row r="684" spans="1:10" s="244" customFormat="1" ht="40.5" customHeight="1">
      <c r="A684" s="226" t="s">
        <v>1216</v>
      </c>
      <c r="B684" s="226" t="s">
        <v>29</v>
      </c>
      <c r="C684" s="226" t="s">
        <v>39</v>
      </c>
      <c r="D684" s="226" t="s">
        <v>795</v>
      </c>
      <c r="E684" s="226" t="s">
        <v>796</v>
      </c>
      <c r="F684" s="237" t="str">
        <f>HYPERLINK("[Tagerim.xlsx]RM_AD_TR_50",RM_AD_TR_50)</f>
        <v>RM_AD_TR_50</v>
      </c>
      <c r="G684" s="198" t="s">
        <v>35</v>
      </c>
      <c r="H684" s="176" t="s">
        <v>7</v>
      </c>
      <c r="I684" s="226"/>
      <c r="J684" s="226"/>
    </row>
    <row r="685" spans="1:10" s="244" customFormat="1" ht="30.75" customHeight="1">
      <c r="A685" s="150" t="s">
        <v>1217</v>
      </c>
      <c r="B685" s="150" t="s">
        <v>29</v>
      </c>
      <c r="C685" s="150" t="s">
        <v>39</v>
      </c>
      <c r="D685" s="150" t="s">
        <v>798</v>
      </c>
      <c r="E685" s="201"/>
      <c r="F685" s="184"/>
      <c r="G685" s="175" t="s">
        <v>35</v>
      </c>
      <c r="H685" s="176" t="s">
        <v>7</v>
      </c>
      <c r="I685" s="150"/>
      <c r="J685" s="150"/>
    </row>
    <row r="686" spans="1:10" s="244" customFormat="1" ht="36.75" customHeight="1">
      <c r="A686" s="226" t="s">
        <v>1218</v>
      </c>
      <c r="B686" s="203" t="s">
        <v>29</v>
      </c>
      <c r="C686" s="203" t="s">
        <v>39</v>
      </c>
      <c r="D686" s="226" t="s">
        <v>799</v>
      </c>
      <c r="E686" s="226"/>
      <c r="F686" s="237"/>
      <c r="G686" s="183" t="s">
        <v>35</v>
      </c>
      <c r="H686" s="176" t="s">
        <v>7</v>
      </c>
      <c r="I686" s="179"/>
      <c r="J686" s="179"/>
    </row>
    <row r="687" spans="1:10" s="244" customFormat="1" ht="38.25" customHeight="1">
      <c r="A687" s="150" t="s">
        <v>1219</v>
      </c>
      <c r="B687" s="150" t="s">
        <v>29</v>
      </c>
      <c r="C687" s="150" t="s">
        <v>39</v>
      </c>
      <c r="D687" s="150" t="s">
        <v>800</v>
      </c>
      <c r="E687" s="150"/>
      <c r="F687" s="184"/>
      <c r="G687" s="175" t="s">
        <v>35</v>
      </c>
      <c r="H687" s="176" t="s">
        <v>7</v>
      </c>
      <c r="I687" s="150"/>
      <c r="J687" s="150"/>
    </row>
    <row r="688" spans="1:10" s="244" customFormat="1" ht="40.5" customHeight="1">
      <c r="A688" s="226" t="s">
        <v>1220</v>
      </c>
      <c r="B688" s="226" t="s">
        <v>29</v>
      </c>
      <c r="C688" s="226" t="s">
        <v>39</v>
      </c>
      <c r="D688" s="226" t="s">
        <v>801</v>
      </c>
      <c r="E688" s="226"/>
      <c r="F688" s="237"/>
      <c r="G688" s="198" t="s">
        <v>35</v>
      </c>
      <c r="H688" s="176" t="s">
        <v>7</v>
      </c>
      <c r="I688" s="226"/>
      <c r="J688" s="226"/>
    </row>
    <row r="689" spans="1:10" s="244" customFormat="1" ht="39.75" customHeight="1">
      <c r="A689" s="201" t="s">
        <v>1221</v>
      </c>
      <c r="B689" s="202" t="s">
        <v>29</v>
      </c>
      <c r="C689" s="202" t="s">
        <v>39</v>
      </c>
      <c r="D689" s="201" t="s">
        <v>802</v>
      </c>
      <c r="E689" s="201"/>
      <c r="F689" s="239"/>
      <c r="G689" s="186" t="s">
        <v>35</v>
      </c>
      <c r="H689" s="176" t="s">
        <v>7</v>
      </c>
      <c r="I689" s="202"/>
      <c r="J689" s="202"/>
    </row>
    <row r="690" spans="1:10" s="244" customFormat="1" ht="39" customHeight="1">
      <c r="A690" s="226" t="s">
        <v>1222</v>
      </c>
      <c r="B690" s="226" t="s">
        <v>29</v>
      </c>
      <c r="C690" s="226" t="s">
        <v>39</v>
      </c>
      <c r="D690" s="226" t="s">
        <v>803</v>
      </c>
      <c r="E690" s="226"/>
      <c r="F690" s="237"/>
      <c r="G690" s="198" t="s">
        <v>35</v>
      </c>
      <c r="H690" s="176" t="s">
        <v>7</v>
      </c>
      <c r="I690" s="226"/>
      <c r="J690" s="226"/>
    </row>
    <row r="691" spans="1:10" s="244" customFormat="1" ht="40.5" customHeight="1">
      <c r="A691" s="150" t="s">
        <v>1223</v>
      </c>
      <c r="B691" s="150" t="s">
        <v>29</v>
      </c>
      <c r="C691" s="150" t="s">
        <v>39</v>
      </c>
      <c r="D691" s="150" t="s">
        <v>805</v>
      </c>
      <c r="E691" s="150" t="s">
        <v>806</v>
      </c>
      <c r="F691" s="241" t="s">
        <v>807</v>
      </c>
      <c r="G691" s="175" t="s">
        <v>35</v>
      </c>
      <c r="H691" s="176" t="s">
        <v>7</v>
      </c>
      <c r="I691" s="150"/>
      <c r="J691" s="150"/>
    </row>
    <row r="692" spans="1:10" s="244" customFormat="1" ht="36.75" customHeight="1">
      <c r="A692" s="226" t="s">
        <v>1224</v>
      </c>
      <c r="B692" s="226" t="s">
        <v>29</v>
      </c>
      <c r="C692" s="226" t="s">
        <v>39</v>
      </c>
      <c r="D692" s="226" t="s">
        <v>810</v>
      </c>
      <c r="E692" s="226" t="s">
        <v>811</v>
      </c>
      <c r="F692" s="238" t="str">
        <f>HYPERLINK("[Tagerim.xlsx]RM_AD_TR_70",RM_AD_TR_70)</f>
        <v>RM_AD_TR_70</v>
      </c>
      <c r="G692" s="198" t="s">
        <v>35</v>
      </c>
      <c r="H692" s="176" t="s">
        <v>7</v>
      </c>
      <c r="I692" s="226"/>
      <c r="J692" s="226"/>
    </row>
    <row r="693" spans="1:10" s="244" customFormat="1" ht="48" customHeight="1">
      <c r="A693" s="201" t="s">
        <v>1225</v>
      </c>
      <c r="B693" s="201" t="s">
        <v>29</v>
      </c>
      <c r="C693" s="201" t="s">
        <v>39</v>
      </c>
      <c r="D693" s="201" t="s">
        <v>808</v>
      </c>
      <c r="E693" s="201" t="s">
        <v>809</v>
      </c>
      <c r="F693" s="240" t="str">
        <f>HYPERLINK("[Tagerim.xlsx]RM_AD_TR_80",RM_AD_TR_80)</f>
        <v>RM_AD_TR_80</v>
      </c>
      <c r="G693" s="181" t="s">
        <v>35</v>
      </c>
      <c r="H693" s="176" t="s">
        <v>7</v>
      </c>
      <c r="I693" s="201"/>
      <c r="J693" s="201"/>
    </row>
    <row r="694" spans="1:10">
      <c r="A694" s="166"/>
      <c r="B694" s="166"/>
      <c r="C694" s="166"/>
      <c r="D694" s="166"/>
      <c r="E694" s="166"/>
      <c r="F694" s="166"/>
      <c r="G694" s="166"/>
      <c r="H694" s="166"/>
      <c r="I694" s="166"/>
      <c r="J694" s="166"/>
    </row>
    <row r="697" spans="1:10" ht="30.75" thickBot="1">
      <c r="A697" s="8" t="s">
        <v>1541</v>
      </c>
      <c r="B697" s="62"/>
      <c r="C697" s="62"/>
      <c r="D697" s="62"/>
      <c r="E697" s="62"/>
      <c r="F697" s="62"/>
      <c r="G697" s="62"/>
      <c r="H697" s="62"/>
      <c r="I697" s="62"/>
      <c r="J697" s="62"/>
    </row>
    <row r="698" spans="1:10" ht="13.5" thickTop="1">
      <c r="A698" s="244"/>
      <c r="B698" s="244"/>
      <c r="C698" s="244"/>
      <c r="D698" s="244"/>
      <c r="E698" s="244"/>
      <c r="F698" s="244"/>
      <c r="G698" s="244"/>
      <c r="H698" s="244"/>
      <c r="I698" s="244"/>
      <c r="J698" s="244"/>
    </row>
    <row r="699" spans="1:10" ht="18">
      <c r="A699" s="372" t="s">
        <v>7</v>
      </c>
      <c r="B699" s="373"/>
      <c r="C699" s="374" t="s">
        <v>12</v>
      </c>
      <c r="D699" s="375"/>
      <c r="E699" s="246" t="s">
        <v>13</v>
      </c>
      <c r="F699" s="376" t="s">
        <v>14</v>
      </c>
      <c r="G699" s="372"/>
      <c r="H699" s="373"/>
      <c r="I699" s="374" t="s">
        <v>15</v>
      </c>
      <c r="J699" s="372"/>
    </row>
    <row r="700" spans="1:10" ht="35.25" customHeight="1">
      <c r="A700" s="377">
        <f>COUNTIFS(A704:A10915,"UC_OA_*",H704:H10915,"A tester")</f>
        <v>0</v>
      </c>
      <c r="B700" s="377"/>
      <c r="C700" s="378">
        <f>COUNTIFS(A704:A10915,"UC_OA_*",H704:H10915,"Succès")</f>
        <v>18</v>
      </c>
      <c r="D700" s="378"/>
      <c r="E700" s="242">
        <f>COUNTIFS(A704:A10915,"UC_OA_*",H704:H10915,"Echec")</f>
        <v>4</v>
      </c>
      <c r="F700" s="379">
        <f>(C700+E700)/SUM(A700:E700)</f>
        <v>1</v>
      </c>
      <c r="G700" s="379"/>
      <c r="H700" s="379"/>
      <c r="I700" s="380">
        <f>C700/SUM(A700:E700)</f>
        <v>0.81818181818181823</v>
      </c>
      <c r="J700" s="380"/>
    </row>
    <row r="701" spans="1:10">
      <c r="A701" s="244"/>
      <c r="B701" s="244"/>
      <c r="C701" s="244"/>
      <c r="D701" s="244"/>
      <c r="E701" s="244"/>
      <c r="F701" s="244"/>
      <c r="G701" s="244"/>
      <c r="H701" s="244"/>
      <c r="I701" s="244"/>
      <c r="J701" s="244"/>
    </row>
    <row r="702" spans="1:10">
      <c r="A702" s="244"/>
      <c r="B702" s="244"/>
      <c r="C702" s="244"/>
      <c r="D702" s="244"/>
      <c r="E702" s="244"/>
      <c r="F702" s="244"/>
      <c r="G702" s="244"/>
      <c r="H702" s="244"/>
      <c r="I702" s="244"/>
      <c r="J702" s="244"/>
    </row>
    <row r="703" spans="1:10" ht="26.25">
      <c r="A703" s="497" t="s">
        <v>1542</v>
      </c>
      <c r="B703" s="244"/>
      <c r="C703" s="244"/>
      <c r="D703" s="244"/>
      <c r="E703" s="244"/>
      <c r="F703" s="244"/>
      <c r="G703" s="244"/>
      <c r="H703" s="244"/>
      <c r="I703" s="244"/>
      <c r="J703" s="244"/>
    </row>
    <row r="704" spans="1:10">
      <c r="A704" s="244"/>
      <c r="B704" s="244"/>
      <c r="C704" s="244"/>
      <c r="D704" s="244"/>
      <c r="E704" s="244"/>
      <c r="F704" s="244"/>
      <c r="G704" s="244"/>
      <c r="H704" s="244"/>
      <c r="I704" s="244"/>
      <c r="J704" s="244"/>
    </row>
    <row r="705" spans="1:10" ht="26.25" customHeight="1">
      <c r="A705" s="169" t="s">
        <v>17</v>
      </c>
      <c r="B705" s="169" t="s">
        <v>19</v>
      </c>
      <c r="C705" s="169" t="s">
        <v>20</v>
      </c>
      <c r="D705" s="169" t="s">
        <v>21</v>
      </c>
      <c r="E705" s="169" t="s">
        <v>22</v>
      </c>
      <c r="F705" s="169" t="s">
        <v>23</v>
      </c>
      <c r="G705" s="169" t="s">
        <v>24</v>
      </c>
      <c r="H705" s="169" t="s">
        <v>25</v>
      </c>
      <c r="I705" s="169" t="s">
        <v>26</v>
      </c>
      <c r="J705" s="169" t="s">
        <v>27</v>
      </c>
    </row>
    <row r="706" spans="1:10" ht="64.5" customHeight="1">
      <c r="A706" s="150" t="s">
        <v>1543</v>
      </c>
      <c r="B706" s="150" t="s">
        <v>29</v>
      </c>
      <c r="C706" s="150" t="s">
        <v>39</v>
      </c>
      <c r="D706" s="150" t="s">
        <v>1545</v>
      </c>
      <c r="E706" s="150" t="s">
        <v>1546</v>
      </c>
      <c r="F706" s="184"/>
      <c r="G706" s="175" t="s">
        <v>35</v>
      </c>
      <c r="H706" s="176" t="s">
        <v>12</v>
      </c>
      <c r="I706" s="273">
        <v>43096</v>
      </c>
      <c r="J706" s="150"/>
    </row>
    <row r="707" spans="1:10" ht="44.25" customHeight="1">
      <c r="A707" s="226" t="s">
        <v>1544</v>
      </c>
      <c r="B707" s="226" t="s">
        <v>29</v>
      </c>
      <c r="C707" s="226" t="s">
        <v>39</v>
      </c>
      <c r="D707" s="226" t="s">
        <v>1547</v>
      </c>
      <c r="E707" s="226"/>
      <c r="F707" s="237"/>
      <c r="G707" s="198" t="s">
        <v>35</v>
      </c>
      <c r="H707" s="176" t="s">
        <v>12</v>
      </c>
      <c r="I707" s="276">
        <v>43096</v>
      </c>
      <c r="J707" s="226"/>
    </row>
    <row r="708" spans="1:10" ht="39.75" customHeight="1">
      <c r="A708" s="150" t="s">
        <v>1548</v>
      </c>
      <c r="B708" s="150" t="s">
        <v>29</v>
      </c>
      <c r="C708" s="150" t="s">
        <v>39</v>
      </c>
      <c r="D708" s="201" t="s">
        <v>1547</v>
      </c>
      <c r="E708" s="150"/>
      <c r="F708" s="184"/>
      <c r="G708" s="175" t="s">
        <v>35</v>
      </c>
      <c r="H708" s="176" t="s">
        <v>12</v>
      </c>
      <c r="I708" s="273">
        <v>43096</v>
      </c>
      <c r="J708" s="150"/>
    </row>
    <row r="709" spans="1:10" ht="39.75" customHeight="1">
      <c r="A709" s="226" t="s">
        <v>1549</v>
      </c>
      <c r="B709" s="226" t="s">
        <v>29</v>
      </c>
      <c r="C709" s="226" t="s">
        <v>39</v>
      </c>
      <c r="D709" s="226" t="s">
        <v>1547</v>
      </c>
      <c r="E709" s="226"/>
      <c r="F709" s="237"/>
      <c r="G709" s="198" t="s">
        <v>35</v>
      </c>
      <c r="H709" s="176" t="s">
        <v>12</v>
      </c>
      <c r="I709" s="276">
        <v>43096</v>
      </c>
      <c r="J709" s="226"/>
    </row>
    <row r="710" spans="1:10" ht="54.75" customHeight="1">
      <c r="A710" s="150" t="s">
        <v>1550</v>
      </c>
      <c r="B710" s="150" t="s">
        <v>29</v>
      </c>
      <c r="C710" s="150" t="s">
        <v>39</v>
      </c>
      <c r="D710" s="201" t="s">
        <v>1547</v>
      </c>
      <c r="E710" s="150"/>
      <c r="F710" s="184"/>
      <c r="G710" s="175" t="s">
        <v>35</v>
      </c>
      <c r="H710" s="176" t="s">
        <v>12</v>
      </c>
      <c r="I710" s="273">
        <v>43096</v>
      </c>
      <c r="J710" s="150"/>
    </row>
    <row r="711" spans="1:10" ht="33.75" customHeight="1">
      <c r="A711" s="226" t="s">
        <v>1551</v>
      </c>
      <c r="B711" s="226" t="s">
        <v>29</v>
      </c>
      <c r="C711" s="226" t="s">
        <v>39</v>
      </c>
      <c r="D711" s="226" t="s">
        <v>1632</v>
      </c>
      <c r="E711" s="226" t="s">
        <v>1629</v>
      </c>
      <c r="F711" s="237" t="str">
        <f>HYPERLINK("[Tagerim.xlsx]RM_OA_OA_10",RM_OA_OA_10)</f>
        <v>RM_OA_OA_10</v>
      </c>
      <c r="G711" s="198" t="s">
        <v>35</v>
      </c>
      <c r="H711" s="176" t="s">
        <v>12</v>
      </c>
      <c r="I711" s="276">
        <v>43096</v>
      </c>
      <c r="J711" s="226"/>
    </row>
    <row r="712" spans="1:10" ht="43.5" customHeight="1">
      <c r="A712" s="150" t="s">
        <v>1552</v>
      </c>
      <c r="B712" s="150" t="s">
        <v>29</v>
      </c>
      <c r="C712" s="150" t="s">
        <v>39</v>
      </c>
      <c r="D712" s="201" t="s">
        <v>1633</v>
      </c>
      <c r="E712" s="201" t="s">
        <v>1629</v>
      </c>
      <c r="F712" s="239" t="str">
        <f>HYPERLINK("[Tagerim.xlsx]RM_OA_OA_20",RM_OA_OA_20)</f>
        <v>RM_OA_OA_20</v>
      </c>
      <c r="G712" s="181" t="s">
        <v>35</v>
      </c>
      <c r="H712" s="176" t="s">
        <v>13</v>
      </c>
      <c r="I712" s="273">
        <v>43096</v>
      </c>
      <c r="J712" s="150" t="s">
        <v>1638</v>
      </c>
    </row>
    <row r="713" spans="1:10" ht="30.75" customHeight="1">
      <c r="A713" s="226" t="s">
        <v>1553</v>
      </c>
      <c r="B713" s="226" t="s">
        <v>29</v>
      </c>
      <c r="C713" s="226" t="s">
        <v>39</v>
      </c>
      <c r="D713" s="226" t="s">
        <v>1634</v>
      </c>
      <c r="E713" s="226" t="s">
        <v>1629</v>
      </c>
      <c r="F713" s="237" t="str">
        <f>HYPERLINK("[Tagerim.xlsx]RM_OA_OA_30",RM_OA_OA_30)</f>
        <v>RM_OA_OA_30</v>
      </c>
      <c r="G713" s="198" t="s">
        <v>35</v>
      </c>
      <c r="H713" s="176" t="s">
        <v>13</v>
      </c>
      <c r="I713" s="276">
        <v>43096</v>
      </c>
      <c r="J713" s="226"/>
    </row>
    <row r="714" spans="1:10" ht="45" customHeight="1">
      <c r="A714" s="150" t="s">
        <v>1554</v>
      </c>
      <c r="B714" s="150" t="s">
        <v>29</v>
      </c>
      <c r="C714" s="150" t="s">
        <v>39</v>
      </c>
      <c r="D714" s="150" t="s">
        <v>1640</v>
      </c>
      <c r="E714" s="150" t="s">
        <v>1639</v>
      </c>
      <c r="F714" s="239" t="str">
        <f>HYPERLINK("[Tagerim.xlsx]RM_OA_OA_40",RM_OA_OA_40)</f>
        <v>RM_OA_OA_40</v>
      </c>
      <c r="G714" s="175" t="s">
        <v>35</v>
      </c>
      <c r="H714" s="176" t="s">
        <v>12</v>
      </c>
      <c r="I714" s="273">
        <v>43096</v>
      </c>
      <c r="J714" s="150"/>
    </row>
    <row r="715" spans="1:10" ht="45.75" customHeight="1">
      <c r="A715" s="226" t="s">
        <v>1555</v>
      </c>
      <c r="B715" s="226" t="s">
        <v>29</v>
      </c>
      <c r="C715" s="226" t="s">
        <v>39</v>
      </c>
      <c r="D715" s="226" t="s">
        <v>1641</v>
      </c>
      <c r="E715" s="226" t="s">
        <v>1639</v>
      </c>
      <c r="F715" s="237" t="str">
        <f>HYPERLINK("[Tagerim.xlsx]RM_OA_OA_50",RM_OA_OA_50)</f>
        <v>RM_OA_OA_50</v>
      </c>
      <c r="G715" s="198" t="s">
        <v>35</v>
      </c>
      <c r="H715" s="176" t="s">
        <v>12</v>
      </c>
      <c r="I715" s="276">
        <v>43096</v>
      </c>
      <c r="J715" s="226"/>
    </row>
    <row r="716" spans="1:10" ht="49.5" customHeight="1">
      <c r="A716" s="150" t="s">
        <v>1556</v>
      </c>
      <c r="B716" s="150" t="s">
        <v>29</v>
      </c>
      <c r="C716" s="150" t="s">
        <v>39</v>
      </c>
      <c r="D716" s="150" t="s">
        <v>1642</v>
      </c>
      <c r="E716" s="150" t="s">
        <v>1639</v>
      </c>
      <c r="F716" s="239" t="str">
        <f>HYPERLINK("[Tagerim.xlsx]RM_OA_OA_60",RM_OA_OA_60)</f>
        <v>RM_OA_OA_60</v>
      </c>
      <c r="G716" s="175" t="s">
        <v>35</v>
      </c>
      <c r="H716" s="176" t="s">
        <v>12</v>
      </c>
      <c r="I716" s="273">
        <v>43096</v>
      </c>
      <c r="J716" s="150"/>
    </row>
    <row r="717" spans="1:10" ht="46.5" customHeight="1">
      <c r="A717" s="226" t="s">
        <v>1557</v>
      </c>
      <c r="B717" s="226" t="s">
        <v>29</v>
      </c>
      <c r="C717" s="226" t="s">
        <v>39</v>
      </c>
      <c r="D717" s="226" t="s">
        <v>1643</v>
      </c>
      <c r="E717" s="226" t="s">
        <v>1639</v>
      </c>
      <c r="F717" s="237" t="str">
        <f>HYPERLINK("[Tagerim.xlsx]RM_OA_OA_70",RM_OA_OA_70)</f>
        <v>RM_OA_OA_70</v>
      </c>
      <c r="G717" s="198" t="s">
        <v>35</v>
      </c>
      <c r="H717" s="176" t="s">
        <v>12</v>
      </c>
      <c r="I717" s="276">
        <v>43096</v>
      </c>
      <c r="J717" s="226"/>
    </row>
    <row r="718" spans="1:10" ht="51.75" customHeight="1">
      <c r="A718" s="150" t="s">
        <v>1558</v>
      </c>
      <c r="B718" s="150" t="s">
        <v>29</v>
      </c>
      <c r="C718" s="150" t="s">
        <v>39</v>
      </c>
      <c r="D718" s="150" t="s">
        <v>1644</v>
      </c>
      <c r="E718" s="150" t="s">
        <v>1639</v>
      </c>
      <c r="F718" s="239" t="str">
        <f>HYPERLINK("[Tagerim.xlsx]RM_OA_OA_80",RM_OA_OA_80)</f>
        <v>RM_OA_OA_80</v>
      </c>
      <c r="G718" s="175" t="s">
        <v>35</v>
      </c>
      <c r="H718" s="176" t="s">
        <v>12</v>
      </c>
      <c r="I718" s="273">
        <v>43096</v>
      </c>
      <c r="J718" s="150"/>
    </row>
    <row r="719" spans="1:10" ht="51.75" customHeight="1">
      <c r="A719" s="226" t="s">
        <v>1559</v>
      </c>
      <c r="B719" s="226" t="s">
        <v>29</v>
      </c>
      <c r="C719" s="226" t="s">
        <v>39</v>
      </c>
      <c r="D719" s="226" t="s">
        <v>1645</v>
      </c>
      <c r="E719" s="226" t="s">
        <v>1639</v>
      </c>
      <c r="F719" s="237" t="str">
        <f>HYPERLINK("[Tagerim.xlsx]RM_OA_OA_90",RM_OA_OA_90)</f>
        <v>RM_OA_OA_90</v>
      </c>
      <c r="G719" s="198" t="s">
        <v>35</v>
      </c>
      <c r="H719" s="176" t="s">
        <v>12</v>
      </c>
      <c r="I719" s="276">
        <v>43096</v>
      </c>
      <c r="J719" s="226"/>
    </row>
    <row r="720" spans="1:10" ht="33" customHeight="1">
      <c r="A720" s="150" t="s">
        <v>1560</v>
      </c>
      <c r="B720" s="150" t="s">
        <v>29</v>
      </c>
      <c r="C720" s="150" t="s">
        <v>39</v>
      </c>
      <c r="D720" s="150" t="s">
        <v>1646</v>
      </c>
      <c r="E720" s="150" t="s">
        <v>1639</v>
      </c>
      <c r="F720" s="239" t="str">
        <f>HYPERLINK("[Tagerim.xlsx]RM_OA_OA_95",RM_OA_OA_95)</f>
        <v>RM_OA_OA_95</v>
      </c>
      <c r="G720" s="175" t="s">
        <v>35</v>
      </c>
      <c r="H720" s="176" t="s">
        <v>12</v>
      </c>
      <c r="I720" s="273">
        <v>43096</v>
      </c>
      <c r="J720" s="150"/>
    </row>
    <row r="721" spans="1:10" ht="34.5" customHeight="1">
      <c r="A721" s="226" t="s">
        <v>1561</v>
      </c>
      <c r="B721" s="226" t="s">
        <v>29</v>
      </c>
      <c r="C721" s="226" t="s">
        <v>39</v>
      </c>
      <c r="D721" s="226" t="s">
        <v>1647</v>
      </c>
      <c r="E721" s="226" t="s">
        <v>1639</v>
      </c>
      <c r="F721" s="237" t="str">
        <f>HYPERLINK("[Tagerim.xlsx]RM_OA_OA_96",RM_OA_OA_96)</f>
        <v>RM_OA_OA_96</v>
      </c>
      <c r="G721" s="198" t="s">
        <v>35</v>
      </c>
      <c r="H721" s="176" t="s">
        <v>12</v>
      </c>
      <c r="I721" s="276">
        <v>43096</v>
      </c>
      <c r="J721" s="226"/>
    </row>
    <row r="722" spans="1:10" ht="40.5" customHeight="1">
      <c r="A722" s="150" t="s">
        <v>1562</v>
      </c>
      <c r="B722" s="150" t="s">
        <v>29</v>
      </c>
      <c r="C722" s="150" t="s">
        <v>39</v>
      </c>
      <c r="D722" s="150" t="s">
        <v>1648</v>
      </c>
      <c r="E722" s="150" t="s">
        <v>1649</v>
      </c>
      <c r="F722" s="239" t="str">
        <f>HYPERLINK("[Tagerim.xlsx]RM_OA_OA_100",RM_OA_OA_100)</f>
        <v>RM_OA_OA_100</v>
      </c>
      <c r="G722" s="175" t="s">
        <v>35</v>
      </c>
      <c r="H722" s="176" t="s">
        <v>13</v>
      </c>
      <c r="I722" s="273">
        <v>43096</v>
      </c>
      <c r="J722" s="150" t="s">
        <v>1657</v>
      </c>
    </row>
    <row r="723" spans="1:10" ht="44.25" customHeight="1">
      <c r="A723" s="226" t="s">
        <v>1563</v>
      </c>
      <c r="B723" s="226" t="s">
        <v>29</v>
      </c>
      <c r="C723" s="226" t="s">
        <v>39</v>
      </c>
      <c r="D723" s="226" t="s">
        <v>1650</v>
      </c>
      <c r="E723" s="226" t="s">
        <v>1649</v>
      </c>
      <c r="F723" s="237" t="str">
        <f>HYPERLINK("[Tagerim.xlsx]RM_OA_OA_110",RM_OA_OA_110)</f>
        <v>RM_OA_OA_110</v>
      </c>
      <c r="G723" s="198" t="s">
        <v>35</v>
      </c>
      <c r="H723" s="176" t="s">
        <v>13</v>
      </c>
      <c r="I723" s="276">
        <v>43096</v>
      </c>
      <c r="J723" s="226" t="s">
        <v>1657</v>
      </c>
    </row>
    <row r="724" spans="1:10" ht="32.25" customHeight="1">
      <c r="A724" s="150" t="s">
        <v>1564</v>
      </c>
      <c r="B724" s="150" t="s">
        <v>29</v>
      </c>
      <c r="C724" s="150" t="s">
        <v>39</v>
      </c>
      <c r="D724" s="150" t="s">
        <v>1651</v>
      </c>
      <c r="E724" s="150"/>
      <c r="F724" s="184"/>
      <c r="G724" s="175" t="s">
        <v>35</v>
      </c>
      <c r="H724" s="176" t="s">
        <v>12</v>
      </c>
      <c r="I724" s="273">
        <v>43096</v>
      </c>
      <c r="J724" s="150"/>
    </row>
    <row r="725" spans="1:10" ht="42.75" customHeight="1">
      <c r="A725" s="226" t="s">
        <v>1565</v>
      </c>
      <c r="B725" s="226" t="s">
        <v>29</v>
      </c>
      <c r="C725" s="226" t="s">
        <v>39</v>
      </c>
      <c r="D725" s="226" t="s">
        <v>1652</v>
      </c>
      <c r="E725" s="226" t="s">
        <v>1653</v>
      </c>
      <c r="F725" s="237"/>
      <c r="G725" s="198" t="s">
        <v>35</v>
      </c>
      <c r="H725" s="176" t="s">
        <v>12</v>
      </c>
      <c r="I725" s="276">
        <v>43096</v>
      </c>
      <c r="J725" s="226"/>
    </row>
    <row r="726" spans="1:10" ht="38.25" customHeight="1">
      <c r="A726" s="150" t="s">
        <v>1566</v>
      </c>
      <c r="B726" s="150" t="s">
        <v>29</v>
      </c>
      <c r="C726" s="150" t="s">
        <v>39</v>
      </c>
      <c r="D726" s="150" t="s">
        <v>1654</v>
      </c>
      <c r="E726" s="150" t="s">
        <v>1655</v>
      </c>
      <c r="F726" s="239" t="str">
        <f>HYPERLINK("[Tagerim.xlsx]RM_OA_OA_120",RM_OA_OA_120)</f>
        <v>RM_OA_OA_120</v>
      </c>
      <c r="G726" s="175" t="s">
        <v>35</v>
      </c>
      <c r="H726" s="176" t="s">
        <v>12</v>
      </c>
      <c r="I726" s="273">
        <v>43096</v>
      </c>
      <c r="J726" s="150"/>
    </row>
    <row r="727" spans="1:10" ht="33" customHeight="1">
      <c r="A727" s="226" t="s">
        <v>1567</v>
      </c>
      <c r="B727" s="226" t="s">
        <v>29</v>
      </c>
      <c r="C727" s="226" t="s">
        <v>39</v>
      </c>
      <c r="D727" s="226" t="s">
        <v>1656</v>
      </c>
      <c r="E727" s="226" t="s">
        <v>913</v>
      </c>
      <c r="F727" s="237" t="str">
        <f>HYPERLINK("[Tagerim.xlsx]RM_OA_OA_130",RM_OA_OA_130)</f>
        <v>RM_OA_OA_130</v>
      </c>
      <c r="G727" s="198" t="s">
        <v>35</v>
      </c>
      <c r="H727" s="176" t="s">
        <v>12</v>
      </c>
      <c r="I727" s="276">
        <v>43096</v>
      </c>
      <c r="J727" s="226"/>
    </row>
  </sheetData>
  <mergeCells count="136">
    <mergeCell ref="A699:B699"/>
    <mergeCell ref="C699:D699"/>
    <mergeCell ref="F699:H699"/>
    <mergeCell ref="I699:J699"/>
    <mergeCell ref="A700:B700"/>
    <mergeCell ref="C700:D700"/>
    <mergeCell ref="F700:H700"/>
    <mergeCell ref="I700:J700"/>
    <mergeCell ref="A653:B653"/>
    <mergeCell ref="C653:D653"/>
    <mergeCell ref="F653:H653"/>
    <mergeCell ref="I653:J653"/>
    <mergeCell ref="A654:B654"/>
    <mergeCell ref="C654:D654"/>
    <mergeCell ref="F654:H654"/>
    <mergeCell ref="I654:J654"/>
    <mergeCell ref="A24:B25"/>
    <mergeCell ref="C24:D25"/>
    <mergeCell ref="E24:E25"/>
    <mergeCell ref="F24:H25"/>
    <mergeCell ref="I24:J25"/>
    <mergeCell ref="A26:B27"/>
    <mergeCell ref="C26:D27"/>
    <mergeCell ref="E26:E27"/>
    <mergeCell ref="F26:H27"/>
    <mergeCell ref="I26:J27"/>
    <mergeCell ref="A329:B330"/>
    <mergeCell ref="C329:D330"/>
    <mergeCell ref="E329:E330"/>
    <mergeCell ref="F329:H330"/>
    <mergeCell ref="I329:J330"/>
    <mergeCell ref="A465:B465"/>
    <mergeCell ref="C465:D465"/>
    <mergeCell ref="F465:H465"/>
    <mergeCell ref="I465:J465"/>
    <mergeCell ref="A347:B348"/>
    <mergeCell ref="C347:D348"/>
    <mergeCell ref="E347:E348"/>
    <mergeCell ref="F347:H348"/>
    <mergeCell ref="I347:J348"/>
    <mergeCell ref="A327:B328"/>
    <mergeCell ref="C327:D328"/>
    <mergeCell ref="E327:E328"/>
    <mergeCell ref="F327:H328"/>
    <mergeCell ref="I327:J328"/>
    <mergeCell ref="A280:B281"/>
    <mergeCell ref="C280:D281"/>
    <mergeCell ref="E280:E281"/>
    <mergeCell ref="F280:H281"/>
    <mergeCell ref="I280:J281"/>
    <mergeCell ref="A282:B283"/>
    <mergeCell ref="C282:D283"/>
    <mergeCell ref="E282:E283"/>
    <mergeCell ref="F282:H283"/>
    <mergeCell ref="I282:J283"/>
    <mergeCell ref="A242:B243"/>
    <mergeCell ref="C242:D243"/>
    <mergeCell ref="E242:E243"/>
    <mergeCell ref="F242:H243"/>
    <mergeCell ref="I242:J243"/>
    <mergeCell ref="A240:B241"/>
    <mergeCell ref="C240:D241"/>
    <mergeCell ref="E240:E241"/>
    <mergeCell ref="F240:H241"/>
    <mergeCell ref="I240:J241"/>
    <mergeCell ref="I156:J157"/>
    <mergeCell ref="A200:B201"/>
    <mergeCell ref="C200:D201"/>
    <mergeCell ref="E200:E201"/>
    <mergeCell ref="F200:H201"/>
    <mergeCell ref="I200:J201"/>
    <mergeCell ref="A198:B199"/>
    <mergeCell ref="C198:D199"/>
    <mergeCell ref="E198:E199"/>
    <mergeCell ref="F198:H199"/>
    <mergeCell ref="I198:J199"/>
    <mergeCell ref="A158:B159"/>
    <mergeCell ref="C158:D159"/>
    <mergeCell ref="E158:E159"/>
    <mergeCell ref="F158:H159"/>
    <mergeCell ref="I158:J159"/>
    <mergeCell ref="A156:B157"/>
    <mergeCell ref="C156:D157"/>
    <mergeCell ref="E156:E157"/>
    <mergeCell ref="F156:H157"/>
    <mergeCell ref="I69:J70"/>
    <mergeCell ref="A71:B72"/>
    <mergeCell ref="C71:D72"/>
    <mergeCell ref="E71:E72"/>
    <mergeCell ref="F71:H72"/>
    <mergeCell ref="I71:J72"/>
    <mergeCell ref="A69:B70"/>
    <mergeCell ref="E69:E70"/>
    <mergeCell ref="C69:D70"/>
    <mergeCell ref="F69:H70"/>
    <mergeCell ref="A509:B509"/>
    <mergeCell ref="C509:D509"/>
    <mergeCell ref="F509:H509"/>
    <mergeCell ref="I509:J509"/>
    <mergeCell ref="A349:B350"/>
    <mergeCell ref="C349:D350"/>
    <mergeCell ref="E349:E350"/>
    <mergeCell ref="F349:H350"/>
    <mergeCell ref="I349:J350"/>
    <mergeCell ref="A466:B466"/>
    <mergeCell ref="C466:D466"/>
    <mergeCell ref="F466:H466"/>
    <mergeCell ref="I466:J466"/>
    <mergeCell ref="A525:B525"/>
    <mergeCell ref="C525:D525"/>
    <mergeCell ref="F525:H525"/>
    <mergeCell ref="I525:J525"/>
    <mergeCell ref="A526:B526"/>
    <mergeCell ref="C526:D526"/>
    <mergeCell ref="F526:H526"/>
    <mergeCell ref="I526:J526"/>
    <mergeCell ref="A510:B510"/>
    <mergeCell ref="C510:D510"/>
    <mergeCell ref="F510:H510"/>
    <mergeCell ref="I510:J510"/>
    <mergeCell ref="A556:B556"/>
    <mergeCell ref="C556:D556"/>
    <mergeCell ref="F556:H556"/>
    <mergeCell ref="I556:J556"/>
    <mergeCell ref="A557:B557"/>
    <mergeCell ref="C557:D557"/>
    <mergeCell ref="F557:H557"/>
    <mergeCell ref="I557:J557"/>
    <mergeCell ref="A543:B543"/>
    <mergeCell ref="C543:D543"/>
    <mergeCell ref="F543:H543"/>
    <mergeCell ref="I543:J543"/>
    <mergeCell ref="A544:B544"/>
    <mergeCell ref="C544:D544"/>
    <mergeCell ref="F544:H544"/>
    <mergeCell ref="I544:J544"/>
  </mergeCells>
  <conditionalFormatting sqref="H346 H351:H354 H389:H392 H401:H418 H421:H446 H471:H478 H481:H487 H490:H496 H78:H80 H460:H462 H464:H468 H509:H510 H520:H522 H551:H553 H585:H586 H602:H612 H648:H650 H530:H540 H615:H618 H499:H506 H659:H660 H662:H676 H683:H696 H84 H94:H100 H110:H114 H131:H256 H258:H292 H323:H342 H344 H296:H308 H311:H312 H369:H371 H377:H378 H294">
    <cfRule type="containsText" dxfId="310" priority="412" operator="containsText" text="Echec">
      <formula>NOT(ISERROR(SEARCH("Echec",H78)))</formula>
    </cfRule>
    <cfRule type="containsText" dxfId="309" priority="413" operator="containsText" text="Succès">
      <formula>NOT(ISERROR(SEARCH("Succès",H78)))</formula>
    </cfRule>
  </conditionalFormatting>
  <conditionalFormatting sqref="H345">
    <cfRule type="containsText" dxfId="308" priority="409" operator="containsText" text="Echec">
      <formula>NOT(ISERROR(SEARCH("Echec",H345)))</formula>
    </cfRule>
    <cfRule type="containsText" dxfId="307" priority="410" operator="containsText" text="Succès">
      <formula>NOT(ISERROR(SEARCH("Succès",H345)))</formula>
    </cfRule>
  </conditionalFormatting>
  <conditionalFormatting sqref="H355:H360 H362:H364">
    <cfRule type="containsText" dxfId="306" priority="403" operator="containsText" text="Echec">
      <formula>NOT(ISERROR(SEARCH("Echec",H355)))</formula>
    </cfRule>
    <cfRule type="containsText" dxfId="305" priority="404" operator="containsText" text="Succès">
      <formula>NOT(ISERROR(SEARCH("Succès",H355)))</formula>
    </cfRule>
  </conditionalFormatting>
  <conditionalFormatting sqref="H367:H368">
    <cfRule type="containsText" dxfId="304" priority="400" operator="containsText" text="Echec">
      <formula>NOT(ISERROR(SEARCH("Echec",H367)))</formula>
    </cfRule>
    <cfRule type="containsText" dxfId="303" priority="401" operator="containsText" text="Succès">
      <formula>NOT(ISERROR(SEARCH("Succès",H367)))</formula>
    </cfRule>
  </conditionalFormatting>
  <conditionalFormatting sqref="H379:H380">
    <cfRule type="containsText" dxfId="302" priority="394" operator="containsText" text="Echec">
      <formula>NOT(ISERROR(SEARCH("Echec",H379)))</formula>
    </cfRule>
    <cfRule type="containsText" dxfId="301" priority="395" operator="containsText" text="Succès">
      <formula>NOT(ISERROR(SEARCH("Succès",H379)))</formula>
    </cfRule>
  </conditionalFormatting>
  <conditionalFormatting sqref="H381:H388">
    <cfRule type="containsText" dxfId="300" priority="391" operator="containsText" text="Echec">
      <formula>NOT(ISERROR(SEARCH("Echec",H381)))</formula>
    </cfRule>
    <cfRule type="containsText" dxfId="299" priority="392" operator="containsText" text="Succès">
      <formula>NOT(ISERROR(SEARCH("Succès",H381)))</formula>
    </cfRule>
  </conditionalFormatting>
  <conditionalFormatting sqref="H347:H350">
    <cfRule type="containsText" dxfId="298" priority="388" operator="containsText" text="Echec">
      <formula>NOT(ISERROR(SEARCH("Echec",H347)))</formula>
    </cfRule>
    <cfRule type="containsText" dxfId="297" priority="389" operator="containsText" text="Succès">
      <formula>NOT(ISERROR(SEARCH("Succès",H347)))</formula>
    </cfRule>
  </conditionalFormatting>
  <conditionalFormatting sqref="H419:H420">
    <cfRule type="containsText" dxfId="296" priority="379" operator="containsText" text="Echec">
      <formula>NOT(ISERROR(SEARCH("Echec",H419)))</formula>
    </cfRule>
    <cfRule type="containsText" dxfId="295" priority="380" operator="containsText" text="Succès">
      <formula>NOT(ISERROR(SEARCH("Succès",H419)))</formula>
    </cfRule>
  </conditionalFormatting>
  <conditionalFormatting sqref="H447:H454 H456:H459">
    <cfRule type="containsText" dxfId="294" priority="367" operator="containsText" text="Echec">
      <formula>NOT(ISERROR(SEARCH("Echec",H447)))</formula>
    </cfRule>
    <cfRule type="containsText" dxfId="293" priority="368" operator="containsText" text="Succès">
      <formula>NOT(ISERROR(SEARCH("Succès",H447)))</formula>
    </cfRule>
  </conditionalFormatting>
  <conditionalFormatting sqref="H393:H400">
    <cfRule type="containsText" dxfId="292" priority="364" operator="containsText" text="Echec">
      <formula>NOT(ISERROR(SEARCH("Echec",H393)))</formula>
    </cfRule>
    <cfRule type="containsText" dxfId="291" priority="365" operator="containsText" text="Succès">
      <formula>NOT(ISERROR(SEARCH("Succès",H393)))</formula>
    </cfRule>
  </conditionalFormatting>
  <conditionalFormatting sqref="H463">
    <cfRule type="containsText" dxfId="290" priority="361" operator="containsText" text="Echec">
      <formula>NOT(ISERROR(SEARCH("Echec",H463)))</formula>
    </cfRule>
    <cfRule type="containsText" dxfId="289" priority="362" operator="containsText" text="Succès">
      <formula>NOT(ISERROR(SEARCH("Succès",H463)))</formula>
    </cfRule>
  </conditionalFormatting>
  <conditionalFormatting sqref="H469:H470">
    <cfRule type="containsText" dxfId="288" priority="355" operator="containsText" text="Echec">
      <formula>NOT(ISERROR(SEARCH("Echec",H469)))</formula>
    </cfRule>
    <cfRule type="containsText" dxfId="287" priority="356" operator="containsText" text="Succès">
      <formula>NOT(ISERROR(SEARCH("Succès",H469)))</formula>
    </cfRule>
  </conditionalFormatting>
  <conditionalFormatting sqref="H479:H480">
    <cfRule type="containsText" dxfId="286" priority="346" operator="containsText" text="Echec">
      <formula>NOT(ISERROR(SEARCH("Echec",H479)))</formula>
    </cfRule>
    <cfRule type="containsText" dxfId="285" priority="347" operator="containsText" text="Succès">
      <formula>NOT(ISERROR(SEARCH("Succès",H479)))</formula>
    </cfRule>
  </conditionalFormatting>
  <conditionalFormatting sqref="H488:H489">
    <cfRule type="containsText" dxfId="284" priority="340" operator="containsText" text="Echec">
      <formula>NOT(ISERROR(SEARCH("Echec",H488)))</formula>
    </cfRule>
    <cfRule type="containsText" dxfId="283" priority="341" operator="containsText" text="Succès">
      <formula>NOT(ISERROR(SEARCH("Succès",H488)))</formula>
    </cfRule>
  </conditionalFormatting>
  <conditionalFormatting sqref="H497:H498">
    <cfRule type="containsText" dxfId="282" priority="334" operator="containsText" text="Echec">
      <formula>NOT(ISERROR(SEARCH("Echec",H497)))</formula>
    </cfRule>
    <cfRule type="containsText" dxfId="281" priority="335" operator="containsText" text="Succès">
      <formula>NOT(ISERROR(SEARCH("Succès",H497)))</formula>
    </cfRule>
  </conditionalFormatting>
  <conditionalFormatting sqref="H675:H676">
    <cfRule type="containsText" dxfId="280" priority="322" operator="containsText" text="Echec">
      <formula>NOT(ISERROR(SEARCH("Echec",H675)))</formula>
    </cfRule>
    <cfRule type="containsText" dxfId="279" priority="323" operator="containsText" text="Succès">
      <formula>NOT(ISERROR(SEARCH("Succès",H675)))</formula>
    </cfRule>
  </conditionalFormatting>
  <conditionalFormatting sqref="H508">
    <cfRule type="containsText" dxfId="278" priority="295" operator="containsText" text="Echec">
      <formula>NOT(ISERROR(SEARCH("Echec",H508)))</formula>
    </cfRule>
    <cfRule type="containsText" dxfId="277" priority="296" operator="containsText" text="Succès">
      <formula>NOT(ISERROR(SEARCH("Succès",H508)))</formula>
    </cfRule>
  </conditionalFormatting>
  <conditionalFormatting sqref="H507">
    <cfRule type="containsText" dxfId="276" priority="292" operator="containsText" text="Echec">
      <formula>NOT(ISERROR(SEARCH("Echec",H507)))</formula>
    </cfRule>
    <cfRule type="containsText" dxfId="275" priority="293" operator="containsText" text="Succès">
      <formula>NOT(ISERROR(SEARCH("Succès",H507)))</formula>
    </cfRule>
  </conditionalFormatting>
  <conditionalFormatting sqref="H511:H512 H515:H519">
    <cfRule type="containsText" dxfId="274" priority="286" operator="containsText" text="Echec">
      <formula>NOT(ISERROR(SEARCH("Echec",H511)))</formula>
    </cfRule>
    <cfRule type="containsText" dxfId="273" priority="287" operator="containsText" text="Succès">
      <formula>NOT(ISERROR(SEARCH("Succès",H511)))</formula>
    </cfRule>
  </conditionalFormatting>
  <conditionalFormatting sqref="H513:H514">
    <cfRule type="containsText" dxfId="272" priority="283" operator="containsText" text="Echec">
      <formula>NOT(ISERROR(SEARCH("Echec",H513)))</formula>
    </cfRule>
    <cfRule type="containsText" dxfId="271" priority="284" operator="containsText" text="Succès">
      <formula>NOT(ISERROR(SEARCH("Succès",H513)))</formula>
    </cfRule>
  </conditionalFormatting>
  <conditionalFormatting sqref="H542">
    <cfRule type="containsText" dxfId="270" priority="256" operator="containsText" text="Echec">
      <formula>NOT(ISERROR(SEARCH("Echec",H542)))</formula>
    </cfRule>
    <cfRule type="containsText" dxfId="269" priority="257" operator="containsText" text="Succès">
      <formula>NOT(ISERROR(SEARCH("Succès",H542)))</formula>
    </cfRule>
  </conditionalFormatting>
  <conditionalFormatting sqref="H524">
    <cfRule type="containsText" dxfId="268" priority="277" operator="containsText" text="Echec">
      <formula>NOT(ISERROR(SEARCH("Echec",H524)))</formula>
    </cfRule>
    <cfRule type="containsText" dxfId="267" priority="278" operator="containsText" text="Succès">
      <formula>NOT(ISERROR(SEARCH("Succès",H524)))</formula>
    </cfRule>
  </conditionalFormatting>
  <conditionalFormatting sqref="H523">
    <cfRule type="containsText" dxfId="266" priority="274" operator="containsText" text="Echec">
      <formula>NOT(ISERROR(SEARCH("Echec",H523)))</formula>
    </cfRule>
    <cfRule type="containsText" dxfId="265" priority="275" operator="containsText" text="Succès">
      <formula>NOT(ISERROR(SEARCH("Succès",H523)))</formula>
    </cfRule>
  </conditionalFormatting>
  <conditionalFormatting sqref="H527:H528">
    <cfRule type="containsText" dxfId="264" priority="271" operator="containsText" text="Echec">
      <formula>NOT(ISERROR(SEARCH("Echec",H527)))</formula>
    </cfRule>
    <cfRule type="containsText" dxfId="263" priority="272" operator="containsText" text="Succès">
      <formula>NOT(ISERROR(SEARCH("Succès",H527)))</formula>
    </cfRule>
  </conditionalFormatting>
  <conditionalFormatting sqref="H529">
    <cfRule type="containsText" dxfId="262" priority="268" operator="containsText" text="Echec">
      <formula>NOT(ISERROR(SEARCH("Echec",H529)))</formula>
    </cfRule>
    <cfRule type="containsText" dxfId="261" priority="269" operator="containsText" text="Succès">
      <formula>NOT(ISERROR(SEARCH("Succès",H529)))</formula>
    </cfRule>
  </conditionalFormatting>
  <conditionalFormatting sqref="H543:H544">
    <cfRule type="containsText" dxfId="260" priority="241" operator="containsText" text="Echec">
      <formula>NOT(ISERROR(SEARCH("Echec",H543)))</formula>
    </cfRule>
    <cfRule type="containsText" dxfId="259" priority="242" operator="containsText" text="Succès">
      <formula>NOT(ISERROR(SEARCH("Succès",H543)))</formula>
    </cfRule>
  </conditionalFormatting>
  <conditionalFormatting sqref="H525:H526">
    <cfRule type="containsText" dxfId="258" priority="262" operator="containsText" text="Echec">
      <formula>NOT(ISERROR(SEARCH("Echec",H525)))</formula>
    </cfRule>
    <cfRule type="containsText" dxfId="257" priority="263" operator="containsText" text="Succès">
      <formula>NOT(ISERROR(SEARCH("Succès",H525)))</formula>
    </cfRule>
  </conditionalFormatting>
  <conditionalFormatting sqref="H548">
    <cfRule type="containsText" dxfId="256" priority="259" operator="containsText" text="Echec">
      <formula>NOT(ISERROR(SEARCH("Echec",H548)))</formula>
    </cfRule>
    <cfRule type="containsText" dxfId="255" priority="260" operator="containsText" text="Succès">
      <formula>NOT(ISERROR(SEARCH("Succès",H548)))</formula>
    </cfRule>
  </conditionalFormatting>
  <conditionalFormatting sqref="H555">
    <cfRule type="containsText" dxfId="254" priority="235" operator="containsText" text="Echec">
      <formula>NOT(ISERROR(SEARCH("Echec",H555)))</formula>
    </cfRule>
    <cfRule type="containsText" dxfId="253" priority="236" operator="containsText" text="Succès">
      <formula>NOT(ISERROR(SEARCH("Succès",H555)))</formula>
    </cfRule>
  </conditionalFormatting>
  <conditionalFormatting sqref="H541">
    <cfRule type="containsText" dxfId="252" priority="253" operator="containsText" text="Echec">
      <formula>NOT(ISERROR(SEARCH("Echec",H541)))</formula>
    </cfRule>
    <cfRule type="containsText" dxfId="251" priority="254" operator="containsText" text="Succès">
      <formula>NOT(ISERROR(SEARCH("Succès",H541)))</formula>
    </cfRule>
  </conditionalFormatting>
  <conditionalFormatting sqref="H545:H546">
    <cfRule type="containsText" dxfId="250" priority="250" operator="containsText" text="Echec">
      <formula>NOT(ISERROR(SEARCH("Echec",H545)))</formula>
    </cfRule>
    <cfRule type="containsText" dxfId="249" priority="251" operator="containsText" text="Succès">
      <formula>NOT(ISERROR(SEARCH("Succès",H545)))</formula>
    </cfRule>
  </conditionalFormatting>
  <conditionalFormatting sqref="H547">
    <cfRule type="containsText" dxfId="248" priority="247" operator="containsText" text="Echec">
      <formula>NOT(ISERROR(SEARCH("Echec",H547)))</formula>
    </cfRule>
    <cfRule type="containsText" dxfId="247" priority="248" operator="containsText" text="Succès">
      <formula>NOT(ISERROR(SEARCH("Succès",H547)))</formula>
    </cfRule>
  </conditionalFormatting>
  <conditionalFormatting sqref="H549:H550">
    <cfRule type="containsText" dxfId="246" priority="244" operator="containsText" text="Echec">
      <formula>NOT(ISERROR(SEARCH("Echec",H549)))</formula>
    </cfRule>
    <cfRule type="containsText" dxfId="245" priority="245" operator="containsText" text="Succès">
      <formula>NOT(ISERROR(SEARCH("Succès",H549)))</formula>
    </cfRule>
  </conditionalFormatting>
  <conditionalFormatting sqref="H556:H557">
    <cfRule type="containsText" dxfId="244" priority="220" operator="containsText" text="Echec">
      <formula>NOT(ISERROR(SEARCH("Echec",H556)))</formula>
    </cfRule>
    <cfRule type="containsText" dxfId="243" priority="221" operator="containsText" text="Succès">
      <formula>NOT(ISERROR(SEARCH("Succès",H556)))</formula>
    </cfRule>
  </conditionalFormatting>
  <conditionalFormatting sqref="H560">
    <cfRule type="containsText" dxfId="242" priority="226" operator="containsText" text="Echec">
      <formula>NOT(ISERROR(SEARCH("Echec",H560)))</formula>
    </cfRule>
    <cfRule type="containsText" dxfId="241" priority="227" operator="containsText" text="Succès">
      <formula>NOT(ISERROR(SEARCH("Succès",H560)))</formula>
    </cfRule>
  </conditionalFormatting>
  <conditionalFormatting sqref="H589:H600">
    <cfRule type="containsText" dxfId="240" priority="211" operator="containsText" text="Echec">
      <formula>NOT(ISERROR(SEARCH("Echec",H589)))</formula>
    </cfRule>
    <cfRule type="containsText" dxfId="239" priority="212" operator="containsText" text="Succès">
      <formula>NOT(ISERROR(SEARCH("Succès",H589)))</formula>
    </cfRule>
  </conditionalFormatting>
  <conditionalFormatting sqref="H561">
    <cfRule type="containsText" dxfId="238" priority="238" operator="containsText" text="Echec">
      <formula>NOT(ISERROR(SEARCH("Echec",H561)))</formula>
    </cfRule>
    <cfRule type="containsText" dxfId="237" priority="239" operator="containsText" text="Succès">
      <formula>NOT(ISERROR(SEARCH("Succès",H561)))</formula>
    </cfRule>
  </conditionalFormatting>
  <conditionalFormatting sqref="H554">
    <cfRule type="containsText" dxfId="236" priority="232" operator="containsText" text="Echec">
      <formula>NOT(ISERROR(SEARCH("Echec",H554)))</formula>
    </cfRule>
    <cfRule type="containsText" dxfId="235" priority="233" operator="containsText" text="Succès">
      <formula>NOT(ISERROR(SEARCH("Succès",H554)))</formula>
    </cfRule>
  </conditionalFormatting>
  <conditionalFormatting sqref="H558:H559">
    <cfRule type="containsText" dxfId="234" priority="229" operator="containsText" text="Echec">
      <formula>NOT(ISERROR(SEARCH("Echec",H558)))</formula>
    </cfRule>
    <cfRule type="containsText" dxfId="233" priority="230" operator="containsText" text="Succès">
      <formula>NOT(ISERROR(SEARCH("Succès",H558)))</formula>
    </cfRule>
  </conditionalFormatting>
  <conditionalFormatting sqref="H562:H584">
    <cfRule type="containsText" dxfId="232" priority="223" operator="containsText" text="Echec">
      <formula>NOT(ISERROR(SEARCH("Echec",H562)))</formula>
    </cfRule>
    <cfRule type="containsText" dxfId="231" priority="224" operator="containsText" text="Succès">
      <formula>NOT(ISERROR(SEARCH("Succès",H562)))</formula>
    </cfRule>
  </conditionalFormatting>
  <conditionalFormatting sqref="H588">
    <cfRule type="containsText" dxfId="230" priority="217" operator="containsText" text="Echec">
      <formula>NOT(ISERROR(SEARCH("Echec",H588)))</formula>
    </cfRule>
    <cfRule type="containsText" dxfId="229" priority="218" operator="containsText" text="Succès">
      <formula>NOT(ISERROR(SEARCH("Succès",H588)))</formula>
    </cfRule>
  </conditionalFormatting>
  <conditionalFormatting sqref="H587">
    <cfRule type="containsText" dxfId="228" priority="214" operator="containsText" text="Echec">
      <formula>NOT(ISERROR(SEARCH("Echec",H587)))</formula>
    </cfRule>
    <cfRule type="containsText" dxfId="227" priority="215" operator="containsText" text="Succès">
      <formula>NOT(ISERROR(SEARCH("Succès",H587)))</formula>
    </cfRule>
  </conditionalFormatting>
  <conditionalFormatting sqref="H601">
    <cfRule type="containsText" dxfId="226" priority="208" operator="containsText" text="Echec">
      <formula>NOT(ISERROR(SEARCH("Echec",H601)))</formula>
    </cfRule>
    <cfRule type="containsText" dxfId="225" priority="209" operator="containsText" text="Succès">
      <formula>NOT(ISERROR(SEARCH("Succès",H601)))</formula>
    </cfRule>
  </conditionalFormatting>
  <conditionalFormatting sqref="H621:H647">
    <cfRule type="containsText" dxfId="224" priority="199" operator="containsText" text="Echec">
      <formula>NOT(ISERROR(SEARCH("Echec",H621)))</formula>
    </cfRule>
    <cfRule type="containsText" dxfId="223" priority="200" operator="containsText" text="Succès">
      <formula>NOT(ISERROR(SEARCH("Succès",H621)))</formula>
    </cfRule>
  </conditionalFormatting>
  <conditionalFormatting sqref="H620">
    <cfRule type="containsText" dxfId="222" priority="205" operator="containsText" text="Echec">
      <formula>NOT(ISERROR(SEARCH("Echec",H620)))</formula>
    </cfRule>
    <cfRule type="containsText" dxfId="221" priority="206" operator="containsText" text="Succès">
      <formula>NOT(ISERROR(SEARCH("Succès",H620)))</formula>
    </cfRule>
  </conditionalFormatting>
  <conditionalFormatting sqref="H619">
    <cfRule type="containsText" dxfId="220" priority="202" operator="containsText" text="Echec">
      <formula>NOT(ISERROR(SEARCH("Echec",H619)))</formula>
    </cfRule>
    <cfRule type="containsText" dxfId="219" priority="203" operator="containsText" text="Succès">
      <formula>NOT(ISERROR(SEARCH("Succès",H619)))</formula>
    </cfRule>
  </conditionalFormatting>
  <conditionalFormatting sqref="H614">
    <cfRule type="containsText" dxfId="218" priority="190" operator="containsText" text="Echec">
      <formula>NOT(ISERROR(SEARCH("Echec",H614)))</formula>
    </cfRule>
    <cfRule type="containsText" dxfId="217" priority="191" operator="containsText" text="Succès">
      <formula>NOT(ISERROR(SEARCH("Succès",H614)))</formula>
    </cfRule>
  </conditionalFormatting>
  <conditionalFormatting sqref="H613">
    <cfRule type="containsText" dxfId="216" priority="187" operator="containsText" text="Echec">
      <formula>NOT(ISERROR(SEARCH("Echec",H613)))</formula>
    </cfRule>
    <cfRule type="containsText" dxfId="215" priority="188" operator="containsText" text="Succès">
      <formula>NOT(ISERROR(SEARCH("Succès",H613)))</formula>
    </cfRule>
  </conditionalFormatting>
  <conditionalFormatting sqref="H652">
    <cfRule type="containsText" dxfId="214" priority="181" operator="containsText" text="Echec">
      <formula>NOT(ISERROR(SEARCH("Echec",H652)))</formula>
    </cfRule>
    <cfRule type="containsText" dxfId="213" priority="182" operator="containsText" text="Succès">
      <formula>NOT(ISERROR(SEARCH("Succès",H652)))</formula>
    </cfRule>
  </conditionalFormatting>
  <conditionalFormatting sqref="H653:H654">
    <cfRule type="containsText" dxfId="212" priority="166" operator="containsText" text="Echec">
      <formula>NOT(ISERROR(SEARCH("Echec",H653)))</formula>
    </cfRule>
    <cfRule type="containsText" dxfId="211" priority="167" operator="containsText" text="Succès">
      <formula>NOT(ISERROR(SEARCH("Succès",H653)))</formula>
    </cfRule>
  </conditionalFormatting>
  <conditionalFormatting sqref="H657">
    <cfRule type="containsText" dxfId="210" priority="172" operator="containsText" text="Echec">
      <formula>NOT(ISERROR(SEARCH("Echec",H657)))</formula>
    </cfRule>
    <cfRule type="containsText" dxfId="209" priority="173" operator="containsText" text="Succès">
      <formula>NOT(ISERROR(SEARCH("Succès",H657)))</formula>
    </cfRule>
  </conditionalFormatting>
  <conditionalFormatting sqref="H658">
    <cfRule type="containsText" dxfId="208" priority="184" operator="containsText" text="Echec">
      <formula>NOT(ISERROR(SEARCH("Echec",H658)))</formula>
    </cfRule>
    <cfRule type="containsText" dxfId="207" priority="185" operator="containsText" text="Succès">
      <formula>NOT(ISERROR(SEARCH("Succès",H658)))</formula>
    </cfRule>
  </conditionalFormatting>
  <conditionalFormatting sqref="H651">
    <cfRule type="containsText" dxfId="206" priority="178" operator="containsText" text="Echec">
      <formula>NOT(ISERROR(SEARCH("Echec",H651)))</formula>
    </cfRule>
    <cfRule type="containsText" dxfId="205" priority="179" operator="containsText" text="Succès">
      <formula>NOT(ISERROR(SEARCH("Succès",H651)))</formula>
    </cfRule>
  </conditionalFormatting>
  <conditionalFormatting sqref="H655:H656">
    <cfRule type="containsText" dxfId="204" priority="175" operator="containsText" text="Echec">
      <formula>NOT(ISERROR(SEARCH("Echec",H655)))</formula>
    </cfRule>
    <cfRule type="containsText" dxfId="203" priority="176" operator="containsText" text="Succès">
      <formula>NOT(ISERROR(SEARCH("Succès",H655)))</formula>
    </cfRule>
  </conditionalFormatting>
  <conditionalFormatting sqref="H661">
    <cfRule type="containsText" dxfId="202" priority="160" operator="containsText" text="Echec">
      <formula>NOT(ISERROR(SEARCH("Echec",H661)))</formula>
    </cfRule>
    <cfRule type="containsText" dxfId="201" priority="161" operator="containsText" text="Succès">
      <formula>NOT(ISERROR(SEARCH("Succès",H661)))</formula>
    </cfRule>
  </conditionalFormatting>
  <conditionalFormatting sqref="H678:H679">
    <cfRule type="containsText" dxfId="200" priority="136" operator="containsText" text="Echec">
      <formula>NOT(ISERROR(SEARCH("Echec",H678)))</formula>
    </cfRule>
    <cfRule type="containsText" dxfId="199" priority="137" operator="containsText" text="Succès">
      <formula>NOT(ISERROR(SEARCH("Succès",H678)))</formula>
    </cfRule>
  </conditionalFormatting>
  <conditionalFormatting sqref="H680:H681 H677">
    <cfRule type="containsText" dxfId="198" priority="148" operator="containsText" text="Echec">
      <formula>NOT(ISERROR(SEARCH("Echec",H677)))</formula>
    </cfRule>
    <cfRule type="containsText" dxfId="197" priority="149" operator="containsText" text="Succès">
      <formula>NOT(ISERROR(SEARCH("Succès",H677)))</formula>
    </cfRule>
  </conditionalFormatting>
  <conditionalFormatting sqref="H677 H680:H681">
    <cfRule type="containsText" dxfId="196" priority="145" operator="containsText" text="Echec">
      <formula>NOT(ISERROR(SEARCH("Echec",H677)))</formula>
    </cfRule>
    <cfRule type="containsText" dxfId="195" priority="146" operator="containsText" text="Succès">
      <formula>NOT(ISERROR(SEARCH("Succès",H677)))</formula>
    </cfRule>
  </conditionalFormatting>
  <conditionalFormatting sqref="H683">
    <cfRule type="containsText" dxfId="194" priority="142" operator="containsText" text="Echec">
      <formula>NOT(ISERROR(SEARCH("Echec",H683)))</formula>
    </cfRule>
    <cfRule type="containsText" dxfId="193" priority="143" operator="containsText" text="Succès">
      <formula>NOT(ISERROR(SEARCH("Succès",H683)))</formula>
    </cfRule>
  </conditionalFormatting>
  <conditionalFormatting sqref="H678:H679">
    <cfRule type="containsText" dxfId="192" priority="139" operator="containsText" text="Echec">
      <formula>NOT(ISERROR(SEARCH("Echec",H678)))</formula>
    </cfRule>
    <cfRule type="containsText" dxfId="191" priority="140" operator="containsText" text="Succès">
      <formula>NOT(ISERROR(SEARCH("Succès",H678)))</formula>
    </cfRule>
  </conditionalFormatting>
  <conditionalFormatting sqref="H682">
    <cfRule type="containsText" dxfId="190" priority="133" operator="containsText" text="Echec">
      <formula>NOT(ISERROR(SEARCH("Echec",H682)))</formula>
    </cfRule>
    <cfRule type="containsText" dxfId="189" priority="134" operator="containsText" text="Succès">
      <formula>NOT(ISERROR(SEARCH("Succès",H682)))</formula>
    </cfRule>
  </conditionalFormatting>
  <conditionalFormatting sqref="H682">
    <cfRule type="containsText" dxfId="188" priority="130" operator="containsText" text="Echec">
      <formula>NOT(ISERROR(SEARCH("Echec",H682)))</formula>
    </cfRule>
    <cfRule type="containsText" dxfId="187" priority="131" operator="containsText" text="Succès">
      <formula>NOT(ISERROR(SEARCH("Succès",H682)))</formula>
    </cfRule>
  </conditionalFormatting>
  <conditionalFormatting sqref="H313:H322">
    <cfRule type="containsText" dxfId="186" priority="127" operator="containsText" text="Echec">
      <formula>NOT(ISERROR(SEARCH("Echec",H313)))</formula>
    </cfRule>
    <cfRule type="containsText" dxfId="185" priority="128" operator="containsText" text="Succès">
      <formula>NOT(ISERROR(SEARCH("Succès",H313)))</formula>
    </cfRule>
  </conditionalFormatting>
  <conditionalFormatting sqref="H85">
    <cfRule type="containsText" dxfId="184" priority="124" operator="containsText" text="Echec">
      <formula>NOT(ISERROR(SEARCH("Echec",H85)))</formula>
    </cfRule>
    <cfRule type="containsText" dxfId="183" priority="125" operator="containsText" text="Succès">
      <formula>NOT(ISERROR(SEARCH("Succès",H85)))</formula>
    </cfRule>
  </conditionalFormatting>
  <conditionalFormatting sqref="H86">
    <cfRule type="containsText" dxfId="182" priority="121" operator="containsText" text="Echec">
      <formula>NOT(ISERROR(SEARCH("Echec",H86)))</formula>
    </cfRule>
    <cfRule type="containsText" dxfId="181" priority="122" operator="containsText" text="Succès">
      <formula>NOT(ISERROR(SEARCH("Succès",H86)))</formula>
    </cfRule>
  </conditionalFormatting>
  <conditionalFormatting sqref="H87">
    <cfRule type="containsText" dxfId="180" priority="118" operator="containsText" text="Echec">
      <formula>NOT(ISERROR(SEARCH("Echec",H87)))</formula>
    </cfRule>
    <cfRule type="containsText" dxfId="179" priority="119" operator="containsText" text="Succès">
      <formula>NOT(ISERROR(SEARCH("Succès",H87)))</formula>
    </cfRule>
  </conditionalFormatting>
  <conditionalFormatting sqref="H88">
    <cfRule type="containsText" dxfId="178" priority="115" operator="containsText" text="Echec">
      <formula>NOT(ISERROR(SEARCH("Echec",H88)))</formula>
    </cfRule>
    <cfRule type="containsText" dxfId="177" priority="116" operator="containsText" text="Succès">
      <formula>NOT(ISERROR(SEARCH("Succès",H88)))</formula>
    </cfRule>
  </conditionalFormatting>
  <conditionalFormatting sqref="H89">
    <cfRule type="containsText" dxfId="176" priority="112" operator="containsText" text="Echec">
      <formula>NOT(ISERROR(SEARCH("Echec",H89)))</formula>
    </cfRule>
    <cfRule type="containsText" dxfId="175" priority="113" operator="containsText" text="Succès">
      <formula>NOT(ISERROR(SEARCH("Succès",H89)))</formula>
    </cfRule>
  </conditionalFormatting>
  <conditionalFormatting sqref="H90">
    <cfRule type="containsText" dxfId="174" priority="109" operator="containsText" text="Echec">
      <formula>NOT(ISERROR(SEARCH("Echec",H90)))</formula>
    </cfRule>
    <cfRule type="containsText" dxfId="173" priority="110" operator="containsText" text="Succès">
      <formula>NOT(ISERROR(SEARCH("Succès",H90)))</formula>
    </cfRule>
  </conditionalFormatting>
  <conditionalFormatting sqref="H91">
    <cfRule type="containsText" dxfId="172" priority="106" operator="containsText" text="Echec">
      <formula>NOT(ISERROR(SEARCH("Echec",H91)))</formula>
    </cfRule>
    <cfRule type="containsText" dxfId="171" priority="107" operator="containsText" text="Succès">
      <formula>NOT(ISERROR(SEARCH("Succès",H91)))</formula>
    </cfRule>
  </conditionalFormatting>
  <conditionalFormatting sqref="H92">
    <cfRule type="containsText" dxfId="170" priority="103" operator="containsText" text="Echec">
      <formula>NOT(ISERROR(SEARCH("Echec",H92)))</formula>
    </cfRule>
    <cfRule type="containsText" dxfId="169" priority="104" operator="containsText" text="Succès">
      <formula>NOT(ISERROR(SEARCH("Succès",H92)))</formula>
    </cfRule>
  </conditionalFormatting>
  <conditionalFormatting sqref="H93">
    <cfRule type="containsText" dxfId="168" priority="100" operator="containsText" text="Echec">
      <formula>NOT(ISERROR(SEARCH("Echec",H93)))</formula>
    </cfRule>
    <cfRule type="containsText" dxfId="167" priority="101" operator="containsText" text="Succès">
      <formula>NOT(ISERROR(SEARCH("Succès",H93)))</formula>
    </cfRule>
  </conditionalFormatting>
  <conditionalFormatting sqref="H81">
    <cfRule type="containsText" dxfId="166" priority="97" operator="containsText" text="Echec">
      <formula>NOT(ISERROR(SEARCH("Echec",H81)))</formula>
    </cfRule>
    <cfRule type="containsText" dxfId="165" priority="98" operator="containsText" text="Succès">
      <formula>NOT(ISERROR(SEARCH("Succès",H81)))</formula>
    </cfRule>
  </conditionalFormatting>
  <conditionalFormatting sqref="H82">
    <cfRule type="containsText" dxfId="164" priority="94" operator="containsText" text="Echec">
      <formula>NOT(ISERROR(SEARCH("Echec",H82)))</formula>
    </cfRule>
    <cfRule type="containsText" dxfId="163" priority="95" operator="containsText" text="Succès">
      <formula>NOT(ISERROR(SEARCH("Succès",H82)))</formula>
    </cfRule>
  </conditionalFormatting>
  <conditionalFormatting sqref="H109">
    <cfRule type="containsText" dxfId="162" priority="85" operator="containsText" text="Echec">
      <formula>NOT(ISERROR(SEARCH("Echec",H109)))</formula>
    </cfRule>
    <cfRule type="containsText" dxfId="161" priority="86" operator="containsText" text="Succès">
      <formula>NOT(ISERROR(SEARCH("Succès",H109)))</formula>
    </cfRule>
  </conditionalFormatting>
  <conditionalFormatting sqref="H101:H108">
    <cfRule type="containsText" dxfId="160" priority="88" operator="containsText" text="Echec">
      <formula>NOT(ISERROR(SEARCH("Echec",H101)))</formula>
    </cfRule>
    <cfRule type="containsText" dxfId="159" priority="89" operator="containsText" text="Succès">
      <formula>NOT(ISERROR(SEARCH("Succès",H101)))</formula>
    </cfRule>
  </conditionalFormatting>
  <conditionalFormatting sqref="H115:H130">
    <cfRule type="containsText" dxfId="158" priority="82" operator="containsText" text="Echec">
      <formula>NOT(ISERROR(SEARCH("Echec",H115)))</formula>
    </cfRule>
    <cfRule type="containsText" dxfId="157" priority="83" operator="containsText" text="Succès">
      <formula>NOT(ISERROR(SEARCH("Succès",H115)))</formula>
    </cfRule>
  </conditionalFormatting>
  <conditionalFormatting sqref="H83">
    <cfRule type="containsText" dxfId="156" priority="79" operator="containsText" text="Echec">
      <formula>NOT(ISERROR(SEARCH("Echec",H83)))</formula>
    </cfRule>
    <cfRule type="containsText" dxfId="155" priority="80" operator="containsText" text="Succès">
      <formula>NOT(ISERROR(SEARCH("Succès",H83)))</formula>
    </cfRule>
  </conditionalFormatting>
  <conditionalFormatting sqref="H257">
    <cfRule type="containsText" dxfId="154" priority="76" operator="containsText" text="Echec">
      <formula>NOT(ISERROR(SEARCH("Echec",H257)))</formula>
    </cfRule>
    <cfRule type="containsText" dxfId="153" priority="77" operator="containsText" text="Succès">
      <formula>NOT(ISERROR(SEARCH("Succès",H257)))</formula>
    </cfRule>
  </conditionalFormatting>
  <conditionalFormatting sqref="H295">
    <cfRule type="containsText" dxfId="152" priority="73" operator="containsText" text="Echec">
      <formula>NOT(ISERROR(SEARCH("Echec",H295)))</formula>
    </cfRule>
    <cfRule type="containsText" dxfId="151" priority="74" operator="containsText" text="Succès">
      <formula>NOT(ISERROR(SEARCH("Succès",H295)))</formula>
    </cfRule>
  </conditionalFormatting>
  <conditionalFormatting sqref="H343">
    <cfRule type="containsText" dxfId="150" priority="70" operator="containsText" text="Echec">
      <formula>NOT(ISERROR(SEARCH("Echec",H343)))</formula>
    </cfRule>
    <cfRule type="containsText" dxfId="149" priority="71" operator="containsText" text="Succès">
      <formula>NOT(ISERROR(SEARCH("Succès",H343)))</formula>
    </cfRule>
  </conditionalFormatting>
  <conditionalFormatting sqref="H309:H310">
    <cfRule type="containsText" dxfId="148" priority="67" operator="containsText" text="Echec">
      <formula>NOT(ISERROR(SEARCH("Echec",H309)))</formula>
    </cfRule>
    <cfRule type="containsText" dxfId="147" priority="68" operator="containsText" text="Succès">
      <formula>NOT(ISERROR(SEARCH("Succès",H309)))</formula>
    </cfRule>
  </conditionalFormatting>
  <conditionalFormatting sqref="H373 H375">
    <cfRule type="containsText" dxfId="146" priority="64" operator="containsText" text="Echec">
      <formula>NOT(ISERROR(SEARCH("Echec",H373)))</formula>
    </cfRule>
    <cfRule type="containsText" dxfId="145" priority="65" operator="containsText" text="Succès">
      <formula>NOT(ISERROR(SEARCH("Succès",H373)))</formula>
    </cfRule>
  </conditionalFormatting>
  <conditionalFormatting sqref="H372">
    <cfRule type="containsText" dxfId="144" priority="61" operator="containsText" text="Echec">
      <formula>NOT(ISERROR(SEARCH("Echec",H372)))</formula>
    </cfRule>
    <cfRule type="containsText" dxfId="143" priority="62" operator="containsText" text="Succès">
      <formula>NOT(ISERROR(SEARCH("Succès",H372)))</formula>
    </cfRule>
  </conditionalFormatting>
  <conditionalFormatting sqref="H361">
    <cfRule type="containsText" dxfId="142" priority="55" operator="containsText" text="Echec">
      <formula>NOT(ISERROR(SEARCH("Echec",H361)))</formula>
    </cfRule>
    <cfRule type="containsText" dxfId="141" priority="56" operator="containsText" text="Succès">
      <formula>NOT(ISERROR(SEARCH("Succès",H361)))</formula>
    </cfRule>
  </conditionalFormatting>
  <conditionalFormatting sqref="H455">
    <cfRule type="containsText" dxfId="140" priority="52" operator="containsText" text="Echec">
      <formula>NOT(ISERROR(SEARCH("Echec",H455)))</formula>
    </cfRule>
    <cfRule type="containsText" dxfId="139" priority="53" operator="containsText" text="Succès">
      <formula>NOT(ISERROR(SEARCH("Succès",H455)))</formula>
    </cfRule>
  </conditionalFormatting>
  <conditionalFormatting sqref="H33:H39">
    <cfRule type="containsText" dxfId="138" priority="49" operator="containsText" text="Echec">
      <formula>NOT(ISERROR(SEARCH("Echec",H33)))</formula>
    </cfRule>
    <cfRule type="containsText" dxfId="137" priority="50" operator="containsText" text="Succès">
      <formula>NOT(ISERROR(SEARCH("Succès",H33)))</formula>
    </cfRule>
  </conditionalFormatting>
  <conditionalFormatting sqref="H698">
    <cfRule type="containsText" dxfId="136" priority="43" operator="containsText" text="Echec">
      <formula>NOT(ISERROR(SEARCH("Echec",H698)))</formula>
    </cfRule>
    <cfRule type="containsText" dxfId="135" priority="44" operator="containsText" text="Succès">
      <formula>NOT(ISERROR(SEARCH("Succès",H698)))</formula>
    </cfRule>
  </conditionalFormatting>
  <conditionalFormatting sqref="H699:H700">
    <cfRule type="containsText" dxfId="134" priority="28" operator="containsText" text="Echec">
      <formula>NOT(ISERROR(SEARCH("Echec",H699)))</formula>
    </cfRule>
    <cfRule type="containsText" dxfId="133" priority="29" operator="containsText" text="Succès">
      <formula>NOT(ISERROR(SEARCH("Succès",H699)))</formula>
    </cfRule>
  </conditionalFormatting>
  <conditionalFormatting sqref="H703">
    <cfRule type="containsText" dxfId="132" priority="34" operator="containsText" text="Echec">
      <formula>NOT(ISERROR(SEARCH("Echec",H703)))</formula>
    </cfRule>
    <cfRule type="containsText" dxfId="131" priority="35" operator="containsText" text="Succès">
      <formula>NOT(ISERROR(SEARCH("Succès",H703)))</formula>
    </cfRule>
  </conditionalFormatting>
  <conditionalFormatting sqref="H704">
    <cfRule type="containsText" dxfId="130" priority="46" operator="containsText" text="Echec">
      <formula>NOT(ISERROR(SEARCH("Echec",H704)))</formula>
    </cfRule>
    <cfRule type="containsText" dxfId="129" priority="47" operator="containsText" text="Succès">
      <formula>NOT(ISERROR(SEARCH("Succès",H704)))</formula>
    </cfRule>
  </conditionalFormatting>
  <conditionalFormatting sqref="H697">
    <cfRule type="containsText" dxfId="128" priority="40" operator="containsText" text="Echec">
      <formula>NOT(ISERROR(SEARCH("Echec",H697)))</formula>
    </cfRule>
    <cfRule type="containsText" dxfId="127" priority="41" operator="containsText" text="Succès">
      <formula>NOT(ISERROR(SEARCH("Succès",H697)))</formula>
    </cfRule>
  </conditionalFormatting>
  <conditionalFormatting sqref="H701:H702">
    <cfRule type="containsText" dxfId="126" priority="37" operator="containsText" text="Echec">
      <formula>NOT(ISERROR(SEARCH("Echec",H701)))</formula>
    </cfRule>
    <cfRule type="containsText" dxfId="125" priority="38" operator="containsText" text="Succès">
      <formula>NOT(ISERROR(SEARCH("Succès",H701)))</formula>
    </cfRule>
  </conditionalFormatting>
  <conditionalFormatting sqref="H705:H727">
    <cfRule type="containsText" dxfId="124" priority="31" operator="containsText" text="Echec">
      <formula>NOT(ISERROR(SEARCH("Echec",H705)))</formula>
    </cfRule>
    <cfRule type="containsText" dxfId="123" priority="32" operator="containsText" text="Succès">
      <formula>NOT(ISERROR(SEARCH("Succès",H705)))</formula>
    </cfRule>
  </conditionalFormatting>
  <conditionalFormatting sqref="H45:H48">
    <cfRule type="containsText" dxfId="122" priority="25" operator="containsText" text="Echec">
      <formula>NOT(ISERROR(SEARCH("Echec",H45)))</formula>
    </cfRule>
    <cfRule type="containsText" dxfId="121" priority="26" operator="containsText" text="Succès">
      <formula>NOT(ISERROR(SEARCH("Succès",H45)))</formula>
    </cfRule>
  </conditionalFormatting>
  <conditionalFormatting sqref="H49:H50">
    <cfRule type="containsText" dxfId="120" priority="22" operator="containsText" text="Echec">
      <formula>NOT(ISERROR(SEARCH("Echec",H49)))</formula>
    </cfRule>
    <cfRule type="containsText" dxfId="119" priority="23" operator="containsText" text="Succès">
      <formula>NOT(ISERROR(SEARCH("Succès",H49)))</formula>
    </cfRule>
  </conditionalFormatting>
  <conditionalFormatting sqref="H51">
    <cfRule type="containsText" dxfId="118" priority="19" operator="containsText" text="Echec">
      <formula>NOT(ISERROR(SEARCH("Echec",H51)))</formula>
    </cfRule>
    <cfRule type="containsText" dxfId="117" priority="20" operator="containsText" text="Succès">
      <formula>NOT(ISERROR(SEARCH("Succès",H51)))</formula>
    </cfRule>
  </conditionalFormatting>
  <conditionalFormatting sqref="H57:H60">
    <cfRule type="containsText" dxfId="116" priority="16" operator="containsText" text="Echec">
      <formula>NOT(ISERROR(SEARCH("Echec",H57)))</formula>
    </cfRule>
    <cfRule type="containsText" dxfId="115" priority="17" operator="containsText" text="Succès">
      <formula>NOT(ISERROR(SEARCH("Succès",H57)))</formula>
    </cfRule>
  </conditionalFormatting>
  <conditionalFormatting sqref="H61:H62">
    <cfRule type="containsText" dxfId="114" priority="13" operator="containsText" text="Echec">
      <formula>NOT(ISERROR(SEARCH("Echec",H61)))</formula>
    </cfRule>
    <cfRule type="containsText" dxfId="113" priority="14" operator="containsText" text="Succès">
      <formula>NOT(ISERROR(SEARCH("Succès",H61)))</formula>
    </cfRule>
  </conditionalFormatting>
  <conditionalFormatting sqref="H63">
    <cfRule type="containsText" dxfId="112" priority="10" operator="containsText" text="Echec">
      <formula>NOT(ISERROR(SEARCH("Echec",H63)))</formula>
    </cfRule>
    <cfRule type="containsText" dxfId="111" priority="11" operator="containsText" text="Succès">
      <formula>NOT(ISERROR(SEARCH("Succès",H63)))</formula>
    </cfRule>
  </conditionalFormatting>
  <conditionalFormatting sqref="H376">
    <cfRule type="containsText" dxfId="110" priority="7" operator="containsText" text="Echec">
      <formula>NOT(ISERROR(SEARCH("Echec",H376)))</formula>
    </cfRule>
    <cfRule type="containsText" dxfId="109" priority="8" operator="containsText" text="Succès">
      <formula>NOT(ISERROR(SEARCH("Succès",H376)))</formula>
    </cfRule>
  </conditionalFormatting>
  <conditionalFormatting sqref="H374">
    <cfRule type="containsText" dxfId="108" priority="4" operator="containsText" text="Echec">
      <formula>NOT(ISERROR(SEARCH("Echec",H374)))</formula>
    </cfRule>
    <cfRule type="containsText" dxfId="107" priority="5" operator="containsText" text="Succès">
      <formula>NOT(ISERROR(SEARCH("Succès",H374)))</formula>
    </cfRule>
  </conditionalFormatting>
  <conditionalFormatting sqref="H293">
    <cfRule type="containsText" dxfId="106" priority="1" operator="containsText" text="Echec">
      <formula>NOT(ISERROR(SEARCH("Echec",H293)))</formula>
    </cfRule>
    <cfRule type="containsText" dxfId="105" priority="2" operator="containsText" text="Succès">
      <formula>NOT(ISERROR(SEARCH("Succès",H293)))</formula>
    </cfRule>
  </conditionalFormatting>
  <hyperlinks>
    <hyperlink ref="F137" location="'Règles Métiers'!A37" display="RM_GU_SU_10" xr:uid="{62446807-01D1-471C-9EE1-A0E661218CF1}"/>
  </hyperlinks>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containsText" priority="416" operator="containsText" id="{B328B0A4-1464-4372-89D7-289B19F3915A}">
            <xm:f>NOT(ISERROR(SEARCH($H$78:$H$98=Paramétrages!$B$2,H78)))</xm:f>
            <xm:f>$H$78:$H$98=Paramétrages!$B$2</xm:f>
            <x14:dxf>
              <fill>
                <patternFill>
                  <bgColor theme="7"/>
                </patternFill>
              </fill>
            </x14:dxf>
          </x14:cfRule>
          <xm:sqref>H346 H351:H354 H389:H392 H401:H418 H421:H446 H471:H478 H481:H487 H490:H496 H78:H80 H464:H468 H509:H510 H551:H553 H585:H586 H602:H612 H648:H650 H530:H540 H615:H618 H499:H506 H659:H660 H683:H696 H515:H522 H662:H677 H680:H681 H84 H94:H100 H110:H114 H131:H256 H258:H292 H323:H342 H344 H296:H308 H311:H312 H369:H371 H362:H364 H456:H462 H377:H378 H294</xm:sqref>
        </x14:conditionalFormatting>
        <x14:conditionalFormatting xmlns:xm="http://schemas.microsoft.com/office/excel/2006/main">
          <x14:cfRule type="containsText" priority="411" operator="containsText" id="{FEBBA231-630E-4325-8764-008101ADE531}">
            <xm:f>NOT(ISERROR(SEARCH($H$78:$H$98=Paramétrages!$B$2,H345)))</xm:f>
            <xm:f>$H$78:$H$98=Paramétrages!$B$2</xm:f>
            <x14:dxf>
              <fill>
                <patternFill>
                  <bgColor theme="7"/>
                </patternFill>
              </fill>
            </x14:dxf>
          </x14:cfRule>
          <xm:sqref>H345</xm:sqref>
        </x14:conditionalFormatting>
        <x14:conditionalFormatting xmlns:xm="http://schemas.microsoft.com/office/excel/2006/main">
          <x14:cfRule type="containsText" priority="405" operator="containsText" id="{234650C8-EA13-4788-BE22-1CDAEA5C55DA}">
            <xm:f>NOT(ISERROR(SEARCH($H$78:$H$98=Paramétrages!$B$2,H355)))</xm:f>
            <xm:f>$H$78:$H$98=Paramétrages!$B$2</xm:f>
            <x14:dxf>
              <fill>
                <patternFill>
                  <bgColor theme="7"/>
                </patternFill>
              </fill>
            </x14:dxf>
          </x14:cfRule>
          <xm:sqref>H355:H360</xm:sqref>
        </x14:conditionalFormatting>
        <x14:conditionalFormatting xmlns:xm="http://schemas.microsoft.com/office/excel/2006/main">
          <x14:cfRule type="containsText" priority="402" operator="containsText" id="{1F55D7D5-0D3D-4B94-9D81-BF39BE42E709}">
            <xm:f>NOT(ISERROR(SEARCH($H$78:$H$98=Paramétrages!$B$2,H367)))</xm:f>
            <xm:f>$H$78:$H$98=Paramétrages!$B$2</xm:f>
            <x14:dxf>
              <fill>
                <patternFill>
                  <bgColor theme="7"/>
                </patternFill>
              </fill>
            </x14:dxf>
          </x14:cfRule>
          <xm:sqref>H367:H368</xm:sqref>
        </x14:conditionalFormatting>
        <x14:conditionalFormatting xmlns:xm="http://schemas.microsoft.com/office/excel/2006/main">
          <x14:cfRule type="containsText" priority="396" operator="containsText" id="{48C03C7E-E111-4460-BE37-F724C929129F}">
            <xm:f>NOT(ISERROR(SEARCH($H$78:$H$98=Paramétrages!$B$2,H379)))</xm:f>
            <xm:f>$H$78:$H$98=Paramétrages!$B$2</xm:f>
            <x14:dxf>
              <fill>
                <patternFill>
                  <bgColor theme="7"/>
                </patternFill>
              </fill>
            </x14:dxf>
          </x14:cfRule>
          <xm:sqref>H379:H380</xm:sqref>
        </x14:conditionalFormatting>
        <x14:conditionalFormatting xmlns:xm="http://schemas.microsoft.com/office/excel/2006/main">
          <x14:cfRule type="containsText" priority="393" operator="containsText" id="{A5107EDD-3E54-4958-8B94-8C291B75FED6}">
            <xm:f>NOT(ISERROR(SEARCH($H$78:$H$98=Paramétrages!$B$2,H381)))</xm:f>
            <xm:f>$H$78:$H$98=Paramétrages!$B$2</xm:f>
            <x14:dxf>
              <fill>
                <patternFill>
                  <bgColor theme="7"/>
                </patternFill>
              </fill>
            </x14:dxf>
          </x14:cfRule>
          <xm:sqref>H381:H388</xm:sqref>
        </x14:conditionalFormatting>
        <x14:conditionalFormatting xmlns:xm="http://schemas.microsoft.com/office/excel/2006/main">
          <x14:cfRule type="containsText" priority="390" operator="containsText" id="{B43F10B0-0C12-48B0-8BCA-8592071E64F2}">
            <xm:f>NOT(ISERROR(SEARCH($H$78:$H$98=Paramétrages!$B$2,H347)))</xm:f>
            <xm:f>$H$78:$H$98=Paramétrages!$B$2</xm:f>
            <x14:dxf>
              <fill>
                <patternFill>
                  <bgColor theme="7"/>
                </patternFill>
              </fill>
            </x14:dxf>
          </x14:cfRule>
          <xm:sqref>H347:H350</xm:sqref>
        </x14:conditionalFormatting>
        <x14:conditionalFormatting xmlns:xm="http://schemas.microsoft.com/office/excel/2006/main">
          <x14:cfRule type="containsText" priority="381" operator="containsText" id="{543990C8-CCD1-48AB-9A90-2966E98276E2}">
            <xm:f>NOT(ISERROR(SEARCH($H$78:$H$98=Paramétrages!$B$2,H419)))</xm:f>
            <xm:f>$H$78:$H$98=Paramétrages!$B$2</xm:f>
            <x14:dxf>
              <fill>
                <patternFill>
                  <bgColor theme="7"/>
                </patternFill>
              </fill>
            </x14:dxf>
          </x14:cfRule>
          <xm:sqref>H419:H420</xm:sqref>
        </x14:conditionalFormatting>
        <x14:conditionalFormatting xmlns:xm="http://schemas.microsoft.com/office/excel/2006/main">
          <x14:cfRule type="containsText" priority="369" operator="containsText" id="{DED49AAB-AB85-4DFA-B2BB-3BBEBC8BD690}">
            <xm:f>NOT(ISERROR(SEARCH($H$78:$H$98=Paramétrages!$B$2,H447)))</xm:f>
            <xm:f>$H$78:$H$98=Paramétrages!$B$2</xm:f>
            <x14:dxf>
              <fill>
                <patternFill>
                  <bgColor theme="7"/>
                </patternFill>
              </fill>
            </x14:dxf>
          </x14:cfRule>
          <xm:sqref>H447:H454</xm:sqref>
        </x14:conditionalFormatting>
        <x14:conditionalFormatting xmlns:xm="http://schemas.microsoft.com/office/excel/2006/main">
          <x14:cfRule type="containsText" priority="366" operator="containsText" id="{CD159064-D8D8-438F-9D9A-D9549FD9C7E8}">
            <xm:f>NOT(ISERROR(SEARCH($H$78:$H$98=Paramétrages!$B$2,H393)))</xm:f>
            <xm:f>$H$78:$H$98=Paramétrages!$B$2</xm:f>
            <x14:dxf>
              <fill>
                <patternFill>
                  <bgColor theme="7"/>
                </patternFill>
              </fill>
            </x14:dxf>
          </x14:cfRule>
          <xm:sqref>H393:H400</xm:sqref>
        </x14:conditionalFormatting>
        <x14:conditionalFormatting xmlns:xm="http://schemas.microsoft.com/office/excel/2006/main">
          <x14:cfRule type="containsText" priority="363" operator="containsText" id="{FA961935-2C09-4690-92B3-781A35C92D1D}">
            <xm:f>NOT(ISERROR(SEARCH($H$78:$H$98=Paramétrages!$B$2,H463)))</xm:f>
            <xm:f>$H$78:$H$98=Paramétrages!$B$2</xm:f>
            <x14:dxf>
              <fill>
                <patternFill>
                  <bgColor theme="7"/>
                </patternFill>
              </fill>
            </x14:dxf>
          </x14:cfRule>
          <xm:sqref>H463</xm:sqref>
        </x14:conditionalFormatting>
        <x14:conditionalFormatting xmlns:xm="http://schemas.microsoft.com/office/excel/2006/main">
          <x14:cfRule type="containsText" priority="357" operator="containsText" id="{3543F192-C90C-4F22-A4CB-CC5A6ED57194}">
            <xm:f>NOT(ISERROR(SEARCH($H$78:$H$98=Paramétrages!$B$2,H469)))</xm:f>
            <xm:f>$H$78:$H$98=Paramétrages!$B$2</xm:f>
            <x14:dxf>
              <fill>
                <patternFill>
                  <bgColor theme="7"/>
                </patternFill>
              </fill>
            </x14:dxf>
          </x14:cfRule>
          <xm:sqref>H469:H470</xm:sqref>
        </x14:conditionalFormatting>
        <x14:conditionalFormatting xmlns:xm="http://schemas.microsoft.com/office/excel/2006/main">
          <x14:cfRule type="containsText" priority="348" operator="containsText" id="{E68ED99E-EC99-44D3-B3F1-EFF52736B9A1}">
            <xm:f>NOT(ISERROR(SEARCH($H$78:$H$98=Paramétrages!$B$2,H479)))</xm:f>
            <xm:f>$H$78:$H$98=Paramétrages!$B$2</xm:f>
            <x14:dxf>
              <fill>
                <patternFill>
                  <bgColor theme="7"/>
                </patternFill>
              </fill>
            </x14:dxf>
          </x14:cfRule>
          <xm:sqref>H479:H480</xm:sqref>
        </x14:conditionalFormatting>
        <x14:conditionalFormatting xmlns:xm="http://schemas.microsoft.com/office/excel/2006/main">
          <x14:cfRule type="containsText" priority="342" operator="containsText" id="{7866D6FE-B712-40FA-868E-7AB34753A1BC}">
            <xm:f>NOT(ISERROR(SEARCH($H$78:$H$98=Paramétrages!$B$2,H488)))</xm:f>
            <xm:f>$H$78:$H$98=Paramétrages!$B$2</xm:f>
            <x14:dxf>
              <fill>
                <patternFill>
                  <bgColor theme="7"/>
                </patternFill>
              </fill>
            </x14:dxf>
          </x14:cfRule>
          <xm:sqref>H488:H489</xm:sqref>
        </x14:conditionalFormatting>
        <x14:conditionalFormatting xmlns:xm="http://schemas.microsoft.com/office/excel/2006/main">
          <x14:cfRule type="containsText" priority="336" operator="containsText" id="{CCE97447-F289-47E6-B8C5-76A16007D74F}">
            <xm:f>NOT(ISERROR(SEARCH($H$78:$H$98=Paramétrages!$B$2,H497)))</xm:f>
            <xm:f>$H$78:$H$98=Paramétrages!$B$2</xm:f>
            <x14:dxf>
              <fill>
                <patternFill>
                  <bgColor theme="7"/>
                </patternFill>
              </fill>
            </x14:dxf>
          </x14:cfRule>
          <xm:sqref>H497:H498</xm:sqref>
        </x14:conditionalFormatting>
        <x14:conditionalFormatting xmlns:xm="http://schemas.microsoft.com/office/excel/2006/main">
          <x14:cfRule type="containsText" priority="324" operator="containsText" id="{AEB35212-CBD8-4EF3-AA6D-AC2DE4D40E24}">
            <xm:f>NOT(ISERROR(SEARCH($H$78:$H$98=Paramétrages!$B$2,H675)))</xm:f>
            <xm:f>$H$78:$H$98=Paramétrages!$B$2</xm:f>
            <x14:dxf>
              <fill>
                <patternFill>
                  <bgColor theme="7"/>
                </patternFill>
              </fill>
            </x14:dxf>
          </x14:cfRule>
          <xm:sqref>H675:H676</xm:sqref>
        </x14:conditionalFormatting>
        <x14:conditionalFormatting xmlns:xm="http://schemas.microsoft.com/office/excel/2006/main">
          <x14:cfRule type="containsText" priority="297" operator="containsText" id="{998C5F75-B525-4179-ABBE-92FB85D6E83A}">
            <xm:f>NOT(ISERROR(SEARCH($H$78:$H$98=Paramétrages!$B$2,H508)))</xm:f>
            <xm:f>$H$78:$H$98=Paramétrages!$B$2</xm:f>
            <x14:dxf>
              <fill>
                <patternFill>
                  <bgColor theme="7"/>
                </patternFill>
              </fill>
            </x14:dxf>
          </x14:cfRule>
          <xm:sqref>H508</xm:sqref>
        </x14:conditionalFormatting>
        <x14:conditionalFormatting xmlns:xm="http://schemas.microsoft.com/office/excel/2006/main">
          <x14:cfRule type="containsText" priority="294" operator="containsText" id="{4C26DCD6-19E1-4BDE-A9A1-1108C15C10E3}">
            <xm:f>NOT(ISERROR(SEARCH($H$78:$H$98=Paramétrages!$B$2,H507)))</xm:f>
            <xm:f>$H$78:$H$98=Paramétrages!$B$2</xm:f>
            <x14:dxf>
              <fill>
                <patternFill>
                  <bgColor theme="7"/>
                </patternFill>
              </fill>
            </x14:dxf>
          </x14:cfRule>
          <xm:sqref>H507</xm:sqref>
        </x14:conditionalFormatting>
        <x14:conditionalFormatting xmlns:xm="http://schemas.microsoft.com/office/excel/2006/main">
          <x14:cfRule type="containsText" priority="288" operator="containsText" id="{AB2F2B5F-367D-4538-B7A7-1DECE4BBD4D6}">
            <xm:f>NOT(ISERROR(SEARCH($H$78:$H$98=Paramétrages!$B$2,H511)))</xm:f>
            <xm:f>$H$78:$H$98=Paramétrages!$B$2</xm:f>
            <x14:dxf>
              <fill>
                <patternFill>
                  <bgColor theme="7"/>
                </patternFill>
              </fill>
            </x14:dxf>
          </x14:cfRule>
          <xm:sqref>H511:H512</xm:sqref>
        </x14:conditionalFormatting>
        <x14:conditionalFormatting xmlns:xm="http://schemas.microsoft.com/office/excel/2006/main">
          <x14:cfRule type="containsText" priority="285" operator="containsText" id="{565EBE42-DFCC-45E6-AC60-51CE079FD0D1}">
            <xm:f>NOT(ISERROR(SEARCH($H$78:$H$98=Paramétrages!$B$2,H513)))</xm:f>
            <xm:f>$H$78:$H$98=Paramétrages!$B$2</xm:f>
            <x14:dxf>
              <fill>
                <patternFill>
                  <bgColor theme="7"/>
                </patternFill>
              </fill>
            </x14:dxf>
          </x14:cfRule>
          <xm:sqref>H513:H514</xm:sqref>
        </x14:conditionalFormatting>
        <x14:conditionalFormatting xmlns:xm="http://schemas.microsoft.com/office/excel/2006/main">
          <x14:cfRule type="containsText" priority="258" operator="containsText" id="{1AB28622-642D-4BE1-A7A0-C91B81570CB5}">
            <xm:f>NOT(ISERROR(SEARCH($H$78:$H$98=Paramétrages!$B$2,H542)))</xm:f>
            <xm:f>$H$78:$H$98=Paramétrages!$B$2</xm:f>
            <x14:dxf>
              <fill>
                <patternFill>
                  <bgColor theme="7"/>
                </patternFill>
              </fill>
            </x14:dxf>
          </x14:cfRule>
          <xm:sqref>H542</xm:sqref>
        </x14:conditionalFormatting>
        <x14:conditionalFormatting xmlns:xm="http://schemas.microsoft.com/office/excel/2006/main">
          <x14:cfRule type="containsText" priority="279" operator="containsText" id="{6EA72A3C-DF4C-4192-852A-E0DAAE6275E4}">
            <xm:f>NOT(ISERROR(SEARCH($H$78:$H$98=Paramétrages!$B$2,H524)))</xm:f>
            <xm:f>$H$78:$H$98=Paramétrages!$B$2</xm:f>
            <x14:dxf>
              <fill>
                <patternFill>
                  <bgColor theme="7"/>
                </patternFill>
              </fill>
            </x14:dxf>
          </x14:cfRule>
          <xm:sqref>H524</xm:sqref>
        </x14:conditionalFormatting>
        <x14:conditionalFormatting xmlns:xm="http://schemas.microsoft.com/office/excel/2006/main">
          <x14:cfRule type="containsText" priority="276" operator="containsText" id="{18363A9C-8447-4810-ACF5-2912FBE80314}">
            <xm:f>NOT(ISERROR(SEARCH($H$78:$H$98=Paramétrages!$B$2,H523)))</xm:f>
            <xm:f>$H$78:$H$98=Paramétrages!$B$2</xm:f>
            <x14:dxf>
              <fill>
                <patternFill>
                  <bgColor theme="7"/>
                </patternFill>
              </fill>
            </x14:dxf>
          </x14:cfRule>
          <xm:sqref>H523</xm:sqref>
        </x14:conditionalFormatting>
        <x14:conditionalFormatting xmlns:xm="http://schemas.microsoft.com/office/excel/2006/main">
          <x14:cfRule type="containsText" priority="273" operator="containsText" id="{32B340F4-1A46-496D-838F-5BC442E07BD5}">
            <xm:f>NOT(ISERROR(SEARCH($H$78:$H$98=Paramétrages!$B$2,H527)))</xm:f>
            <xm:f>$H$78:$H$98=Paramétrages!$B$2</xm:f>
            <x14:dxf>
              <fill>
                <patternFill>
                  <bgColor theme="7"/>
                </patternFill>
              </fill>
            </x14:dxf>
          </x14:cfRule>
          <xm:sqref>H527:H528</xm:sqref>
        </x14:conditionalFormatting>
        <x14:conditionalFormatting xmlns:xm="http://schemas.microsoft.com/office/excel/2006/main">
          <x14:cfRule type="containsText" priority="270" operator="containsText" id="{98E59BCE-B721-4F7F-95D0-0FCE69859444}">
            <xm:f>NOT(ISERROR(SEARCH($H$78:$H$98=Paramétrages!$B$2,H529)))</xm:f>
            <xm:f>$H$78:$H$98=Paramétrages!$B$2</xm:f>
            <x14:dxf>
              <fill>
                <patternFill>
                  <bgColor theme="7"/>
                </patternFill>
              </fill>
            </x14:dxf>
          </x14:cfRule>
          <xm:sqref>H529</xm:sqref>
        </x14:conditionalFormatting>
        <x14:conditionalFormatting xmlns:xm="http://schemas.microsoft.com/office/excel/2006/main">
          <x14:cfRule type="containsText" priority="264" operator="containsText" id="{59BC2508-924A-46C8-BC40-F39D22F864B7}">
            <xm:f>NOT(ISERROR(SEARCH($H$78:$H$98=Paramétrages!$B$2,H525)))</xm:f>
            <xm:f>$H$78:$H$98=Paramétrages!$B$2</xm:f>
            <x14:dxf>
              <fill>
                <patternFill>
                  <bgColor theme="7"/>
                </patternFill>
              </fill>
            </x14:dxf>
          </x14:cfRule>
          <xm:sqref>H525:H526</xm:sqref>
        </x14:conditionalFormatting>
        <x14:conditionalFormatting xmlns:xm="http://schemas.microsoft.com/office/excel/2006/main">
          <x14:cfRule type="containsText" priority="261" operator="containsText" id="{1ADF6CE6-E51B-47C0-8223-5EC62FC69D26}">
            <xm:f>NOT(ISERROR(SEARCH($H$78:$H$98=Paramétrages!$B$2,H548)))</xm:f>
            <xm:f>$H$78:$H$98=Paramétrages!$B$2</xm:f>
            <x14:dxf>
              <fill>
                <patternFill>
                  <bgColor theme="7"/>
                </patternFill>
              </fill>
            </x14:dxf>
          </x14:cfRule>
          <xm:sqref>H548</xm:sqref>
        </x14:conditionalFormatting>
        <x14:conditionalFormatting xmlns:xm="http://schemas.microsoft.com/office/excel/2006/main">
          <x14:cfRule type="containsText" priority="237" operator="containsText" id="{AD76ACF1-0EF2-40A2-A318-B4D12C662CD0}">
            <xm:f>NOT(ISERROR(SEARCH($H$78:$H$98=Paramétrages!$B$2,H555)))</xm:f>
            <xm:f>$H$78:$H$98=Paramétrages!$B$2</xm:f>
            <x14:dxf>
              <fill>
                <patternFill>
                  <bgColor theme="7"/>
                </patternFill>
              </fill>
            </x14:dxf>
          </x14:cfRule>
          <xm:sqref>H555</xm:sqref>
        </x14:conditionalFormatting>
        <x14:conditionalFormatting xmlns:xm="http://schemas.microsoft.com/office/excel/2006/main">
          <x14:cfRule type="containsText" priority="255" operator="containsText" id="{D05BA8CC-E395-4E85-8470-BE4130CB6994}">
            <xm:f>NOT(ISERROR(SEARCH($H$78:$H$98=Paramétrages!$B$2,H541)))</xm:f>
            <xm:f>$H$78:$H$98=Paramétrages!$B$2</xm:f>
            <x14:dxf>
              <fill>
                <patternFill>
                  <bgColor theme="7"/>
                </patternFill>
              </fill>
            </x14:dxf>
          </x14:cfRule>
          <xm:sqref>H541</xm:sqref>
        </x14:conditionalFormatting>
        <x14:conditionalFormatting xmlns:xm="http://schemas.microsoft.com/office/excel/2006/main">
          <x14:cfRule type="containsText" priority="252" operator="containsText" id="{C1F05BBA-DE8E-4443-81B9-CCC207EDCBCF}">
            <xm:f>NOT(ISERROR(SEARCH($H$78:$H$98=Paramétrages!$B$2,H545)))</xm:f>
            <xm:f>$H$78:$H$98=Paramétrages!$B$2</xm:f>
            <x14:dxf>
              <fill>
                <patternFill>
                  <bgColor theme="7"/>
                </patternFill>
              </fill>
            </x14:dxf>
          </x14:cfRule>
          <xm:sqref>H545:H546</xm:sqref>
        </x14:conditionalFormatting>
        <x14:conditionalFormatting xmlns:xm="http://schemas.microsoft.com/office/excel/2006/main">
          <x14:cfRule type="containsText" priority="249" operator="containsText" id="{A16FC83C-B3CE-41A4-A9B1-E28DAA242016}">
            <xm:f>NOT(ISERROR(SEARCH($H$78:$H$98=Paramétrages!$B$2,H547)))</xm:f>
            <xm:f>$H$78:$H$98=Paramétrages!$B$2</xm:f>
            <x14:dxf>
              <fill>
                <patternFill>
                  <bgColor theme="7"/>
                </patternFill>
              </fill>
            </x14:dxf>
          </x14:cfRule>
          <xm:sqref>H547</xm:sqref>
        </x14:conditionalFormatting>
        <x14:conditionalFormatting xmlns:xm="http://schemas.microsoft.com/office/excel/2006/main">
          <x14:cfRule type="containsText" priority="246" operator="containsText" id="{8BA5FF2A-5470-4673-B159-96D7FC8A4150}">
            <xm:f>NOT(ISERROR(SEARCH($H$78:$H$98=Paramétrages!$B$2,H549)))</xm:f>
            <xm:f>$H$78:$H$98=Paramétrages!$B$2</xm:f>
            <x14:dxf>
              <fill>
                <patternFill>
                  <bgColor theme="7"/>
                </patternFill>
              </fill>
            </x14:dxf>
          </x14:cfRule>
          <xm:sqref>H549:H550</xm:sqref>
        </x14:conditionalFormatting>
        <x14:conditionalFormatting xmlns:xm="http://schemas.microsoft.com/office/excel/2006/main">
          <x14:cfRule type="containsText" priority="243" operator="containsText" id="{BB69DE49-ADBB-45E0-A089-32BA95A1CFF0}">
            <xm:f>NOT(ISERROR(SEARCH($H$78:$H$98=Paramétrages!$B$2,H543)))</xm:f>
            <xm:f>$H$78:$H$98=Paramétrages!$B$2</xm:f>
            <x14:dxf>
              <fill>
                <patternFill>
                  <bgColor theme="7"/>
                </patternFill>
              </fill>
            </x14:dxf>
          </x14:cfRule>
          <xm:sqref>H543:H544</xm:sqref>
        </x14:conditionalFormatting>
        <x14:conditionalFormatting xmlns:xm="http://schemas.microsoft.com/office/excel/2006/main">
          <x14:cfRule type="containsText" priority="228" operator="containsText" id="{7716ACDD-C86E-41BC-94B9-21E0751DF6BF}">
            <xm:f>NOT(ISERROR(SEARCH($H$78:$H$98=Paramétrages!$B$2,H560)))</xm:f>
            <xm:f>$H$78:$H$98=Paramétrages!$B$2</xm:f>
            <x14:dxf>
              <fill>
                <patternFill>
                  <bgColor theme="7"/>
                </patternFill>
              </fill>
            </x14:dxf>
          </x14:cfRule>
          <xm:sqref>H560</xm:sqref>
        </x14:conditionalFormatting>
        <x14:conditionalFormatting xmlns:xm="http://schemas.microsoft.com/office/excel/2006/main">
          <x14:cfRule type="containsText" priority="240" operator="containsText" id="{363B1110-09FE-4B32-B0AE-779B0D34BF90}">
            <xm:f>NOT(ISERROR(SEARCH($H$78:$H$98=Paramétrages!$B$2,H561)))</xm:f>
            <xm:f>$H$78:$H$98=Paramétrages!$B$2</xm:f>
            <x14:dxf>
              <fill>
                <patternFill>
                  <bgColor theme="7"/>
                </patternFill>
              </fill>
            </x14:dxf>
          </x14:cfRule>
          <xm:sqref>H561</xm:sqref>
        </x14:conditionalFormatting>
        <x14:conditionalFormatting xmlns:xm="http://schemas.microsoft.com/office/excel/2006/main">
          <x14:cfRule type="containsText" priority="234" operator="containsText" id="{5CC9E2E8-771A-4383-A700-7BCE6B024EA6}">
            <xm:f>NOT(ISERROR(SEARCH($H$78:$H$98=Paramétrages!$B$2,H554)))</xm:f>
            <xm:f>$H$78:$H$98=Paramétrages!$B$2</xm:f>
            <x14:dxf>
              <fill>
                <patternFill>
                  <bgColor theme="7"/>
                </patternFill>
              </fill>
            </x14:dxf>
          </x14:cfRule>
          <xm:sqref>H554</xm:sqref>
        </x14:conditionalFormatting>
        <x14:conditionalFormatting xmlns:xm="http://schemas.microsoft.com/office/excel/2006/main">
          <x14:cfRule type="containsText" priority="231" operator="containsText" id="{DF56D19C-4D1F-4325-B099-D2963E5B3AD3}">
            <xm:f>NOT(ISERROR(SEARCH($H$78:$H$98=Paramétrages!$B$2,H558)))</xm:f>
            <xm:f>$H$78:$H$98=Paramétrages!$B$2</xm:f>
            <x14:dxf>
              <fill>
                <patternFill>
                  <bgColor theme="7"/>
                </patternFill>
              </fill>
            </x14:dxf>
          </x14:cfRule>
          <xm:sqref>H558:H559</xm:sqref>
        </x14:conditionalFormatting>
        <x14:conditionalFormatting xmlns:xm="http://schemas.microsoft.com/office/excel/2006/main">
          <x14:cfRule type="containsText" priority="225" operator="containsText" id="{E99D39EF-A471-4B0C-B935-E69516F99FD6}">
            <xm:f>NOT(ISERROR(SEARCH($H$78:$H$98=Paramétrages!$B$2,H562)))</xm:f>
            <xm:f>$H$78:$H$98=Paramétrages!$B$2</xm:f>
            <x14:dxf>
              <fill>
                <patternFill>
                  <bgColor theme="7"/>
                </patternFill>
              </fill>
            </x14:dxf>
          </x14:cfRule>
          <xm:sqref>H562:H584</xm:sqref>
        </x14:conditionalFormatting>
        <x14:conditionalFormatting xmlns:xm="http://schemas.microsoft.com/office/excel/2006/main">
          <x14:cfRule type="containsText" priority="222" operator="containsText" id="{67D9BA4E-A597-44CC-A0AE-83959E62A193}">
            <xm:f>NOT(ISERROR(SEARCH($H$78:$H$98=Paramétrages!$B$2,H556)))</xm:f>
            <xm:f>$H$78:$H$98=Paramétrages!$B$2</xm:f>
            <x14:dxf>
              <fill>
                <patternFill>
                  <bgColor theme="7"/>
                </patternFill>
              </fill>
            </x14:dxf>
          </x14:cfRule>
          <xm:sqref>H556:H557</xm:sqref>
        </x14:conditionalFormatting>
        <x14:conditionalFormatting xmlns:xm="http://schemas.microsoft.com/office/excel/2006/main">
          <x14:cfRule type="containsText" priority="219" operator="containsText" id="{8928AE0A-4CE8-4D6F-843A-55C1D65ABFA9}">
            <xm:f>NOT(ISERROR(SEARCH($H$78:$H$98=Paramétrages!$B$2,H588)))</xm:f>
            <xm:f>$H$78:$H$98=Paramétrages!$B$2</xm:f>
            <x14:dxf>
              <fill>
                <patternFill>
                  <bgColor theme="7"/>
                </patternFill>
              </fill>
            </x14:dxf>
          </x14:cfRule>
          <xm:sqref>H588</xm:sqref>
        </x14:conditionalFormatting>
        <x14:conditionalFormatting xmlns:xm="http://schemas.microsoft.com/office/excel/2006/main">
          <x14:cfRule type="containsText" priority="216" operator="containsText" id="{A5CF935E-81AA-42F0-B797-9B0C4A9A8B0A}">
            <xm:f>NOT(ISERROR(SEARCH($H$78:$H$98=Paramétrages!$B$2,H587)))</xm:f>
            <xm:f>$H$78:$H$98=Paramétrages!$B$2</xm:f>
            <x14:dxf>
              <fill>
                <patternFill>
                  <bgColor theme="7"/>
                </patternFill>
              </fill>
            </x14:dxf>
          </x14:cfRule>
          <xm:sqref>H587</xm:sqref>
        </x14:conditionalFormatting>
        <x14:conditionalFormatting xmlns:xm="http://schemas.microsoft.com/office/excel/2006/main">
          <x14:cfRule type="containsText" priority="213" operator="containsText" id="{0F928875-2C3A-472A-B07F-FF0A54EE9156}">
            <xm:f>NOT(ISERROR(SEARCH($H$78:$H$98=Paramétrages!$B$2,H589)))</xm:f>
            <xm:f>$H$78:$H$98=Paramétrages!$B$2</xm:f>
            <x14:dxf>
              <fill>
                <patternFill>
                  <bgColor theme="7"/>
                </patternFill>
              </fill>
            </x14:dxf>
          </x14:cfRule>
          <xm:sqref>H589:H600</xm:sqref>
        </x14:conditionalFormatting>
        <x14:conditionalFormatting xmlns:xm="http://schemas.microsoft.com/office/excel/2006/main">
          <x14:cfRule type="containsText" priority="210" operator="containsText" id="{E321816B-B0DE-4429-A97C-04808C119A99}">
            <xm:f>NOT(ISERROR(SEARCH($H$78:$H$98=Paramétrages!$B$2,H601)))</xm:f>
            <xm:f>$H$78:$H$98=Paramétrages!$B$2</xm:f>
            <x14:dxf>
              <fill>
                <patternFill>
                  <bgColor theme="7"/>
                </patternFill>
              </fill>
            </x14:dxf>
          </x14:cfRule>
          <xm:sqref>H601</xm:sqref>
        </x14:conditionalFormatting>
        <x14:conditionalFormatting xmlns:xm="http://schemas.microsoft.com/office/excel/2006/main">
          <x14:cfRule type="containsText" priority="207" operator="containsText" id="{23890AA8-F2C7-4FAF-9E82-7E049AC71995}">
            <xm:f>NOT(ISERROR(SEARCH($H$78:$H$98=Paramétrages!$B$2,H620)))</xm:f>
            <xm:f>$H$78:$H$98=Paramétrages!$B$2</xm:f>
            <x14:dxf>
              <fill>
                <patternFill>
                  <bgColor theme="7"/>
                </patternFill>
              </fill>
            </x14:dxf>
          </x14:cfRule>
          <xm:sqref>H620</xm:sqref>
        </x14:conditionalFormatting>
        <x14:conditionalFormatting xmlns:xm="http://schemas.microsoft.com/office/excel/2006/main">
          <x14:cfRule type="containsText" priority="204" operator="containsText" id="{A22791A0-E316-4200-9511-FADDA343E56C}">
            <xm:f>NOT(ISERROR(SEARCH($H$78:$H$98=Paramétrages!$B$2,H619)))</xm:f>
            <xm:f>$H$78:$H$98=Paramétrages!$B$2</xm:f>
            <x14:dxf>
              <fill>
                <patternFill>
                  <bgColor theme="7"/>
                </patternFill>
              </fill>
            </x14:dxf>
          </x14:cfRule>
          <xm:sqref>H619</xm:sqref>
        </x14:conditionalFormatting>
        <x14:conditionalFormatting xmlns:xm="http://schemas.microsoft.com/office/excel/2006/main">
          <x14:cfRule type="containsText" priority="201" operator="containsText" id="{B5E80C89-B1F0-4209-A519-43EE1A81FB9E}">
            <xm:f>NOT(ISERROR(SEARCH($H$78:$H$98=Paramétrages!$B$2,H621)))</xm:f>
            <xm:f>$H$78:$H$98=Paramétrages!$B$2</xm:f>
            <x14:dxf>
              <fill>
                <patternFill>
                  <bgColor theme="7"/>
                </patternFill>
              </fill>
            </x14:dxf>
          </x14:cfRule>
          <xm:sqref>H621:H647</xm:sqref>
        </x14:conditionalFormatting>
        <x14:conditionalFormatting xmlns:xm="http://schemas.microsoft.com/office/excel/2006/main">
          <x14:cfRule type="containsText" priority="192" operator="containsText" id="{02682F82-AD89-406C-A2EF-C519CF13287A}">
            <xm:f>NOT(ISERROR(SEARCH($H$78:$H$98=Paramétrages!$B$2,H614)))</xm:f>
            <xm:f>$H$78:$H$98=Paramétrages!$B$2</xm:f>
            <x14:dxf>
              <fill>
                <patternFill>
                  <bgColor theme="7"/>
                </patternFill>
              </fill>
            </x14:dxf>
          </x14:cfRule>
          <xm:sqref>H614</xm:sqref>
        </x14:conditionalFormatting>
        <x14:conditionalFormatting xmlns:xm="http://schemas.microsoft.com/office/excel/2006/main">
          <x14:cfRule type="containsText" priority="189" operator="containsText" id="{96D43804-DB03-47EE-B2A4-3DF099490256}">
            <xm:f>NOT(ISERROR(SEARCH($H$78:$H$98=Paramétrages!$B$2,H613)))</xm:f>
            <xm:f>$H$78:$H$98=Paramétrages!$B$2</xm:f>
            <x14:dxf>
              <fill>
                <patternFill>
                  <bgColor theme="7"/>
                </patternFill>
              </fill>
            </x14:dxf>
          </x14:cfRule>
          <xm:sqref>H613</xm:sqref>
        </x14:conditionalFormatting>
        <x14:conditionalFormatting xmlns:xm="http://schemas.microsoft.com/office/excel/2006/main">
          <x14:cfRule type="containsText" priority="183" operator="containsText" id="{3F0C0260-B25F-4B05-AE01-B708D8527B7E}">
            <xm:f>NOT(ISERROR(SEARCH($H$78:$H$98=Paramétrages!$B$2,H652)))</xm:f>
            <xm:f>$H$78:$H$98=Paramétrages!$B$2</xm:f>
            <x14:dxf>
              <fill>
                <patternFill>
                  <bgColor theme="7"/>
                </patternFill>
              </fill>
            </x14:dxf>
          </x14:cfRule>
          <xm:sqref>H652</xm:sqref>
        </x14:conditionalFormatting>
        <x14:conditionalFormatting xmlns:xm="http://schemas.microsoft.com/office/excel/2006/main">
          <x14:cfRule type="containsText" priority="174" operator="containsText" id="{4D2717E8-5AD8-43EE-830C-EC9F95D86B31}">
            <xm:f>NOT(ISERROR(SEARCH($H$78:$H$98=Paramétrages!$B$2,H657)))</xm:f>
            <xm:f>$H$78:$H$98=Paramétrages!$B$2</xm:f>
            <x14:dxf>
              <fill>
                <patternFill>
                  <bgColor theme="7"/>
                </patternFill>
              </fill>
            </x14:dxf>
          </x14:cfRule>
          <xm:sqref>H657</xm:sqref>
        </x14:conditionalFormatting>
        <x14:conditionalFormatting xmlns:xm="http://schemas.microsoft.com/office/excel/2006/main">
          <x14:cfRule type="containsText" priority="186" operator="containsText" id="{73BE128F-560F-46B2-A619-C01254F61C33}">
            <xm:f>NOT(ISERROR(SEARCH($H$78:$H$98=Paramétrages!$B$2,H658)))</xm:f>
            <xm:f>$H$78:$H$98=Paramétrages!$B$2</xm:f>
            <x14:dxf>
              <fill>
                <patternFill>
                  <bgColor theme="7"/>
                </patternFill>
              </fill>
            </x14:dxf>
          </x14:cfRule>
          <xm:sqref>H658</xm:sqref>
        </x14:conditionalFormatting>
        <x14:conditionalFormatting xmlns:xm="http://schemas.microsoft.com/office/excel/2006/main">
          <x14:cfRule type="containsText" priority="180" operator="containsText" id="{978B0345-2DB7-4FF4-8ABA-661313256D14}">
            <xm:f>NOT(ISERROR(SEARCH($H$78:$H$98=Paramétrages!$B$2,H651)))</xm:f>
            <xm:f>$H$78:$H$98=Paramétrages!$B$2</xm:f>
            <x14:dxf>
              <fill>
                <patternFill>
                  <bgColor theme="7"/>
                </patternFill>
              </fill>
            </x14:dxf>
          </x14:cfRule>
          <xm:sqref>H651</xm:sqref>
        </x14:conditionalFormatting>
        <x14:conditionalFormatting xmlns:xm="http://schemas.microsoft.com/office/excel/2006/main">
          <x14:cfRule type="containsText" priority="177" operator="containsText" id="{34894DE3-3266-4FAB-86C6-12D80E84E875}">
            <xm:f>NOT(ISERROR(SEARCH($H$78:$H$98=Paramétrages!$B$2,H655)))</xm:f>
            <xm:f>$H$78:$H$98=Paramétrages!$B$2</xm:f>
            <x14:dxf>
              <fill>
                <patternFill>
                  <bgColor theme="7"/>
                </patternFill>
              </fill>
            </x14:dxf>
          </x14:cfRule>
          <xm:sqref>H655:H656</xm:sqref>
        </x14:conditionalFormatting>
        <x14:conditionalFormatting xmlns:xm="http://schemas.microsoft.com/office/excel/2006/main">
          <x14:cfRule type="containsText" priority="168" operator="containsText" id="{08867D59-8D0C-4591-AB74-398C0CD64AFD}">
            <xm:f>NOT(ISERROR(SEARCH($H$78:$H$98=Paramétrages!$B$2,H653)))</xm:f>
            <xm:f>$H$78:$H$98=Paramétrages!$B$2</xm:f>
            <x14:dxf>
              <fill>
                <patternFill>
                  <bgColor theme="7"/>
                </patternFill>
              </fill>
            </x14:dxf>
          </x14:cfRule>
          <xm:sqref>H653:H654</xm:sqref>
        </x14:conditionalFormatting>
        <x14:conditionalFormatting xmlns:xm="http://schemas.microsoft.com/office/excel/2006/main">
          <x14:cfRule type="containsText" priority="162" operator="containsText" id="{D4DC2109-BBFA-473F-837B-8FFD0AFA3CFB}">
            <xm:f>NOT(ISERROR(SEARCH($H$78:$H$98=Paramétrages!$B$2,H661)))</xm:f>
            <xm:f>$H$78:$H$98=Paramétrages!$B$2</xm:f>
            <x14:dxf>
              <fill>
                <patternFill>
                  <bgColor theme="7"/>
                </patternFill>
              </fill>
            </x14:dxf>
          </x14:cfRule>
          <xm:sqref>H661</xm:sqref>
        </x14:conditionalFormatting>
        <x14:conditionalFormatting xmlns:xm="http://schemas.microsoft.com/office/excel/2006/main">
          <x14:cfRule type="containsText" priority="138" operator="containsText" id="{302511EC-26CA-49A1-8F05-0101BFDCC52A}">
            <xm:f>NOT(ISERROR(SEARCH($H$78:$H$98=Paramétrages!$B$2,H678)))</xm:f>
            <xm:f>$H$78:$H$98=Paramétrages!$B$2</xm:f>
            <x14:dxf>
              <fill>
                <patternFill>
                  <bgColor theme="7"/>
                </patternFill>
              </fill>
            </x14:dxf>
          </x14:cfRule>
          <xm:sqref>H678:H679</xm:sqref>
        </x14:conditionalFormatting>
        <x14:conditionalFormatting xmlns:xm="http://schemas.microsoft.com/office/excel/2006/main">
          <x14:cfRule type="containsText" priority="150" operator="containsText" id="{1B910922-6DD1-4534-9632-9BAE58EA322A}">
            <xm:f>NOT(ISERROR(SEARCH($H$78:$H$98=Paramétrages!$B$2,H680)))</xm:f>
            <xm:f>$H$78:$H$98=Paramétrages!$B$2</xm:f>
            <x14:dxf>
              <fill>
                <patternFill>
                  <bgColor theme="7"/>
                </patternFill>
              </fill>
            </x14:dxf>
          </x14:cfRule>
          <xm:sqref>H680:H681</xm:sqref>
        </x14:conditionalFormatting>
        <x14:conditionalFormatting xmlns:xm="http://schemas.microsoft.com/office/excel/2006/main">
          <x14:cfRule type="containsText" priority="147" operator="containsText" id="{A1175F52-4866-4FA3-B0D1-3A3D8D7420B9}">
            <xm:f>NOT(ISERROR(SEARCH($H$78:$H$98=Paramétrages!$B$2,H677)))</xm:f>
            <xm:f>$H$78:$H$98=Paramétrages!$B$2</xm:f>
            <x14:dxf>
              <fill>
                <patternFill>
                  <bgColor theme="7"/>
                </patternFill>
              </fill>
            </x14:dxf>
          </x14:cfRule>
          <xm:sqref>H677</xm:sqref>
        </x14:conditionalFormatting>
        <x14:conditionalFormatting xmlns:xm="http://schemas.microsoft.com/office/excel/2006/main">
          <x14:cfRule type="containsText" priority="144" operator="containsText" id="{9936B9B9-1097-4E02-896A-843316DD58EF}">
            <xm:f>NOT(ISERROR(SEARCH($H$78:$H$98=Paramétrages!$B$2,H683)))</xm:f>
            <xm:f>$H$78:$H$98=Paramétrages!$B$2</xm:f>
            <x14:dxf>
              <fill>
                <patternFill>
                  <bgColor theme="7"/>
                </patternFill>
              </fill>
            </x14:dxf>
          </x14:cfRule>
          <xm:sqref>H683</xm:sqref>
        </x14:conditionalFormatting>
        <x14:conditionalFormatting xmlns:xm="http://schemas.microsoft.com/office/excel/2006/main">
          <x14:cfRule type="containsText" priority="141" operator="containsText" id="{BEA7495F-BFBF-4ACD-BA60-A9A45B62181D}">
            <xm:f>NOT(ISERROR(SEARCH($H$78:$H$98=Paramétrages!$B$2,H678)))</xm:f>
            <xm:f>$H$78:$H$98=Paramétrages!$B$2</xm:f>
            <x14:dxf>
              <fill>
                <patternFill>
                  <bgColor theme="7"/>
                </patternFill>
              </fill>
            </x14:dxf>
          </x14:cfRule>
          <xm:sqref>H678:H679</xm:sqref>
        </x14:conditionalFormatting>
        <x14:conditionalFormatting xmlns:xm="http://schemas.microsoft.com/office/excel/2006/main">
          <x14:cfRule type="containsText" priority="135" operator="containsText" id="{B912747A-DD32-476D-B7C3-62B8AE8C169D}">
            <xm:f>NOT(ISERROR(SEARCH($H$78:$H$98=Paramétrages!$B$2,H682)))</xm:f>
            <xm:f>$H$78:$H$98=Paramétrages!$B$2</xm:f>
            <x14:dxf>
              <fill>
                <patternFill>
                  <bgColor theme="7"/>
                </patternFill>
              </fill>
            </x14:dxf>
          </x14:cfRule>
          <xm:sqref>H682</xm:sqref>
        </x14:conditionalFormatting>
        <x14:conditionalFormatting xmlns:xm="http://schemas.microsoft.com/office/excel/2006/main">
          <x14:cfRule type="containsText" priority="132" operator="containsText" id="{15B59E9B-A9F0-420C-92B0-62F1DFBB1AF6}">
            <xm:f>NOT(ISERROR(SEARCH($H$78:$H$98=Paramétrages!$B$2,H682)))</xm:f>
            <xm:f>$H$78:$H$98=Paramétrages!$B$2</xm:f>
            <x14:dxf>
              <fill>
                <patternFill>
                  <bgColor theme="7"/>
                </patternFill>
              </fill>
            </x14:dxf>
          </x14:cfRule>
          <xm:sqref>H682</xm:sqref>
        </x14:conditionalFormatting>
        <x14:conditionalFormatting xmlns:xm="http://schemas.microsoft.com/office/excel/2006/main">
          <x14:cfRule type="containsText" priority="129" operator="containsText" id="{4ED7CA8D-ACE6-40AB-87A7-604D1A1674D7}">
            <xm:f>NOT(ISERROR(SEARCH($H$78:$H$98=Paramétrages!$B$2,H313)))</xm:f>
            <xm:f>$H$78:$H$98=Paramétrages!$B$2</xm:f>
            <x14:dxf>
              <fill>
                <patternFill>
                  <bgColor theme="7"/>
                </patternFill>
              </fill>
            </x14:dxf>
          </x14:cfRule>
          <xm:sqref>H313:H322</xm:sqref>
        </x14:conditionalFormatting>
        <x14:conditionalFormatting xmlns:xm="http://schemas.microsoft.com/office/excel/2006/main">
          <x14:cfRule type="containsText" priority="126" operator="containsText" id="{A05B6C1A-060C-408B-9300-95D972818BF2}">
            <xm:f>NOT(ISERROR(SEARCH($H$78:$H$98=Paramétrages!$B$2,H85)))</xm:f>
            <xm:f>$H$78:$H$98=Paramétrages!$B$2</xm:f>
            <x14:dxf>
              <fill>
                <patternFill>
                  <bgColor theme="7"/>
                </patternFill>
              </fill>
            </x14:dxf>
          </x14:cfRule>
          <xm:sqref>H85</xm:sqref>
        </x14:conditionalFormatting>
        <x14:conditionalFormatting xmlns:xm="http://schemas.microsoft.com/office/excel/2006/main">
          <x14:cfRule type="containsText" priority="123" operator="containsText" id="{5B7C2402-8E87-43C2-96DD-4A184BF3580A}">
            <xm:f>NOT(ISERROR(SEARCH($H$78:$H$98=Paramétrages!$B$2,H86)))</xm:f>
            <xm:f>$H$78:$H$98=Paramétrages!$B$2</xm:f>
            <x14:dxf>
              <fill>
                <patternFill>
                  <bgColor theme="7"/>
                </patternFill>
              </fill>
            </x14:dxf>
          </x14:cfRule>
          <xm:sqref>H86</xm:sqref>
        </x14:conditionalFormatting>
        <x14:conditionalFormatting xmlns:xm="http://schemas.microsoft.com/office/excel/2006/main">
          <x14:cfRule type="containsText" priority="120" operator="containsText" id="{0434EBCB-B8CB-48FA-BD34-2945C6642E99}">
            <xm:f>NOT(ISERROR(SEARCH($H$78:$H$98=Paramétrages!$B$2,H87)))</xm:f>
            <xm:f>$H$78:$H$98=Paramétrages!$B$2</xm:f>
            <x14:dxf>
              <fill>
                <patternFill>
                  <bgColor theme="7"/>
                </patternFill>
              </fill>
            </x14:dxf>
          </x14:cfRule>
          <xm:sqref>H87</xm:sqref>
        </x14:conditionalFormatting>
        <x14:conditionalFormatting xmlns:xm="http://schemas.microsoft.com/office/excel/2006/main">
          <x14:cfRule type="containsText" priority="117" operator="containsText" id="{EBB32D28-DACD-4776-B424-486B41183B5C}">
            <xm:f>NOT(ISERROR(SEARCH($H$78:$H$98=Paramétrages!$B$2,H88)))</xm:f>
            <xm:f>$H$78:$H$98=Paramétrages!$B$2</xm:f>
            <x14:dxf>
              <fill>
                <patternFill>
                  <bgColor theme="7"/>
                </patternFill>
              </fill>
            </x14:dxf>
          </x14:cfRule>
          <xm:sqref>H88</xm:sqref>
        </x14:conditionalFormatting>
        <x14:conditionalFormatting xmlns:xm="http://schemas.microsoft.com/office/excel/2006/main">
          <x14:cfRule type="containsText" priority="114" operator="containsText" id="{075CDE69-5FC5-4AE0-843B-CB7057588BAA}">
            <xm:f>NOT(ISERROR(SEARCH($H$78:$H$98=Paramétrages!$B$2,H89)))</xm:f>
            <xm:f>$H$78:$H$98=Paramétrages!$B$2</xm:f>
            <x14:dxf>
              <fill>
                <patternFill>
                  <bgColor theme="7"/>
                </patternFill>
              </fill>
            </x14:dxf>
          </x14:cfRule>
          <xm:sqref>H89</xm:sqref>
        </x14:conditionalFormatting>
        <x14:conditionalFormatting xmlns:xm="http://schemas.microsoft.com/office/excel/2006/main">
          <x14:cfRule type="containsText" priority="111" operator="containsText" id="{B4C59235-C54D-41E3-A414-8A3B8B597312}">
            <xm:f>NOT(ISERROR(SEARCH($H$78:$H$98=Paramétrages!$B$2,H90)))</xm:f>
            <xm:f>$H$78:$H$98=Paramétrages!$B$2</xm:f>
            <x14:dxf>
              <fill>
                <patternFill>
                  <bgColor theme="7"/>
                </patternFill>
              </fill>
            </x14:dxf>
          </x14:cfRule>
          <xm:sqref>H90</xm:sqref>
        </x14:conditionalFormatting>
        <x14:conditionalFormatting xmlns:xm="http://schemas.microsoft.com/office/excel/2006/main">
          <x14:cfRule type="containsText" priority="108" operator="containsText" id="{A41453EE-D84D-4701-AF10-6A18FEB13EE7}">
            <xm:f>NOT(ISERROR(SEARCH($H$78:$H$98=Paramétrages!$B$2,H91)))</xm:f>
            <xm:f>$H$78:$H$98=Paramétrages!$B$2</xm:f>
            <x14:dxf>
              <fill>
                <patternFill>
                  <bgColor theme="7"/>
                </patternFill>
              </fill>
            </x14:dxf>
          </x14:cfRule>
          <xm:sqref>H91</xm:sqref>
        </x14:conditionalFormatting>
        <x14:conditionalFormatting xmlns:xm="http://schemas.microsoft.com/office/excel/2006/main">
          <x14:cfRule type="containsText" priority="105" operator="containsText" id="{03887EDB-349D-4B98-A4E7-4D067BA35943}">
            <xm:f>NOT(ISERROR(SEARCH($H$78:$H$98=Paramétrages!$B$2,H92)))</xm:f>
            <xm:f>$H$78:$H$98=Paramétrages!$B$2</xm:f>
            <x14:dxf>
              <fill>
                <patternFill>
                  <bgColor theme="7"/>
                </patternFill>
              </fill>
            </x14:dxf>
          </x14:cfRule>
          <xm:sqref>H92</xm:sqref>
        </x14:conditionalFormatting>
        <x14:conditionalFormatting xmlns:xm="http://schemas.microsoft.com/office/excel/2006/main">
          <x14:cfRule type="containsText" priority="102" operator="containsText" id="{6718E342-6747-44D8-8E4F-8340609E08BD}">
            <xm:f>NOT(ISERROR(SEARCH($H$78:$H$98=Paramétrages!$B$2,H93)))</xm:f>
            <xm:f>$H$78:$H$98=Paramétrages!$B$2</xm:f>
            <x14:dxf>
              <fill>
                <patternFill>
                  <bgColor theme="7"/>
                </patternFill>
              </fill>
            </x14:dxf>
          </x14:cfRule>
          <xm:sqref>H93</xm:sqref>
        </x14:conditionalFormatting>
        <x14:conditionalFormatting xmlns:xm="http://schemas.microsoft.com/office/excel/2006/main">
          <x14:cfRule type="containsText" priority="99" operator="containsText" id="{A2CB7771-F46D-415F-9633-232DBBF14FAD}">
            <xm:f>NOT(ISERROR(SEARCH($H$78:$H$98=Paramétrages!$B$2,H81)))</xm:f>
            <xm:f>$H$78:$H$98=Paramétrages!$B$2</xm:f>
            <x14:dxf>
              <fill>
                <patternFill>
                  <bgColor theme="7"/>
                </patternFill>
              </fill>
            </x14:dxf>
          </x14:cfRule>
          <xm:sqref>H81</xm:sqref>
        </x14:conditionalFormatting>
        <x14:conditionalFormatting xmlns:xm="http://schemas.microsoft.com/office/excel/2006/main">
          <x14:cfRule type="containsText" priority="96" operator="containsText" id="{FA577BBE-843D-4C2E-A40D-9488AF046B21}">
            <xm:f>NOT(ISERROR(SEARCH($H$78:$H$98=Paramétrages!$B$2,H82)))</xm:f>
            <xm:f>$H$78:$H$98=Paramétrages!$B$2</xm:f>
            <x14:dxf>
              <fill>
                <patternFill>
                  <bgColor theme="7"/>
                </patternFill>
              </fill>
            </x14:dxf>
          </x14:cfRule>
          <xm:sqref>H82</xm:sqref>
        </x14:conditionalFormatting>
        <x14:conditionalFormatting xmlns:xm="http://schemas.microsoft.com/office/excel/2006/main">
          <x14:cfRule type="containsText" priority="87" operator="containsText" id="{6A19873C-6BF8-4648-858B-42DFA9C66975}">
            <xm:f>NOT(ISERROR(SEARCH($H$78:$H$98=Paramétrages!$B$2,H109)))</xm:f>
            <xm:f>$H$78:$H$98=Paramétrages!$B$2</xm:f>
            <x14:dxf>
              <fill>
                <patternFill>
                  <bgColor theme="7"/>
                </patternFill>
              </fill>
            </x14:dxf>
          </x14:cfRule>
          <xm:sqref>H109</xm:sqref>
        </x14:conditionalFormatting>
        <x14:conditionalFormatting xmlns:xm="http://schemas.microsoft.com/office/excel/2006/main">
          <x14:cfRule type="containsText" priority="90" operator="containsText" id="{53D549A8-7D45-42B1-A16B-0B6DE978BD3B}">
            <xm:f>NOT(ISERROR(SEARCH($H$78:$H$98=Paramétrages!$B$2,H101)))</xm:f>
            <xm:f>$H$78:$H$98=Paramétrages!$B$2</xm:f>
            <x14:dxf>
              <fill>
                <patternFill>
                  <bgColor theme="7"/>
                </patternFill>
              </fill>
            </x14:dxf>
          </x14:cfRule>
          <xm:sqref>H101:H108</xm:sqref>
        </x14:conditionalFormatting>
        <x14:conditionalFormatting xmlns:xm="http://schemas.microsoft.com/office/excel/2006/main">
          <x14:cfRule type="containsText" priority="84" operator="containsText" id="{38FA3DD7-C0F3-4B9F-AF12-CC23DCC5F12E}">
            <xm:f>NOT(ISERROR(SEARCH($H$78:$H$98=Paramétrages!$B$2,H115)))</xm:f>
            <xm:f>$H$78:$H$98=Paramétrages!$B$2</xm:f>
            <x14:dxf>
              <fill>
                <patternFill>
                  <bgColor theme="7"/>
                </patternFill>
              </fill>
            </x14:dxf>
          </x14:cfRule>
          <xm:sqref>H115:H130</xm:sqref>
        </x14:conditionalFormatting>
        <x14:conditionalFormatting xmlns:xm="http://schemas.microsoft.com/office/excel/2006/main">
          <x14:cfRule type="containsText" priority="81" operator="containsText" id="{16482971-3781-4750-9326-5C740F3B40A3}">
            <xm:f>NOT(ISERROR(SEARCH($H$78:$H$98=Paramétrages!$B$2,H83)))</xm:f>
            <xm:f>$H$78:$H$98=Paramétrages!$B$2</xm:f>
            <x14:dxf>
              <fill>
                <patternFill>
                  <bgColor theme="7"/>
                </patternFill>
              </fill>
            </x14:dxf>
          </x14:cfRule>
          <xm:sqref>H83</xm:sqref>
        </x14:conditionalFormatting>
        <x14:conditionalFormatting xmlns:xm="http://schemas.microsoft.com/office/excel/2006/main">
          <x14:cfRule type="containsText" priority="78" operator="containsText" id="{3D1BA00D-5C05-464A-BBED-7990CDADCA88}">
            <xm:f>NOT(ISERROR(SEARCH($H$78:$H$98=Paramétrages!$B$2,H257)))</xm:f>
            <xm:f>$H$78:$H$98=Paramétrages!$B$2</xm:f>
            <x14:dxf>
              <fill>
                <patternFill>
                  <bgColor theme="7"/>
                </patternFill>
              </fill>
            </x14:dxf>
          </x14:cfRule>
          <xm:sqref>H257</xm:sqref>
        </x14:conditionalFormatting>
        <x14:conditionalFormatting xmlns:xm="http://schemas.microsoft.com/office/excel/2006/main">
          <x14:cfRule type="containsText" priority="75" operator="containsText" id="{C9035C28-D818-46F4-BA91-24A17A5C493D}">
            <xm:f>NOT(ISERROR(SEARCH($H$78:$H$98=Paramétrages!$B$2,H295)))</xm:f>
            <xm:f>$H$78:$H$98=Paramétrages!$B$2</xm:f>
            <x14:dxf>
              <fill>
                <patternFill>
                  <bgColor theme="7"/>
                </patternFill>
              </fill>
            </x14:dxf>
          </x14:cfRule>
          <xm:sqref>H295</xm:sqref>
        </x14:conditionalFormatting>
        <x14:conditionalFormatting xmlns:xm="http://schemas.microsoft.com/office/excel/2006/main">
          <x14:cfRule type="containsText" priority="72" operator="containsText" id="{2FFA983D-09EA-4B11-B1F5-4306A7C0B359}">
            <xm:f>NOT(ISERROR(SEARCH($H$78:$H$98=Paramétrages!$B$2,H343)))</xm:f>
            <xm:f>$H$78:$H$98=Paramétrages!$B$2</xm:f>
            <x14:dxf>
              <fill>
                <patternFill>
                  <bgColor theme="7"/>
                </patternFill>
              </fill>
            </x14:dxf>
          </x14:cfRule>
          <xm:sqref>H343</xm:sqref>
        </x14:conditionalFormatting>
        <x14:conditionalFormatting xmlns:xm="http://schemas.microsoft.com/office/excel/2006/main">
          <x14:cfRule type="containsText" priority="69" operator="containsText" id="{AECA0DAF-7B26-4C73-8736-7B7815C37FD8}">
            <xm:f>NOT(ISERROR(SEARCH($H$78:$H$98=Paramétrages!$B$2,H309)))</xm:f>
            <xm:f>$H$78:$H$98=Paramétrages!$B$2</xm:f>
            <x14:dxf>
              <fill>
                <patternFill>
                  <bgColor theme="7"/>
                </patternFill>
              </fill>
            </x14:dxf>
          </x14:cfRule>
          <xm:sqref>H309:H310</xm:sqref>
        </x14:conditionalFormatting>
        <x14:conditionalFormatting xmlns:xm="http://schemas.microsoft.com/office/excel/2006/main">
          <x14:cfRule type="containsText" priority="66" operator="containsText" id="{1322BFEF-58AD-4D48-BB48-9DF5B603CC8A}">
            <xm:f>NOT(ISERROR(SEARCH($H$78:$H$98=Paramétrages!$B$2,H373)))</xm:f>
            <xm:f>$H$78:$H$98=Paramétrages!$B$2</xm:f>
            <x14:dxf>
              <fill>
                <patternFill>
                  <bgColor theme="7"/>
                </patternFill>
              </fill>
            </x14:dxf>
          </x14:cfRule>
          <xm:sqref>H373 H375</xm:sqref>
        </x14:conditionalFormatting>
        <x14:conditionalFormatting xmlns:xm="http://schemas.microsoft.com/office/excel/2006/main">
          <x14:cfRule type="containsText" priority="63" operator="containsText" id="{F42C8444-D0EE-4C80-96B9-76EBA11A50BF}">
            <xm:f>NOT(ISERROR(SEARCH($H$78:$H$98=Paramétrages!$B$2,H372)))</xm:f>
            <xm:f>$H$78:$H$98=Paramétrages!$B$2</xm:f>
            <x14:dxf>
              <fill>
                <patternFill>
                  <bgColor theme="7"/>
                </patternFill>
              </fill>
            </x14:dxf>
          </x14:cfRule>
          <xm:sqref>H372</xm:sqref>
        </x14:conditionalFormatting>
        <x14:conditionalFormatting xmlns:xm="http://schemas.microsoft.com/office/excel/2006/main">
          <x14:cfRule type="containsText" priority="57" operator="containsText" id="{0E0BCAF1-FCC1-43CF-BAFF-FD2014B11546}">
            <xm:f>NOT(ISERROR(SEARCH($H$78:$H$98=Paramétrages!$B$2,H361)))</xm:f>
            <xm:f>$H$78:$H$98=Paramétrages!$B$2</xm:f>
            <x14:dxf>
              <fill>
                <patternFill>
                  <bgColor theme="7"/>
                </patternFill>
              </fill>
            </x14:dxf>
          </x14:cfRule>
          <xm:sqref>H361</xm:sqref>
        </x14:conditionalFormatting>
        <x14:conditionalFormatting xmlns:xm="http://schemas.microsoft.com/office/excel/2006/main">
          <x14:cfRule type="containsText" priority="54" operator="containsText" id="{1E1FF7CF-A730-411E-8159-C4DB88CF7FF4}">
            <xm:f>NOT(ISERROR(SEARCH($H$78:$H$98=Paramétrages!$B$2,H455)))</xm:f>
            <xm:f>$H$78:$H$98=Paramétrages!$B$2</xm:f>
            <x14:dxf>
              <fill>
                <patternFill>
                  <bgColor theme="7"/>
                </patternFill>
              </fill>
            </x14:dxf>
          </x14:cfRule>
          <xm:sqref>H455</xm:sqref>
        </x14:conditionalFormatting>
        <x14:conditionalFormatting xmlns:xm="http://schemas.microsoft.com/office/excel/2006/main">
          <x14:cfRule type="containsText" priority="51" operator="containsText" id="{C0E41503-1DDC-410E-8F50-E7F53F9CC6DF}">
            <xm:f>NOT(ISERROR(SEARCH($H$78:$H$98=Paramétrages!$B$2,H33)))</xm:f>
            <xm:f>$H$78:$H$98=Paramétrages!$B$2</xm:f>
            <x14:dxf>
              <fill>
                <patternFill>
                  <bgColor theme="7"/>
                </patternFill>
              </fill>
            </x14:dxf>
          </x14:cfRule>
          <xm:sqref>H33:H39</xm:sqref>
        </x14:conditionalFormatting>
        <x14:conditionalFormatting xmlns:xm="http://schemas.microsoft.com/office/excel/2006/main">
          <x14:cfRule type="containsText" priority="45" operator="containsText" id="{41979ED4-3FCF-41A8-8DE6-D1CC6B47E7B2}">
            <xm:f>NOT(ISERROR(SEARCH($H$78:$H$98=Paramétrages!$B$2,H698)))</xm:f>
            <xm:f>$H$78:$H$98=Paramétrages!$B$2</xm:f>
            <x14:dxf>
              <fill>
                <patternFill>
                  <bgColor theme="7"/>
                </patternFill>
              </fill>
            </x14:dxf>
          </x14:cfRule>
          <xm:sqref>H698</xm:sqref>
        </x14:conditionalFormatting>
        <x14:conditionalFormatting xmlns:xm="http://schemas.microsoft.com/office/excel/2006/main">
          <x14:cfRule type="containsText" priority="36" operator="containsText" id="{0A70D05E-4491-43D5-AD6D-4925C804A1A6}">
            <xm:f>NOT(ISERROR(SEARCH($H$78:$H$98=Paramétrages!$B$2,H703)))</xm:f>
            <xm:f>$H$78:$H$98=Paramétrages!$B$2</xm:f>
            <x14:dxf>
              <fill>
                <patternFill>
                  <bgColor theme="7"/>
                </patternFill>
              </fill>
            </x14:dxf>
          </x14:cfRule>
          <xm:sqref>H703</xm:sqref>
        </x14:conditionalFormatting>
        <x14:conditionalFormatting xmlns:xm="http://schemas.microsoft.com/office/excel/2006/main">
          <x14:cfRule type="containsText" priority="48" operator="containsText" id="{5A5DDDF8-4635-4028-A797-DDE3A399B9E9}">
            <xm:f>NOT(ISERROR(SEARCH($H$78:$H$98=Paramétrages!$B$2,H704)))</xm:f>
            <xm:f>$H$78:$H$98=Paramétrages!$B$2</xm:f>
            <x14:dxf>
              <fill>
                <patternFill>
                  <bgColor theme="7"/>
                </patternFill>
              </fill>
            </x14:dxf>
          </x14:cfRule>
          <xm:sqref>H704</xm:sqref>
        </x14:conditionalFormatting>
        <x14:conditionalFormatting xmlns:xm="http://schemas.microsoft.com/office/excel/2006/main">
          <x14:cfRule type="containsText" priority="42" operator="containsText" id="{E0086D25-4E99-4E86-8F0C-F31EE9241BE9}">
            <xm:f>NOT(ISERROR(SEARCH($H$78:$H$98=Paramétrages!$B$2,H697)))</xm:f>
            <xm:f>$H$78:$H$98=Paramétrages!$B$2</xm:f>
            <x14:dxf>
              <fill>
                <patternFill>
                  <bgColor theme="7"/>
                </patternFill>
              </fill>
            </x14:dxf>
          </x14:cfRule>
          <xm:sqref>H697</xm:sqref>
        </x14:conditionalFormatting>
        <x14:conditionalFormatting xmlns:xm="http://schemas.microsoft.com/office/excel/2006/main">
          <x14:cfRule type="containsText" priority="39" operator="containsText" id="{8B279CF9-A561-4E82-BADB-CAC5A1A6E3FE}">
            <xm:f>NOT(ISERROR(SEARCH($H$78:$H$98=Paramétrages!$B$2,H701)))</xm:f>
            <xm:f>$H$78:$H$98=Paramétrages!$B$2</xm:f>
            <x14:dxf>
              <fill>
                <patternFill>
                  <bgColor theme="7"/>
                </patternFill>
              </fill>
            </x14:dxf>
          </x14:cfRule>
          <xm:sqref>H701:H702</xm:sqref>
        </x14:conditionalFormatting>
        <x14:conditionalFormatting xmlns:xm="http://schemas.microsoft.com/office/excel/2006/main">
          <x14:cfRule type="containsText" priority="33" operator="containsText" id="{622555F0-8437-4B75-A9D1-A1E8DAA139E2}">
            <xm:f>NOT(ISERROR(SEARCH($H$78:$H$98=Paramétrages!$B$2,H705)))</xm:f>
            <xm:f>$H$78:$H$98=Paramétrages!$B$2</xm:f>
            <x14:dxf>
              <fill>
                <patternFill>
                  <bgColor theme="7"/>
                </patternFill>
              </fill>
            </x14:dxf>
          </x14:cfRule>
          <xm:sqref>H705:H727</xm:sqref>
        </x14:conditionalFormatting>
        <x14:conditionalFormatting xmlns:xm="http://schemas.microsoft.com/office/excel/2006/main">
          <x14:cfRule type="containsText" priority="30" operator="containsText" id="{6325E35E-26CA-4B36-AEFC-F3293EDC0387}">
            <xm:f>NOT(ISERROR(SEARCH($H$78:$H$98=Paramétrages!$B$2,H699)))</xm:f>
            <xm:f>$H$78:$H$98=Paramétrages!$B$2</xm:f>
            <x14:dxf>
              <fill>
                <patternFill>
                  <bgColor theme="7"/>
                </patternFill>
              </fill>
            </x14:dxf>
          </x14:cfRule>
          <xm:sqref>H699:H700</xm:sqref>
        </x14:conditionalFormatting>
        <x14:conditionalFormatting xmlns:xm="http://schemas.microsoft.com/office/excel/2006/main">
          <x14:cfRule type="containsText" priority="27" operator="containsText" id="{81A5FD22-C38C-41A2-B7A8-5C260BABFF18}">
            <xm:f>NOT(ISERROR(SEARCH($H$78:$H$98=Paramétrages!$B$2,H45)))</xm:f>
            <xm:f>$H$78:$H$98=Paramétrages!$B$2</xm:f>
            <x14:dxf>
              <fill>
                <patternFill>
                  <bgColor theme="7"/>
                </patternFill>
              </fill>
            </x14:dxf>
          </x14:cfRule>
          <xm:sqref>H45:H48</xm:sqref>
        </x14:conditionalFormatting>
        <x14:conditionalFormatting xmlns:xm="http://schemas.microsoft.com/office/excel/2006/main">
          <x14:cfRule type="containsText" priority="24" operator="containsText" id="{BDA44E55-4D06-4713-9CD0-F2D903581A96}">
            <xm:f>NOT(ISERROR(SEARCH($H$78:$H$98=Paramétrages!$B$2,H49)))</xm:f>
            <xm:f>$H$78:$H$98=Paramétrages!$B$2</xm:f>
            <x14:dxf>
              <fill>
                <patternFill>
                  <bgColor theme="7"/>
                </patternFill>
              </fill>
            </x14:dxf>
          </x14:cfRule>
          <xm:sqref>H49:H50</xm:sqref>
        </x14:conditionalFormatting>
        <x14:conditionalFormatting xmlns:xm="http://schemas.microsoft.com/office/excel/2006/main">
          <x14:cfRule type="containsText" priority="21" operator="containsText" id="{86375379-F1DB-4231-9A47-69112AFDCBB8}">
            <xm:f>NOT(ISERROR(SEARCH($H$78:$H$98=Paramétrages!$B$2,H51)))</xm:f>
            <xm:f>$H$78:$H$98=Paramétrages!$B$2</xm:f>
            <x14:dxf>
              <fill>
                <patternFill>
                  <bgColor theme="7"/>
                </patternFill>
              </fill>
            </x14:dxf>
          </x14:cfRule>
          <xm:sqref>H51</xm:sqref>
        </x14:conditionalFormatting>
        <x14:conditionalFormatting xmlns:xm="http://schemas.microsoft.com/office/excel/2006/main">
          <x14:cfRule type="containsText" priority="18" operator="containsText" id="{3D7C2229-F1A5-44E8-B878-0EA832198048}">
            <xm:f>NOT(ISERROR(SEARCH($H$78:$H$98=Paramétrages!$B$2,H57)))</xm:f>
            <xm:f>$H$78:$H$98=Paramétrages!$B$2</xm:f>
            <x14:dxf>
              <fill>
                <patternFill>
                  <bgColor theme="7"/>
                </patternFill>
              </fill>
            </x14:dxf>
          </x14:cfRule>
          <xm:sqref>H57:H60</xm:sqref>
        </x14:conditionalFormatting>
        <x14:conditionalFormatting xmlns:xm="http://schemas.microsoft.com/office/excel/2006/main">
          <x14:cfRule type="containsText" priority="15" operator="containsText" id="{D5FC39B5-A932-4BA1-A73E-54F6AC9DF606}">
            <xm:f>NOT(ISERROR(SEARCH($H$78:$H$98=Paramétrages!$B$2,H61)))</xm:f>
            <xm:f>$H$78:$H$98=Paramétrages!$B$2</xm:f>
            <x14:dxf>
              <fill>
                <patternFill>
                  <bgColor theme="7"/>
                </patternFill>
              </fill>
            </x14:dxf>
          </x14:cfRule>
          <xm:sqref>H61:H62</xm:sqref>
        </x14:conditionalFormatting>
        <x14:conditionalFormatting xmlns:xm="http://schemas.microsoft.com/office/excel/2006/main">
          <x14:cfRule type="containsText" priority="12" operator="containsText" id="{8C3F25D6-EEAA-458C-A4AC-B6D60638A7E2}">
            <xm:f>NOT(ISERROR(SEARCH($H$78:$H$98=Paramétrages!$B$2,H63)))</xm:f>
            <xm:f>$H$78:$H$98=Paramétrages!$B$2</xm:f>
            <x14:dxf>
              <fill>
                <patternFill>
                  <bgColor theme="7"/>
                </patternFill>
              </fill>
            </x14:dxf>
          </x14:cfRule>
          <xm:sqref>H63</xm:sqref>
        </x14:conditionalFormatting>
        <x14:conditionalFormatting xmlns:xm="http://schemas.microsoft.com/office/excel/2006/main">
          <x14:cfRule type="containsText" priority="9" operator="containsText" id="{E75A435F-49EC-4BC5-903D-1361CB29C860}">
            <xm:f>NOT(ISERROR(SEARCH($H$78:$H$98=Paramétrages!$B$2,H376)))</xm:f>
            <xm:f>$H$78:$H$98=Paramétrages!$B$2</xm:f>
            <x14:dxf>
              <fill>
                <patternFill>
                  <bgColor theme="7"/>
                </patternFill>
              </fill>
            </x14:dxf>
          </x14:cfRule>
          <xm:sqref>H376</xm:sqref>
        </x14:conditionalFormatting>
        <x14:conditionalFormatting xmlns:xm="http://schemas.microsoft.com/office/excel/2006/main">
          <x14:cfRule type="containsText" priority="6" operator="containsText" id="{25EB8850-B132-40BB-965C-EE0856BDBFE8}">
            <xm:f>NOT(ISERROR(SEARCH($H$78:$H$98=Paramétrages!$B$2,H374)))</xm:f>
            <xm:f>$H$78:$H$98=Paramétrages!$B$2</xm:f>
            <x14:dxf>
              <fill>
                <patternFill>
                  <bgColor theme="7"/>
                </patternFill>
              </fill>
            </x14:dxf>
          </x14:cfRule>
          <xm:sqref>H374</xm:sqref>
        </x14:conditionalFormatting>
        <x14:conditionalFormatting xmlns:xm="http://schemas.microsoft.com/office/excel/2006/main">
          <x14:cfRule type="containsText" priority="3" operator="containsText" id="{2C8AB097-4959-4F68-AEC1-5E0558B58707}">
            <xm:f>NOT(ISERROR(SEARCH($H$78:$H$98=Paramétrages!$B$2,H293)))</xm:f>
            <xm:f>$H$78:$H$98=Paramétrages!$B$2</xm:f>
            <x14:dxf>
              <fill>
                <patternFill>
                  <bgColor theme="7"/>
                </patternFill>
              </fill>
            </x14:dxf>
          </x14:cfRule>
          <xm:sqref>H293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4CB93B-8D45-4AA0-8AC9-E25BA015B839}">
          <x14:formula1>
            <xm:f>Paramétrages!$B$2:$B$4</xm:f>
          </x14:formula1>
          <xm:sqref>H143:H150 H182:H184 H189:H192 H207:H210 H215:H219 H224:H226 H231:H234 H249:H250 H115:H130 H264:H266 H271:H274 H255:H259 H336:H342 H370:H376 H706:H727 H382:H388 H394:H400 H356:H364 H406:H416 H422:H429 H435:H442 H472:H476 H482:H485 H491:H494 H316:H322 H165:H177 H500:H503 H563:H584 H516:H519 H550 H532:H538 H622:H647 H590:H616 H660:H673 H678:H693 H448:H459 H104:H109 H302:H310 H78:H98 H33:H39 H57:H63 H45:H51 H289:H297</xm:sqref>
        </x14:dataValidation>
        <x14:dataValidation type="list" allowBlank="1" showInputMessage="1" showErrorMessage="1" xr:uid="{5AEB32F9-088B-4763-A07E-C034BE97EA30}">
          <x14:formula1>
            <xm:f>Paramétrages!$B$2:$B$400</xm:f>
          </x14:formula1>
          <xm:sqref>H136:H137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O390"/>
  <sheetViews>
    <sheetView showGridLines="0" zoomScale="80" zoomScaleNormal="80" workbookViewId="0">
      <selection activeCell="F146" sqref="F146"/>
    </sheetView>
  </sheetViews>
  <sheetFormatPr baseColWidth="10" defaultColWidth="14.42578125" defaultRowHeight="12.75"/>
  <cols>
    <col min="1" max="1" width="18.42578125" style="83" customWidth="1"/>
    <col min="2" max="2" width="14.42578125" style="83" customWidth="1"/>
    <col min="3" max="3" width="56.7109375" style="83" customWidth="1"/>
    <col min="4" max="5" width="52.28515625" style="83" customWidth="1"/>
    <col min="6" max="6" width="12.5703125" style="83" customWidth="1"/>
    <col min="7" max="7" width="52.28515625" style="83" customWidth="1"/>
    <col min="8" max="9" width="26" style="83" customWidth="1"/>
    <col min="10" max="10" width="31.5703125" style="83" customWidth="1"/>
    <col min="11" max="16384" width="14.42578125" style="83"/>
  </cols>
  <sheetData>
    <row r="1" spans="1:15" ht="44.25">
      <c r="A1" s="429" t="s">
        <v>0</v>
      </c>
      <c r="B1" s="429"/>
      <c r="C1" s="429"/>
      <c r="D1" s="429"/>
      <c r="E1" s="429"/>
      <c r="F1" s="429"/>
      <c r="G1" s="429"/>
      <c r="H1" s="429"/>
      <c r="I1" s="429"/>
      <c r="J1" s="429"/>
      <c r="K1" s="95"/>
      <c r="L1" s="95"/>
      <c r="M1" s="95"/>
      <c r="N1" s="95"/>
      <c r="O1" s="95"/>
    </row>
    <row r="2" spans="1:15" ht="33" customHeight="1">
      <c r="A2" s="60" t="s">
        <v>1</v>
      </c>
      <c r="B2" s="61" t="s">
        <v>1532</v>
      </c>
      <c r="C2" s="93"/>
      <c r="D2" s="430" t="s">
        <v>682</v>
      </c>
      <c r="E2" s="430"/>
      <c r="F2" s="430"/>
      <c r="G2" s="430"/>
      <c r="H2" s="431"/>
      <c r="I2" s="93"/>
      <c r="J2" s="93"/>
      <c r="K2" s="95"/>
      <c r="L2" s="95"/>
      <c r="M2" s="95"/>
      <c r="N2" s="95"/>
      <c r="O2" s="95"/>
    </row>
    <row r="3" spans="1:15" ht="31.9" customHeight="1">
      <c r="A3" s="145" t="s">
        <v>679</v>
      </c>
      <c r="B3" s="146" t="s">
        <v>1687</v>
      </c>
      <c r="C3" s="93"/>
      <c r="D3" s="93"/>
      <c r="E3" s="343"/>
      <c r="F3" s="343"/>
      <c r="G3" s="343"/>
      <c r="H3" s="93"/>
      <c r="I3" s="93"/>
      <c r="J3" s="93"/>
      <c r="K3" s="95"/>
      <c r="L3" s="95"/>
      <c r="M3" s="95"/>
      <c r="N3" s="95"/>
      <c r="O3" s="95"/>
    </row>
    <row r="5" spans="1:15">
      <c r="A5" s="469" t="s">
        <v>6</v>
      </c>
      <c r="B5" s="469"/>
      <c r="C5" s="469"/>
      <c r="D5" s="469"/>
      <c r="E5" s="469"/>
      <c r="F5" s="469"/>
      <c r="G5" s="469"/>
      <c r="H5" s="469"/>
      <c r="I5" s="469"/>
      <c r="J5" s="469"/>
    </row>
    <row r="6" spans="1:15" ht="13.5" thickBot="1">
      <c r="A6" s="470"/>
      <c r="B6" s="470"/>
      <c r="C6" s="470"/>
      <c r="D6" s="470"/>
      <c r="E6" s="470"/>
      <c r="F6" s="470"/>
      <c r="G6" s="470"/>
      <c r="H6" s="470"/>
      <c r="I6" s="470"/>
      <c r="J6" s="470"/>
    </row>
    <row r="7" spans="1:15" ht="13.15" customHeight="1">
      <c r="A7" s="85"/>
      <c r="B7" s="85"/>
      <c r="C7" s="85"/>
      <c r="D7" s="85"/>
      <c r="E7" s="342"/>
      <c r="F7" s="342"/>
      <c r="G7" s="342"/>
      <c r="H7" s="85"/>
      <c r="I7" s="85"/>
      <c r="J7" s="85"/>
    </row>
    <row r="8" spans="1:15">
      <c r="A8" s="479" t="s">
        <v>1470</v>
      </c>
      <c r="B8" s="479"/>
      <c r="C8" s="479"/>
      <c r="D8" s="479"/>
      <c r="E8" s="479"/>
      <c r="F8" s="479"/>
      <c r="G8" s="479"/>
      <c r="H8" s="479"/>
      <c r="I8" s="479"/>
      <c r="J8" s="479"/>
    </row>
    <row r="9" spans="1:15">
      <c r="A9" s="479"/>
      <c r="B9" s="479"/>
      <c r="C9" s="479"/>
      <c r="D9" s="479"/>
      <c r="E9" s="479"/>
      <c r="F9" s="479"/>
      <c r="G9" s="479"/>
      <c r="H9" s="479"/>
      <c r="I9" s="479"/>
      <c r="J9" s="479"/>
    </row>
    <row r="10" spans="1:15">
      <c r="A10" s="84"/>
      <c r="B10" s="84"/>
      <c r="C10" s="84"/>
      <c r="D10" s="84"/>
      <c r="E10" s="84"/>
      <c r="F10" s="84"/>
      <c r="G10" s="84"/>
      <c r="H10" s="84"/>
      <c r="I10" s="84"/>
      <c r="J10" s="84"/>
    </row>
    <row r="11" spans="1:15" ht="24.75" customHeight="1">
      <c r="A11" s="14" t="s">
        <v>17</v>
      </c>
      <c r="B11" s="14" t="s">
        <v>19</v>
      </c>
      <c r="C11" s="14" t="s">
        <v>361</v>
      </c>
      <c r="D11" s="14" t="s">
        <v>362</v>
      </c>
      <c r="E11" s="14"/>
      <c r="F11" s="94" t="s">
        <v>1712</v>
      </c>
      <c r="G11" s="14"/>
      <c r="H11" s="14" t="s">
        <v>363</v>
      </c>
      <c r="I11" s="14" t="s">
        <v>364</v>
      </c>
      <c r="J11" s="14" t="s">
        <v>365</v>
      </c>
    </row>
    <row r="12" spans="1:15" ht="98.25" customHeight="1">
      <c r="A12" s="112" t="s">
        <v>366</v>
      </c>
      <c r="B12" s="112" t="s">
        <v>29</v>
      </c>
      <c r="C12" s="471" t="s">
        <v>1357</v>
      </c>
      <c r="D12" s="472" t="s">
        <v>367</v>
      </c>
      <c r="E12" s="484"/>
      <c r="F12" s="499">
        <f>COUNTIF('Plan de tests'!F:H,$A12)</f>
        <v>1</v>
      </c>
      <c r="G12" s="484"/>
      <c r="H12" s="164" t="str">
        <f>HYPERLINK("[Tagerim.xlsx]UC_GU_AU_30",UC_GU_AU_30)</f>
        <v>UC_GU_AU_30</v>
      </c>
      <c r="I12" s="161" t="s">
        <v>311</v>
      </c>
      <c r="J12" s="471" t="s">
        <v>1688</v>
      </c>
    </row>
    <row r="13" spans="1:15" ht="50.1" customHeight="1">
      <c r="A13" s="40" t="s">
        <v>368</v>
      </c>
      <c r="B13" s="40" t="s">
        <v>29</v>
      </c>
      <c r="C13" s="40" t="s">
        <v>1356</v>
      </c>
      <c r="D13" s="156" t="s">
        <v>478</v>
      </c>
      <c r="E13" s="485"/>
      <c r="F13" s="500">
        <f>COUNTIF('Plan de tests'!F:H,$A13)</f>
        <v>1</v>
      </c>
      <c r="G13" s="485"/>
      <c r="H13" s="165" t="str">
        <f>HYPERLINK("[Tagerim.xlsx]UC_GU_AU_35",UC_GU_AU_35)</f>
        <v>UC_GU_AU_35</v>
      </c>
      <c r="I13" s="275"/>
      <c r="J13" s="152"/>
    </row>
    <row r="14" spans="1:15" ht="50.1" customHeight="1">
      <c r="A14" s="42" t="s">
        <v>370</v>
      </c>
      <c r="B14" s="42" t="s">
        <v>29</v>
      </c>
      <c r="C14" s="42" t="s">
        <v>1359</v>
      </c>
      <c r="D14" s="160" t="s">
        <v>1358</v>
      </c>
      <c r="E14" s="486"/>
      <c r="F14" s="499">
        <f>COUNTIF('Plan de tests'!F:H,$A14)</f>
        <v>1</v>
      </c>
      <c r="G14" s="486"/>
      <c r="H14" s="164" t="str">
        <f>HYPERLINK("[Tagerim.xlsx]UC_GU_AU_36",UC_GU_AU_36)</f>
        <v>UC_GU_AU_36</v>
      </c>
      <c r="I14" s="162"/>
      <c r="J14" s="151"/>
    </row>
    <row r="15" spans="1:15" ht="66.75" customHeight="1">
      <c r="A15" s="40" t="s">
        <v>378</v>
      </c>
      <c r="B15" s="40" t="s">
        <v>29</v>
      </c>
      <c r="C15" s="40"/>
      <c r="D15" s="156"/>
      <c r="E15" s="485" t="s">
        <v>1705</v>
      </c>
      <c r="F15" s="500">
        <f>COUNTIF('Plan de tests'!F:H,$A15)</f>
        <v>8</v>
      </c>
      <c r="G15" s="485" t="s">
        <v>1704</v>
      </c>
      <c r="H15" s="165" t="str">
        <f>HYPERLINK("[Tagerim.xlsx]UC_GU_AU_45",UC_GU_AU_45)</f>
        <v>UC_GU_AU_45</v>
      </c>
      <c r="I15" s="163"/>
      <c r="J15" s="471" t="s">
        <v>1689</v>
      </c>
    </row>
    <row r="16" spans="1:15" ht="50.1" customHeight="1">
      <c r="A16" s="80" t="s">
        <v>1361</v>
      </c>
      <c r="B16" s="80" t="s">
        <v>29</v>
      </c>
      <c r="C16" s="80" t="s">
        <v>1367</v>
      </c>
      <c r="D16" s="149" t="s">
        <v>1707</v>
      </c>
      <c r="E16" s="487"/>
      <c r="F16" s="499">
        <f>COUNTIF('Plan de tests'!F:H,$A16)</f>
        <v>2</v>
      </c>
      <c r="G16" s="487"/>
      <c r="H16" s="164" t="str">
        <f>HYPERLINK("[Tagerim.xlsx]UC_GU_AU_80",UC_GU_AU_80)</f>
        <v>UC_GU_AU_80</v>
      </c>
      <c r="I16" s="162"/>
      <c r="J16" s="473" t="s">
        <v>1690</v>
      </c>
    </row>
    <row r="17" spans="1:10" ht="50.1" customHeight="1">
      <c r="A17" s="80" t="s">
        <v>1706</v>
      </c>
      <c r="B17" s="80" t="s">
        <v>29</v>
      </c>
      <c r="C17" s="80" t="s">
        <v>1367</v>
      </c>
      <c r="D17" s="149" t="s">
        <v>1368</v>
      </c>
      <c r="E17" s="487"/>
      <c r="F17" s="484">
        <f>COUNTIF('Plan de tests'!F:H,$A17)</f>
        <v>0</v>
      </c>
      <c r="G17" s="487"/>
      <c r="H17" s="164" t="str">
        <f>HYPERLINK("[Tagerim.xlsx]UC_GU_AU_80",UC_GU_AU_80)</f>
        <v>UC_GU_AU_80</v>
      </c>
      <c r="I17" s="162"/>
      <c r="J17" s="473" t="s">
        <v>1690</v>
      </c>
    </row>
    <row r="20" spans="1:10">
      <c r="A20" s="479" t="s">
        <v>53</v>
      </c>
      <c r="B20" s="479"/>
      <c r="C20" s="479"/>
      <c r="D20" s="479"/>
      <c r="E20" s="479"/>
      <c r="F20" s="479"/>
      <c r="G20" s="479"/>
      <c r="H20" s="479"/>
      <c r="I20" s="479"/>
      <c r="J20" s="479"/>
    </row>
    <row r="21" spans="1:10">
      <c r="A21" s="480"/>
      <c r="B21" s="480"/>
      <c r="C21" s="480"/>
      <c r="D21" s="480"/>
      <c r="E21" s="480"/>
      <c r="F21" s="480"/>
      <c r="G21" s="480"/>
      <c r="H21" s="480"/>
      <c r="I21" s="480"/>
      <c r="J21" s="480"/>
    </row>
    <row r="22" spans="1:10" ht="12.75" customHeight="1">
      <c r="A22" s="243"/>
      <c r="B22" s="243"/>
      <c r="C22" s="243"/>
      <c r="D22" s="243"/>
      <c r="E22" s="342"/>
      <c r="F22" s="342"/>
      <c r="G22" s="342"/>
      <c r="H22" s="243"/>
      <c r="I22" s="243"/>
      <c r="J22" s="243"/>
    </row>
    <row r="23" spans="1:10" ht="27" customHeight="1">
      <c r="A23" s="14" t="s">
        <v>17</v>
      </c>
      <c r="B23" s="14" t="s">
        <v>19</v>
      </c>
      <c r="C23" s="14" t="s">
        <v>361</v>
      </c>
      <c r="D23" s="14" t="s">
        <v>362</v>
      </c>
      <c r="E23" s="14"/>
      <c r="F23" s="94" t="s">
        <v>1712</v>
      </c>
      <c r="G23" s="14"/>
      <c r="H23" s="14" t="s">
        <v>363</v>
      </c>
      <c r="I23" s="14" t="s">
        <v>364</v>
      </c>
      <c r="J23" s="14" t="s">
        <v>365</v>
      </c>
    </row>
    <row r="24" spans="1:10" ht="50.1" customHeight="1">
      <c r="A24" s="78" t="s">
        <v>1390</v>
      </c>
      <c r="B24" s="78" t="s">
        <v>29</v>
      </c>
      <c r="C24" s="78" t="s">
        <v>1391</v>
      </c>
      <c r="D24" s="78" t="s">
        <v>1392</v>
      </c>
      <c r="E24" s="488"/>
      <c r="F24" s="500">
        <f>COUNTIF('Plan de tests'!F:H,$A24)</f>
        <v>1</v>
      </c>
      <c r="G24" s="488"/>
      <c r="H24" s="165" t="str">
        <f>HYPERLINK("[Tagerim.xlsx]UC_GU_MU_20",UC_GU_MU_20)</f>
        <v>UC_GU_MU_20</v>
      </c>
      <c r="I24" s="144"/>
      <c r="J24" s="144"/>
    </row>
    <row r="25" spans="1:10" ht="50.1" customHeight="1">
      <c r="A25" s="112" t="s">
        <v>385</v>
      </c>
      <c r="B25" s="112" t="s">
        <v>29</v>
      </c>
      <c r="C25" s="112" t="s">
        <v>386</v>
      </c>
      <c r="D25" s="112" t="s">
        <v>387</v>
      </c>
      <c r="E25" s="489"/>
      <c r="F25" s="499">
        <f>COUNTIF('Plan de tests'!F:H,$A25)</f>
        <v>1</v>
      </c>
      <c r="G25" s="489"/>
      <c r="H25" s="190" t="str">
        <f>HYPERLINK("[Tagerim.xlsx]UC_GU_MU_30",UC_GU_MU_30)</f>
        <v>UC_GU_MU_30</v>
      </c>
      <c r="I25" s="113" t="s">
        <v>319</v>
      </c>
      <c r="J25" s="471" t="s">
        <v>1691</v>
      </c>
    </row>
    <row r="26" spans="1:10" ht="50.1" customHeight="1">
      <c r="A26" s="78" t="s">
        <v>389</v>
      </c>
      <c r="B26" s="78" t="s">
        <v>29</v>
      </c>
      <c r="C26" s="78" t="s">
        <v>390</v>
      </c>
      <c r="D26" s="78" t="s">
        <v>391</v>
      </c>
      <c r="E26" s="488"/>
      <c r="F26" s="500">
        <f>COUNTIF('Plan de tests'!F:H,$A26)</f>
        <v>1</v>
      </c>
      <c r="G26" s="488"/>
      <c r="H26" s="165" t="str">
        <f>HYPERLINK("[Tagerim.xlsx]UC_GU_MU_50",UC_GU_MU_50)</f>
        <v>UC_GU_MU_50</v>
      </c>
      <c r="I26" s="144"/>
      <c r="J26" s="144"/>
    </row>
    <row r="27" spans="1:10" ht="50.1" customHeight="1">
      <c r="A27" s="42" t="s">
        <v>392</v>
      </c>
      <c r="B27" s="42" t="s">
        <v>29</v>
      </c>
      <c r="C27" s="42" t="s">
        <v>372</v>
      </c>
      <c r="D27" s="42" t="s">
        <v>374</v>
      </c>
      <c r="E27" s="490"/>
      <c r="F27" s="499">
        <f>COUNTIF('Plan de tests'!F:H,$A27)</f>
        <v>1</v>
      </c>
      <c r="G27" s="490"/>
      <c r="H27" s="164" t="str">
        <f>HYPERLINK("[Tagerim.xlsx]UC_GU_MU_60",UC_GU_MU_60)</f>
        <v>UC_GU_MU_60</v>
      </c>
      <c r="I27" s="153"/>
      <c r="J27" s="471" t="s">
        <v>1692</v>
      </c>
    </row>
    <row r="28" spans="1:10" s="147" customFormat="1" ht="12.75" customHeight="1">
      <c r="A28" s="257"/>
      <c r="B28" s="257"/>
      <c r="C28" s="257"/>
      <c r="D28" s="257"/>
      <c r="E28" s="257"/>
      <c r="F28" s="257"/>
      <c r="G28" s="257"/>
      <c r="H28" s="277"/>
      <c r="I28" s="278"/>
      <c r="J28" s="278"/>
    </row>
    <row r="29" spans="1:10" s="147" customFormat="1" ht="12" customHeight="1">
      <c r="A29" s="257"/>
      <c r="B29" s="257"/>
      <c r="C29" s="257"/>
      <c r="D29" s="257"/>
      <c r="E29" s="257"/>
      <c r="F29" s="257"/>
      <c r="G29" s="257"/>
      <c r="H29" s="277"/>
      <c r="I29" s="278"/>
      <c r="J29" s="278"/>
    </row>
    <row r="30" spans="1:10" s="147" customFormat="1" ht="20.25" customHeight="1">
      <c r="A30" s="479" t="s">
        <v>1397</v>
      </c>
      <c r="B30" s="479"/>
      <c r="C30" s="479"/>
      <c r="D30" s="479"/>
      <c r="E30" s="479"/>
      <c r="F30" s="479"/>
      <c r="G30" s="479"/>
      <c r="H30" s="479"/>
      <c r="I30" s="479"/>
      <c r="J30" s="479"/>
    </row>
    <row r="31" spans="1:10" s="147" customFormat="1" ht="20.25" customHeight="1">
      <c r="A31" s="480"/>
      <c r="B31" s="480"/>
      <c r="C31" s="480"/>
      <c r="D31" s="480"/>
      <c r="E31" s="480"/>
      <c r="F31" s="480"/>
      <c r="G31" s="480"/>
      <c r="H31" s="480"/>
      <c r="I31" s="480"/>
      <c r="J31" s="480"/>
    </row>
    <row r="32" spans="1:10" s="147" customFormat="1" ht="20.25" customHeight="1">
      <c r="A32" s="14" t="s">
        <v>17</v>
      </c>
      <c r="B32" s="14" t="s">
        <v>19</v>
      </c>
      <c r="C32" s="14" t="s">
        <v>361</v>
      </c>
      <c r="D32" s="14" t="s">
        <v>362</v>
      </c>
      <c r="E32" s="14"/>
      <c r="F32" s="94" t="s">
        <v>1712</v>
      </c>
      <c r="G32" s="14"/>
      <c r="H32" s="14" t="s">
        <v>363</v>
      </c>
      <c r="I32" s="14" t="s">
        <v>364</v>
      </c>
      <c r="J32" s="14" t="s">
        <v>365</v>
      </c>
    </row>
    <row r="33" spans="1:10" s="147" customFormat="1" ht="50.1" customHeight="1">
      <c r="A33" s="80" t="s">
        <v>1398</v>
      </c>
      <c r="B33" s="80" t="s">
        <v>29</v>
      </c>
      <c r="C33" s="80" t="s">
        <v>1391</v>
      </c>
      <c r="D33" s="80" t="s">
        <v>1392</v>
      </c>
      <c r="E33" s="486"/>
      <c r="F33" s="499">
        <f>COUNTIF('Plan de tests'!F:H,$A33)</f>
        <v>1</v>
      </c>
      <c r="G33" s="486"/>
      <c r="H33" s="164" t="str">
        <f>HYPERLINK("[Tagerim.xlsx]UC_GU_PR_20",UC_GU_PR_20)</f>
        <v>UC_GU_PR_20</v>
      </c>
      <c r="I33" s="153"/>
      <c r="J33" s="153"/>
    </row>
    <row r="34" spans="1:10" s="147" customFormat="1" ht="50.1" customHeight="1">
      <c r="A34" s="279" t="s">
        <v>1399</v>
      </c>
      <c r="B34" s="279" t="s">
        <v>29</v>
      </c>
      <c r="C34" s="471" t="s">
        <v>1401</v>
      </c>
      <c r="D34" s="279" t="s">
        <v>1402</v>
      </c>
      <c r="E34" s="491"/>
      <c r="F34" s="500">
        <f>COUNTIF('Plan de tests'!F:H,$A34)</f>
        <v>1</v>
      </c>
      <c r="G34" s="491"/>
      <c r="H34" s="165" t="str">
        <f>HYPERLINK("[Tagerim.xlsx]UC_GU_PR_3",UC_GU_PR_30)</f>
        <v>UC_GU_PR_30</v>
      </c>
      <c r="I34" s="280"/>
      <c r="J34" s="471" t="s">
        <v>1701</v>
      </c>
    </row>
    <row r="35" spans="1:10" s="147" customFormat="1" ht="50.1" customHeight="1">
      <c r="A35" s="80" t="s">
        <v>1409</v>
      </c>
      <c r="B35" s="80" t="s">
        <v>29</v>
      </c>
      <c r="C35" s="80" t="s">
        <v>1702</v>
      </c>
      <c r="D35" s="149" t="s">
        <v>1360</v>
      </c>
      <c r="E35" s="487"/>
      <c r="F35" s="499">
        <f>COUNTIF('Plan de tests'!F:H,$A35)</f>
        <v>1</v>
      </c>
      <c r="G35" s="487"/>
      <c r="H35" s="164" t="str">
        <f>HYPERLINK("[Tagerim.xlsx]UC_GU_PR_40",UC_GU_PR_40)</f>
        <v>UC_GU_PR_40</v>
      </c>
      <c r="I35" s="153"/>
      <c r="J35" s="471" t="s">
        <v>1689</v>
      </c>
    </row>
    <row r="36" spans="1:10" s="147" customFormat="1" ht="50.1" customHeight="1">
      <c r="A36" s="279" t="s">
        <v>1410</v>
      </c>
      <c r="B36" s="279" t="s">
        <v>29</v>
      </c>
      <c r="C36" s="78" t="s">
        <v>1411</v>
      </c>
      <c r="D36" s="156" t="s">
        <v>1412</v>
      </c>
      <c r="E36" s="485"/>
      <c r="F36" s="500">
        <f>COUNTIF('Plan de tests'!F:H,$A36)</f>
        <v>1</v>
      </c>
      <c r="G36" s="485"/>
      <c r="H36" s="165" t="str">
        <f>HYPERLINK("[Tagerim.xlsx]UC_GU_PR_50",UC_GU_PR_50)</f>
        <v>UC_GU_PR_50</v>
      </c>
      <c r="I36" s="280"/>
      <c r="J36" s="471" t="s">
        <v>1689</v>
      </c>
    </row>
    <row r="37" spans="1:10" s="147" customFormat="1" ht="50.1" customHeight="1">
      <c r="A37" s="80" t="s">
        <v>1430</v>
      </c>
      <c r="B37" s="80" t="s">
        <v>29</v>
      </c>
      <c r="C37" s="80" t="s">
        <v>1438</v>
      </c>
      <c r="D37" s="149" t="s">
        <v>1362</v>
      </c>
      <c r="E37" s="487"/>
      <c r="F37" s="499">
        <f>COUNTIF('Plan de tests'!F:H,$A37)</f>
        <v>1</v>
      </c>
      <c r="G37" s="487"/>
      <c r="H37" s="164" t="str">
        <f>HYPERLINK("[Tagerim.xlsx]UC_GU_PR_70",UC_GU_PR_70)</f>
        <v>UC_GU_PR_70</v>
      </c>
      <c r="I37" s="153"/>
      <c r="J37" s="471" t="s">
        <v>1689</v>
      </c>
    </row>
    <row r="38" spans="1:10" s="147" customFormat="1" ht="50.1" customHeight="1">
      <c r="A38" s="279" t="s">
        <v>1431</v>
      </c>
      <c r="B38" s="279" t="s">
        <v>29</v>
      </c>
      <c r="C38" s="78" t="s">
        <v>1439</v>
      </c>
      <c r="D38" s="156" t="s">
        <v>1363</v>
      </c>
      <c r="E38" s="485"/>
      <c r="F38" s="500">
        <f>COUNTIF('Plan de tests'!F:H,$A38)</f>
        <v>1</v>
      </c>
      <c r="G38" s="485"/>
      <c r="H38" s="165" t="str">
        <f>HYPERLINK("[Tagerim.xlsx]UC_GU_PR_80",UC_GU_PR_80)</f>
        <v>UC_GU_PR_80</v>
      </c>
      <c r="I38" s="280"/>
      <c r="J38" s="471" t="s">
        <v>1689</v>
      </c>
    </row>
    <row r="39" spans="1:10" s="147" customFormat="1" ht="50.1" customHeight="1">
      <c r="A39" s="80" t="s">
        <v>1432</v>
      </c>
      <c r="B39" s="80" t="s">
        <v>29</v>
      </c>
      <c r="C39" s="80" t="s">
        <v>1440</v>
      </c>
      <c r="D39" s="149" t="s">
        <v>1441</v>
      </c>
      <c r="E39" s="487"/>
      <c r="F39" s="499">
        <f>COUNTIF('Plan de tests'!F:H,$A39)</f>
        <v>1</v>
      </c>
      <c r="G39" s="487"/>
      <c r="H39" s="164" t="str">
        <f>HYPERLINK("[Tagerim.xlsx]UC_GU_PR_90",UC_GU_PR_90)</f>
        <v>UC_GU_PR_90</v>
      </c>
      <c r="I39" s="153"/>
      <c r="J39" s="471" t="s">
        <v>1689</v>
      </c>
    </row>
    <row r="40" spans="1:10" s="147" customFormat="1" ht="50.1" customHeight="1">
      <c r="A40" s="279" t="s">
        <v>1433</v>
      </c>
      <c r="B40" s="279" t="s">
        <v>29</v>
      </c>
      <c r="C40" s="78" t="s">
        <v>1442</v>
      </c>
      <c r="D40" s="156" t="s">
        <v>1412</v>
      </c>
      <c r="E40" s="485"/>
      <c r="F40" s="500">
        <f>COUNTIF('Plan de tests'!F:H,$A40)</f>
        <v>1</v>
      </c>
      <c r="G40" s="485"/>
      <c r="H40" s="165" t="str">
        <f>HYPERLINK("[Tagerim.xlsx]UC_GU_PR_100",UC_GU_PR_100)</f>
        <v>UC_GU_PR_100</v>
      </c>
      <c r="I40" s="280"/>
      <c r="J40" s="471" t="s">
        <v>1689</v>
      </c>
    </row>
    <row r="41" spans="1:10" s="147" customFormat="1" ht="50.1" customHeight="1">
      <c r="A41" s="80" t="s">
        <v>1434</v>
      </c>
      <c r="B41" s="80" t="s">
        <v>29</v>
      </c>
      <c r="C41" s="80" t="s">
        <v>1443</v>
      </c>
      <c r="D41" s="149" t="s">
        <v>1444</v>
      </c>
      <c r="E41" s="487"/>
      <c r="F41" s="499">
        <f>COUNTIF('Plan de tests'!F:H,$A41)</f>
        <v>1</v>
      </c>
      <c r="G41" s="487"/>
      <c r="H41" s="164" t="str">
        <f>HYPERLINK("[Tagerim.xlsx]UC_GU_PR_110",UC_GU_PR_110)</f>
        <v>UC_GU_PR_110</v>
      </c>
      <c r="I41" s="153"/>
      <c r="J41" s="471" t="s">
        <v>1689</v>
      </c>
    </row>
    <row r="42" spans="1:10" s="147" customFormat="1" ht="50.1" customHeight="1">
      <c r="A42" s="279" t="s">
        <v>1435</v>
      </c>
      <c r="B42" s="279" t="s">
        <v>29</v>
      </c>
      <c r="C42" s="78" t="s">
        <v>1445</v>
      </c>
      <c r="D42" s="156" t="s">
        <v>1412</v>
      </c>
      <c r="E42" s="485"/>
      <c r="F42" s="500">
        <f>COUNTIF('Plan de tests'!F:H,$A42)</f>
        <v>1</v>
      </c>
      <c r="G42" s="485"/>
      <c r="H42" s="165" t="str">
        <f>HYPERLINK("[Tagerim.xlsx]UC_GU_PR_130",UC_GU_PR_130)</f>
        <v>UC_GU_PR_130</v>
      </c>
      <c r="I42" s="280"/>
      <c r="J42" s="471" t="s">
        <v>1689</v>
      </c>
    </row>
    <row r="43" spans="1:10" s="147" customFormat="1" ht="50.1" customHeight="1">
      <c r="A43" s="80" t="s">
        <v>1436</v>
      </c>
      <c r="B43" s="80" t="s">
        <v>29</v>
      </c>
      <c r="C43" s="80" t="s">
        <v>1446</v>
      </c>
      <c r="D43" s="149" t="s">
        <v>1447</v>
      </c>
      <c r="E43" s="487"/>
      <c r="F43" s="499">
        <f>COUNTIF('Plan de tests'!F:H,$A43)</f>
        <v>1</v>
      </c>
      <c r="G43" s="487"/>
      <c r="H43" s="164" t="str">
        <f>HYPERLINK("[Tagerim.xlsx]UC_GU_PR_140",UC_GU_PR_140)</f>
        <v>UC_GU_PR_140</v>
      </c>
      <c r="I43" s="153"/>
      <c r="J43" s="471" t="s">
        <v>1689</v>
      </c>
    </row>
    <row r="44" spans="1:10" s="147" customFormat="1" ht="50.1" customHeight="1">
      <c r="A44" s="279" t="s">
        <v>1437</v>
      </c>
      <c r="B44" s="279" t="s">
        <v>29</v>
      </c>
      <c r="C44" s="78" t="s">
        <v>1448</v>
      </c>
      <c r="D44" s="156" t="s">
        <v>1449</v>
      </c>
      <c r="E44" s="485"/>
      <c r="F44" s="500">
        <f>COUNTIF('Plan de tests'!F:H,$A44)</f>
        <v>1</v>
      </c>
      <c r="G44" s="485"/>
      <c r="H44" s="165" t="str">
        <f>HYPERLINK("[Tagerim.xlsx]UC_GU_PR_160",UC_GU_PR_160)</f>
        <v>UC_GU_PR_160</v>
      </c>
      <c r="I44" s="280"/>
      <c r="J44" s="473" t="s">
        <v>1690</v>
      </c>
    </row>
    <row r="45" spans="1:10" s="147" customFormat="1" ht="20.25" customHeight="1">
      <c r="A45" s="257"/>
      <c r="B45" s="257"/>
      <c r="C45" s="257"/>
      <c r="D45" s="257"/>
      <c r="E45" s="257"/>
      <c r="F45" s="257"/>
      <c r="G45" s="257"/>
      <c r="H45" s="277"/>
      <c r="I45" s="278"/>
      <c r="J45" s="278"/>
    </row>
    <row r="46" spans="1:10" s="147" customFormat="1"/>
    <row r="47" spans="1:10" ht="26.25">
      <c r="A47" s="479" t="s">
        <v>91</v>
      </c>
      <c r="B47" s="479"/>
      <c r="C47" s="479"/>
      <c r="D47" s="479"/>
      <c r="E47" s="479"/>
      <c r="F47" s="479"/>
      <c r="G47" s="479"/>
      <c r="H47" s="479"/>
      <c r="I47" s="479"/>
      <c r="J47" s="479"/>
    </row>
    <row r="48" spans="1:10">
      <c r="A48" s="88"/>
      <c r="B48" s="88"/>
      <c r="C48" s="88"/>
      <c r="D48" s="88"/>
      <c r="E48" s="88"/>
      <c r="F48" s="88"/>
      <c r="G48" s="88"/>
      <c r="H48" s="88"/>
      <c r="I48" s="88"/>
    </row>
    <row r="49" spans="1:10" ht="22.9" customHeight="1">
      <c r="A49" s="14" t="s">
        <v>17</v>
      </c>
      <c r="B49" s="14" t="s">
        <v>19</v>
      </c>
      <c r="C49" s="14" t="s">
        <v>361</v>
      </c>
      <c r="D49" s="14" t="s">
        <v>362</v>
      </c>
      <c r="E49" s="14"/>
      <c r="F49" s="94" t="s">
        <v>1712</v>
      </c>
      <c r="G49" s="14"/>
      <c r="H49" s="14" t="s">
        <v>363</v>
      </c>
      <c r="I49" s="14" t="s">
        <v>364</v>
      </c>
      <c r="J49" s="14" t="s">
        <v>365</v>
      </c>
    </row>
    <row r="50" spans="1:10" ht="50.1" customHeight="1">
      <c r="A50" s="42" t="s">
        <v>394</v>
      </c>
      <c r="B50" s="42" t="s">
        <v>29</v>
      </c>
      <c r="C50" s="42" t="s">
        <v>395</v>
      </c>
      <c r="D50" s="42" t="s">
        <v>393</v>
      </c>
      <c r="E50" s="490"/>
      <c r="F50" s="499">
        <f>COUNTIF('Plan de tests'!F:H,$A50)</f>
        <v>1</v>
      </c>
      <c r="G50" s="490"/>
      <c r="H50" s="154" t="str">
        <f>HYPERLINK("[Tagerim.xlsx]UC_GU_SU_20",UC_GU_SU_20)</f>
        <v>UC_GU_SU_20</v>
      </c>
      <c r="I50" s="151"/>
      <c r="J50" s="471" t="s">
        <v>1703</v>
      </c>
    </row>
    <row r="51" spans="1:10">
      <c r="A51" s="91"/>
      <c r="B51" s="91"/>
      <c r="C51" s="91"/>
      <c r="D51" s="91"/>
      <c r="E51" s="91"/>
      <c r="F51" s="91"/>
      <c r="G51" s="91"/>
      <c r="H51" s="91"/>
      <c r="I51" s="91"/>
      <c r="J51" s="91"/>
    </row>
    <row r="53" spans="1:10" ht="30">
      <c r="A53" s="85"/>
      <c r="B53" s="86"/>
      <c r="C53" s="86"/>
      <c r="D53" s="87"/>
      <c r="E53" s="87"/>
      <c r="F53" s="87"/>
      <c r="G53" s="87"/>
      <c r="H53" s="87"/>
      <c r="I53" s="87"/>
    </row>
    <row r="54" spans="1:10">
      <c r="A54" s="477" t="s">
        <v>157</v>
      </c>
      <c r="B54" s="477"/>
      <c r="C54" s="477"/>
      <c r="D54" s="477"/>
      <c r="E54" s="477"/>
      <c r="F54" s="477"/>
      <c r="G54" s="477"/>
      <c r="H54" s="477"/>
      <c r="I54" s="477"/>
      <c r="J54" s="477"/>
    </row>
    <row r="55" spans="1:10" ht="13.5" thickBot="1">
      <c r="A55" s="478"/>
      <c r="B55" s="478"/>
      <c r="C55" s="478"/>
      <c r="D55" s="478"/>
      <c r="E55" s="478"/>
      <c r="F55" s="478"/>
      <c r="G55" s="478"/>
      <c r="H55" s="478"/>
      <c r="I55" s="478"/>
      <c r="J55" s="478"/>
    </row>
    <row r="56" spans="1:10" ht="13.15" customHeight="1">
      <c r="A56" s="92"/>
      <c r="B56" s="92"/>
      <c r="C56" s="92"/>
      <c r="D56" s="92"/>
      <c r="E56" s="344"/>
      <c r="F56" s="344"/>
      <c r="G56" s="344"/>
      <c r="H56" s="92"/>
      <c r="I56" s="92"/>
      <c r="J56" s="92"/>
    </row>
    <row r="57" spans="1:10" ht="26.25">
      <c r="A57" s="479" t="s">
        <v>191</v>
      </c>
      <c r="B57" s="479"/>
      <c r="C57" s="479"/>
      <c r="D57" s="479"/>
      <c r="E57" s="492"/>
      <c r="F57" s="492"/>
      <c r="G57" s="492"/>
      <c r="H57" s="84"/>
      <c r="I57" s="84"/>
      <c r="J57" s="84"/>
    </row>
    <row r="58" spans="1:10" ht="26.25">
      <c r="A58" s="480"/>
      <c r="B58" s="480"/>
      <c r="C58" s="480"/>
      <c r="D58" s="480"/>
      <c r="E58" s="492"/>
      <c r="F58" s="492"/>
      <c r="G58" s="492"/>
      <c r="H58" s="84"/>
      <c r="I58" s="84"/>
      <c r="J58" s="84"/>
    </row>
    <row r="59" spans="1:10" ht="30">
      <c r="A59" s="85"/>
      <c r="B59" s="85"/>
      <c r="C59" s="85"/>
      <c r="D59" s="85"/>
      <c r="E59" s="342"/>
      <c r="F59" s="342"/>
      <c r="G59" s="342"/>
      <c r="H59" s="84"/>
      <c r="I59" s="84"/>
      <c r="J59" s="84"/>
    </row>
    <row r="60" spans="1:10" ht="23.45" customHeight="1">
      <c r="A60" s="169" t="s">
        <v>17</v>
      </c>
      <c r="B60" s="169" t="s">
        <v>19</v>
      </c>
      <c r="C60" s="169" t="s">
        <v>361</v>
      </c>
      <c r="D60" s="169" t="s">
        <v>362</v>
      </c>
      <c r="E60" s="169"/>
      <c r="F60" s="94" t="s">
        <v>1712</v>
      </c>
      <c r="G60" s="169"/>
      <c r="H60" s="169" t="s">
        <v>363</v>
      </c>
      <c r="I60" s="169" t="s">
        <v>364</v>
      </c>
      <c r="J60" s="169" t="s">
        <v>365</v>
      </c>
    </row>
    <row r="61" spans="1:10" ht="50.1" customHeight="1">
      <c r="A61" s="170" t="s">
        <v>396</v>
      </c>
      <c r="B61" s="170" t="s">
        <v>29</v>
      </c>
      <c r="C61" s="170" t="s">
        <v>397</v>
      </c>
      <c r="D61" s="170" t="s">
        <v>398</v>
      </c>
      <c r="E61" s="170"/>
      <c r="F61" s="499">
        <f>COUNTIF('Plan de tests'!F:H,$A61)</f>
        <v>0</v>
      </c>
      <c r="G61" s="170"/>
      <c r="H61" s="164" t="str">
        <f>HYPERLINK("[Tagerim.xlsx]UC_GR_AR_30",UC_GR_AR_30)</f>
        <v>UC_GR_AR_30</v>
      </c>
      <c r="I61" s="171" t="s">
        <v>274</v>
      </c>
      <c r="J61" s="170"/>
    </row>
    <row r="62" spans="1:10" ht="50.1" customHeight="1">
      <c r="A62" s="172" t="s">
        <v>401</v>
      </c>
      <c r="B62" s="172" t="s">
        <v>29</v>
      </c>
      <c r="C62" s="172" t="s">
        <v>406</v>
      </c>
      <c r="D62" s="172" t="s">
        <v>393</v>
      </c>
      <c r="E62" s="172"/>
      <c r="F62" s="500">
        <f>COUNTIF('Plan de tests'!F:H,$A62)</f>
        <v>2</v>
      </c>
      <c r="G62" s="172"/>
      <c r="H62" s="173" t="str">
        <f>HYPERLINK("[Tagerim.xlsx]UC_GR_AR_40",UC_GR_AR_40)</f>
        <v>UC_GR_AR_40</v>
      </c>
      <c r="I62" s="172"/>
      <c r="J62" s="172"/>
    </row>
    <row r="65" spans="1:10" ht="26.25">
      <c r="A65" s="481" t="s">
        <v>227</v>
      </c>
      <c r="B65" s="481"/>
      <c r="C65" s="481"/>
      <c r="D65" s="481"/>
      <c r="E65" s="481"/>
      <c r="F65" s="481"/>
      <c r="G65" s="481"/>
      <c r="H65" s="481"/>
      <c r="I65" s="481"/>
      <c r="J65" s="481"/>
    </row>
    <row r="66" spans="1:10">
      <c r="A66" s="84"/>
      <c r="B66" s="84"/>
      <c r="C66" s="84"/>
      <c r="D66" s="84"/>
      <c r="E66" s="84"/>
      <c r="F66" s="84"/>
      <c r="G66" s="84"/>
      <c r="H66" s="84"/>
      <c r="I66" s="84"/>
      <c r="J66" s="84"/>
    </row>
    <row r="67" spans="1:10" ht="21" customHeight="1">
      <c r="A67" s="169" t="s">
        <v>17</v>
      </c>
      <c r="B67" s="169" t="s">
        <v>19</v>
      </c>
      <c r="C67" s="169" t="s">
        <v>361</v>
      </c>
      <c r="D67" s="169" t="s">
        <v>362</v>
      </c>
      <c r="E67" s="169"/>
      <c r="F67" s="94" t="s">
        <v>1712</v>
      </c>
      <c r="G67" s="169"/>
      <c r="H67" s="169" t="s">
        <v>363</v>
      </c>
      <c r="I67" s="169" t="s">
        <v>364</v>
      </c>
      <c r="J67" s="169" t="s">
        <v>365</v>
      </c>
    </row>
    <row r="68" spans="1:10" ht="50.1" customHeight="1">
      <c r="A68" s="170" t="s">
        <v>415</v>
      </c>
      <c r="B68" s="170" t="s">
        <v>29</v>
      </c>
      <c r="C68" s="170" t="s">
        <v>416</v>
      </c>
      <c r="D68" s="170" t="s">
        <v>417</v>
      </c>
      <c r="E68" s="170"/>
      <c r="F68" s="499">
        <f>COUNTIF('Plan de tests'!F:H,$A68)</f>
        <v>1</v>
      </c>
      <c r="G68" s="170"/>
      <c r="H68" s="164" t="str">
        <f>HYPERLINK("[Tagerim.xlsx]UC_GR_MR_30",UC_GR_MR_30)</f>
        <v>UC_GR_MR_30</v>
      </c>
      <c r="I68" s="187"/>
      <c r="J68" s="187"/>
    </row>
    <row r="69" spans="1:10" ht="50.1" customHeight="1">
      <c r="A69" s="172" t="s">
        <v>421</v>
      </c>
      <c r="B69" s="172" t="s">
        <v>29</v>
      </c>
      <c r="C69" s="172" t="s">
        <v>422</v>
      </c>
      <c r="D69" s="172" t="s">
        <v>393</v>
      </c>
      <c r="E69" s="172"/>
      <c r="F69" s="500">
        <f>COUNTIF('Plan de tests'!F:H,$A69)</f>
        <v>1</v>
      </c>
      <c r="G69" s="172"/>
      <c r="H69" s="165" t="str">
        <f>HYPERLINK("[Tagerim.xlsx]UC_GR_MR_40",UC_GR_MR_40)</f>
        <v>UC_GR_MR_40</v>
      </c>
      <c r="I69" s="193"/>
      <c r="J69" s="194"/>
    </row>
    <row r="72" spans="1:10" ht="26.25">
      <c r="A72" s="481" t="s">
        <v>255</v>
      </c>
      <c r="B72" s="481"/>
      <c r="C72" s="481"/>
      <c r="D72" s="481"/>
      <c r="E72" s="481"/>
      <c r="F72" s="481"/>
      <c r="G72" s="481"/>
      <c r="H72" s="481"/>
      <c r="I72" s="481"/>
      <c r="J72" s="481"/>
    </row>
    <row r="73" spans="1:10">
      <c r="A73" s="84"/>
      <c r="B73" s="84"/>
      <c r="C73" s="84"/>
      <c r="D73" s="84"/>
      <c r="E73" s="84"/>
      <c r="F73" s="84"/>
      <c r="G73" s="84"/>
      <c r="H73" s="84"/>
      <c r="I73" s="84"/>
      <c r="J73" s="84"/>
    </row>
    <row r="74" spans="1:10" ht="19.149999999999999" customHeight="1">
      <c r="A74" s="169" t="s">
        <v>17</v>
      </c>
      <c r="B74" s="169" t="s">
        <v>19</v>
      </c>
      <c r="C74" s="169" t="s">
        <v>361</v>
      </c>
      <c r="D74" s="169" t="s">
        <v>362</v>
      </c>
      <c r="E74" s="169"/>
      <c r="F74" s="94" t="s">
        <v>1712</v>
      </c>
      <c r="G74" s="169"/>
      <c r="H74" s="169" t="s">
        <v>363</v>
      </c>
      <c r="I74" s="169" t="s">
        <v>364</v>
      </c>
      <c r="J74" s="169" t="s">
        <v>365</v>
      </c>
    </row>
    <row r="75" spans="1:10" ht="50.1" customHeight="1">
      <c r="A75" s="187" t="s">
        <v>427</v>
      </c>
      <c r="B75" s="187" t="s">
        <v>29</v>
      </c>
      <c r="C75" s="189" t="s">
        <v>428</v>
      </c>
      <c r="D75" s="189" t="s">
        <v>429</v>
      </c>
      <c r="E75" s="189"/>
      <c r="F75" s="499">
        <f>COUNTIF('Plan de tests'!F:H,$A75)</f>
        <v>1</v>
      </c>
      <c r="G75" s="189"/>
      <c r="H75" s="190" t="str">
        <f>HYPERLINK("[Tagerim.xlsx]UC_GR_SR_20",UC_GR_SR_20)</f>
        <v>UC_GR_SR_20</v>
      </c>
      <c r="I75" s="171" t="s">
        <v>297</v>
      </c>
      <c r="J75" s="189"/>
    </row>
    <row r="79" spans="1:10" ht="28.5" thickBot="1">
      <c r="A79" s="470" t="s">
        <v>273</v>
      </c>
      <c r="B79" s="470"/>
      <c r="C79" s="470"/>
      <c r="D79" s="470"/>
      <c r="E79" s="470"/>
      <c r="F79" s="470"/>
      <c r="G79" s="470"/>
      <c r="H79" s="470"/>
      <c r="I79" s="470"/>
      <c r="J79" s="470"/>
    </row>
    <row r="81" spans="1:10" ht="26.25">
      <c r="A81" s="481" t="s">
        <v>436</v>
      </c>
      <c r="B81" s="481"/>
      <c r="C81" s="481"/>
      <c r="D81" s="481"/>
      <c r="E81" s="481"/>
      <c r="F81" s="481"/>
      <c r="G81" s="481"/>
      <c r="H81" s="481"/>
      <c r="I81" s="481"/>
      <c r="J81" s="481"/>
    </row>
    <row r="82" spans="1:10">
      <c r="A82" s="84"/>
      <c r="B82" s="84"/>
      <c r="C82" s="84"/>
      <c r="D82" s="84"/>
      <c r="E82" s="84"/>
      <c r="F82" s="84"/>
      <c r="G82" s="84"/>
      <c r="H82" s="84"/>
      <c r="I82" s="84"/>
      <c r="J82" s="84"/>
    </row>
    <row r="83" spans="1:10" ht="22.15" customHeight="1">
      <c r="A83" s="169" t="s">
        <v>17</v>
      </c>
      <c r="B83" s="169" t="s">
        <v>19</v>
      </c>
      <c r="C83" s="169" t="s">
        <v>361</v>
      </c>
      <c r="D83" s="169" t="s">
        <v>362</v>
      </c>
      <c r="E83" s="169"/>
      <c r="F83" s="94" t="s">
        <v>1712</v>
      </c>
      <c r="G83" s="169"/>
      <c r="H83" s="169" t="s">
        <v>363</v>
      </c>
      <c r="I83" s="169" t="s">
        <v>364</v>
      </c>
      <c r="J83" s="169" t="s">
        <v>365</v>
      </c>
    </row>
    <row r="84" spans="1:10" ht="28.5">
      <c r="A84" s="170" t="s">
        <v>441</v>
      </c>
      <c r="B84" s="170" t="s">
        <v>29</v>
      </c>
      <c r="C84" s="170" t="s">
        <v>443</v>
      </c>
      <c r="D84" s="170" t="s">
        <v>446</v>
      </c>
      <c r="E84" s="170"/>
      <c r="F84" s="499">
        <f>COUNTIF('Plan de tests'!F:H,$A84)</f>
        <v>2</v>
      </c>
      <c r="G84" s="170"/>
      <c r="H84" s="164" t="str">
        <f>HYPERLINK("[Tagerim.xlsx]UC_RE_AR_30",UC_RE_AR_30)</f>
        <v>UC_RE_AR_30</v>
      </c>
      <c r="I84" s="189"/>
      <c r="J84" s="187"/>
    </row>
    <row r="85" spans="1:10" ht="38.450000000000003" customHeight="1">
      <c r="A85" s="195" t="s">
        <v>441</v>
      </c>
      <c r="B85" s="195" t="s">
        <v>29</v>
      </c>
      <c r="C85" s="195" t="s">
        <v>406</v>
      </c>
      <c r="D85" s="172" t="s">
        <v>393</v>
      </c>
      <c r="E85" s="172"/>
      <c r="F85" s="500">
        <f>COUNTIF('Plan de tests'!F:H,$A85)</f>
        <v>2</v>
      </c>
      <c r="G85" s="172"/>
      <c r="H85" s="165" t="str">
        <f>HYPERLINK("[Tagerim.xlsx]UC_RE_AR_40",UC_RE_AR_40)</f>
        <v>UC_RE_AR_40</v>
      </c>
      <c r="I85" s="193"/>
      <c r="J85" s="194"/>
    </row>
    <row r="88" spans="1:10" ht="26.25">
      <c r="A88" s="481" t="s">
        <v>296</v>
      </c>
      <c r="B88" s="481"/>
      <c r="C88" s="481"/>
      <c r="D88" s="481"/>
      <c r="E88" s="481"/>
      <c r="F88" s="481"/>
      <c r="G88" s="481"/>
      <c r="H88" s="481"/>
      <c r="I88" s="481"/>
      <c r="J88" s="481"/>
    </row>
    <row r="89" spans="1:10">
      <c r="A89" s="84"/>
      <c r="B89" s="84"/>
      <c r="C89" s="84"/>
      <c r="D89" s="84"/>
      <c r="E89" s="84"/>
      <c r="F89" s="84"/>
      <c r="G89" s="84"/>
      <c r="H89" s="84"/>
      <c r="I89" s="84"/>
      <c r="J89" s="84"/>
    </row>
    <row r="90" spans="1:10" ht="22.9" customHeight="1">
      <c r="A90" s="169" t="s">
        <v>17</v>
      </c>
      <c r="B90" s="169" t="s">
        <v>19</v>
      </c>
      <c r="C90" s="169" t="s">
        <v>361</v>
      </c>
      <c r="D90" s="169" t="s">
        <v>362</v>
      </c>
      <c r="E90" s="169"/>
      <c r="F90" s="94" t="s">
        <v>1712</v>
      </c>
      <c r="G90" s="169"/>
      <c r="H90" s="169" t="s">
        <v>363</v>
      </c>
      <c r="I90" s="169" t="s">
        <v>364</v>
      </c>
      <c r="J90" s="169" t="s">
        <v>365</v>
      </c>
    </row>
    <row r="91" spans="1:10" ht="28.5">
      <c r="A91" s="199" t="s">
        <v>452</v>
      </c>
      <c r="B91" s="170" t="s">
        <v>29</v>
      </c>
      <c r="C91" s="170" t="s">
        <v>453</v>
      </c>
      <c r="D91" s="170" t="s">
        <v>454</v>
      </c>
      <c r="E91" s="170"/>
      <c r="F91" s="499">
        <f>COUNTIF('Plan de tests'!F:H,$A91)</f>
        <v>1</v>
      </c>
      <c r="G91" s="170"/>
      <c r="H91" s="164" t="str">
        <f>HYPERLINK("[Tagerim.xlsx]UC_RE_MR_30",UC_RE_MR_30)</f>
        <v>UC_RE_MR_30</v>
      </c>
      <c r="I91" s="189"/>
      <c r="J91" s="189"/>
    </row>
    <row r="92" spans="1:10" ht="38.450000000000003" customHeight="1">
      <c r="A92" s="195" t="s">
        <v>455</v>
      </c>
      <c r="B92" s="195" t="s">
        <v>29</v>
      </c>
      <c r="C92" s="195" t="s">
        <v>422</v>
      </c>
      <c r="D92" s="172" t="s">
        <v>393</v>
      </c>
      <c r="E92" s="172"/>
      <c r="F92" s="500">
        <f>COUNTIF('Plan de tests'!F:H,$A92)</f>
        <v>1</v>
      </c>
      <c r="G92" s="172"/>
      <c r="H92" s="165" t="str">
        <f>HYPERLINK("[Tagerim.xlsx]UC_RE_MR_40",UC_RE_MR_40)</f>
        <v>UC_RE_MR_40</v>
      </c>
      <c r="I92" s="193"/>
      <c r="J92" s="194"/>
    </row>
    <row r="95" spans="1:10" ht="26.25">
      <c r="A95" s="481" t="s">
        <v>310</v>
      </c>
      <c r="B95" s="481"/>
      <c r="C95" s="481"/>
      <c r="D95" s="481"/>
      <c r="E95" s="481"/>
      <c r="F95" s="481"/>
      <c r="G95" s="481"/>
      <c r="H95" s="481"/>
      <c r="I95" s="481"/>
      <c r="J95" s="481"/>
    </row>
    <row r="96" spans="1:10">
      <c r="A96" s="84"/>
      <c r="B96" s="84"/>
      <c r="C96" s="84"/>
      <c r="D96" s="84"/>
      <c r="E96" s="84"/>
      <c r="F96" s="84"/>
      <c r="G96" s="84"/>
      <c r="H96" s="84"/>
      <c r="I96" s="84"/>
      <c r="J96" s="84"/>
    </row>
    <row r="97" spans="1:13" ht="26.45" customHeight="1">
      <c r="A97" s="169" t="s">
        <v>17</v>
      </c>
      <c r="B97" s="169" t="s">
        <v>19</v>
      </c>
      <c r="C97" s="169" t="s">
        <v>361</v>
      </c>
      <c r="D97" s="169" t="s">
        <v>362</v>
      </c>
      <c r="E97" s="169"/>
      <c r="F97" s="94" t="s">
        <v>1712</v>
      </c>
      <c r="G97" s="169"/>
      <c r="H97" s="169" t="s">
        <v>363</v>
      </c>
      <c r="I97" s="169" t="s">
        <v>364</v>
      </c>
      <c r="J97" s="169" t="s">
        <v>365</v>
      </c>
    </row>
    <row r="98" spans="1:13" ht="42.75">
      <c r="A98" s="187" t="s">
        <v>456</v>
      </c>
      <c r="B98" s="187" t="s">
        <v>29</v>
      </c>
      <c r="C98" s="187" t="s">
        <v>457</v>
      </c>
      <c r="D98" s="189" t="s">
        <v>458</v>
      </c>
      <c r="E98" s="189"/>
      <c r="F98" s="499">
        <f>COUNTIF('Plan de tests'!F:H,$A98)</f>
        <v>1</v>
      </c>
      <c r="G98" s="189"/>
      <c r="H98" s="164" t="str">
        <f>HYPERLINK("[Tagerim.xlsx]UC_RE_SR_20",UC_RE_SR_20)</f>
        <v>UC_RE_SR_20</v>
      </c>
      <c r="I98" s="189"/>
      <c r="J98" s="187"/>
    </row>
    <row r="102" spans="1:13" ht="28.5" thickBot="1">
      <c r="A102" s="470" t="s">
        <v>334</v>
      </c>
      <c r="B102" s="470"/>
      <c r="C102" s="470"/>
      <c r="D102" s="470"/>
      <c r="E102" s="470"/>
      <c r="F102" s="470"/>
      <c r="G102" s="470"/>
      <c r="H102" s="470"/>
      <c r="I102" s="470"/>
      <c r="J102" s="470"/>
    </row>
    <row r="104" spans="1:13" ht="26.25">
      <c r="A104" s="481" t="s">
        <v>460</v>
      </c>
      <c r="B104" s="481"/>
      <c r="C104" s="481"/>
      <c r="D104" s="481"/>
      <c r="E104" s="481"/>
      <c r="F104" s="481"/>
      <c r="G104" s="481"/>
      <c r="H104" s="481"/>
      <c r="I104" s="481"/>
      <c r="J104" s="481"/>
    </row>
    <row r="105" spans="1:13">
      <c r="A105" s="84"/>
      <c r="B105" s="84"/>
      <c r="C105" s="84"/>
      <c r="D105" s="84"/>
      <c r="E105" s="84"/>
      <c r="F105" s="84"/>
      <c r="G105" s="84"/>
      <c r="H105" s="84"/>
      <c r="I105" s="84"/>
    </row>
    <row r="106" spans="1:13" ht="23.45" customHeight="1">
      <c r="A106" s="94" t="s">
        <v>17</v>
      </c>
      <c r="B106" s="94" t="s">
        <v>19</v>
      </c>
      <c r="C106" s="94" t="s">
        <v>361</v>
      </c>
      <c r="D106" s="94" t="s">
        <v>362</v>
      </c>
      <c r="E106" s="94"/>
      <c r="F106" s="94" t="s">
        <v>1712</v>
      </c>
      <c r="G106" s="94"/>
      <c r="H106" s="94" t="s">
        <v>363</v>
      </c>
      <c r="I106" s="94" t="s">
        <v>364</v>
      </c>
      <c r="J106" s="94" t="s">
        <v>365</v>
      </c>
    </row>
    <row r="107" spans="1:13" ht="51.6" customHeight="1">
      <c r="A107" s="150" t="s">
        <v>461</v>
      </c>
      <c r="B107" s="150" t="s">
        <v>29</v>
      </c>
      <c r="C107" s="150" t="s">
        <v>462</v>
      </c>
      <c r="D107" s="201" t="s">
        <v>463</v>
      </c>
      <c r="E107" s="201"/>
      <c r="F107" s="499">
        <f>COUNTIF('Plan de tests'!F:H,$A107)</f>
        <v>1</v>
      </c>
      <c r="G107" s="201"/>
      <c r="H107" s="164" t="s">
        <v>776</v>
      </c>
      <c r="I107" s="189"/>
      <c r="J107" s="189"/>
      <c r="K107" s="147"/>
      <c r="L107" s="147"/>
      <c r="M107" s="147"/>
    </row>
    <row r="108" spans="1:13" ht="80.45" customHeight="1">
      <c r="A108" s="179" t="s">
        <v>464</v>
      </c>
      <c r="B108" s="179" t="s">
        <v>29</v>
      </c>
      <c r="C108" s="179" t="s">
        <v>465</v>
      </c>
      <c r="D108" s="203" t="s">
        <v>466</v>
      </c>
      <c r="E108" s="203"/>
      <c r="F108" s="500">
        <f>COUNTIF('Plan de tests'!F:H,$A108)</f>
        <v>1</v>
      </c>
      <c r="G108" s="203"/>
      <c r="H108" s="165" t="str">
        <f>HYPERLINK("[Tagerim.xlsx]UC_AU_PC_20",UC_AU_PC_20)</f>
        <v>UC_AU_PC_20</v>
      </c>
      <c r="I108" s="204"/>
      <c r="J108" s="205"/>
    </row>
    <row r="109" spans="1:13" ht="14.25">
      <c r="A109" s="81"/>
      <c r="B109" s="81"/>
      <c r="C109" s="81"/>
      <c r="D109" s="81"/>
      <c r="E109" s="81"/>
      <c r="F109" s="81"/>
      <c r="G109" s="81"/>
      <c r="H109" s="81"/>
      <c r="I109" s="82"/>
    </row>
    <row r="110" spans="1:13" ht="14.25">
      <c r="A110" s="81"/>
      <c r="B110" s="81"/>
      <c r="C110" s="81"/>
      <c r="D110" s="81"/>
      <c r="E110" s="81"/>
      <c r="F110" s="81"/>
      <c r="G110" s="81"/>
      <c r="H110" s="81"/>
      <c r="I110" s="82"/>
    </row>
    <row r="111" spans="1:13" ht="26.25">
      <c r="A111" s="481" t="s">
        <v>355</v>
      </c>
      <c r="B111" s="481"/>
      <c r="C111" s="481"/>
      <c r="D111" s="481"/>
      <c r="E111" s="481"/>
      <c r="F111" s="481"/>
      <c r="G111" s="481"/>
      <c r="H111" s="481"/>
      <c r="I111" s="481"/>
      <c r="J111" s="481"/>
    </row>
    <row r="112" spans="1:13">
      <c r="A112" s="84"/>
      <c r="B112" s="84"/>
      <c r="C112" s="84"/>
      <c r="D112" s="84"/>
      <c r="E112" s="84"/>
      <c r="F112" s="84"/>
      <c r="G112" s="84"/>
      <c r="H112" s="84"/>
      <c r="I112" s="84"/>
    </row>
    <row r="113" spans="1:10" ht="26.45" customHeight="1">
      <c r="A113" s="169" t="s">
        <v>17</v>
      </c>
      <c r="B113" s="169" t="s">
        <v>19</v>
      </c>
      <c r="C113" s="169" t="s">
        <v>361</v>
      </c>
      <c r="D113" s="169" t="s">
        <v>362</v>
      </c>
      <c r="E113" s="169"/>
      <c r="F113" s="94" t="s">
        <v>1712</v>
      </c>
      <c r="G113" s="169"/>
      <c r="H113" s="169" t="s">
        <v>363</v>
      </c>
      <c r="I113" s="169" t="s">
        <v>364</v>
      </c>
      <c r="J113" s="169" t="s">
        <v>365</v>
      </c>
    </row>
    <row r="114" spans="1:10" ht="59.25" customHeight="1">
      <c r="A114" s="209" t="s">
        <v>467</v>
      </c>
      <c r="B114" s="209" t="s">
        <v>29</v>
      </c>
      <c r="C114" s="209" t="s">
        <v>468</v>
      </c>
      <c r="D114" s="210" t="s">
        <v>495</v>
      </c>
      <c r="E114" s="210"/>
      <c r="F114" s="499">
        <f>COUNTIF('Plan de tests'!F:H,$A114)</f>
        <v>1</v>
      </c>
      <c r="G114" s="210"/>
      <c r="H114" s="164" t="str">
        <f>HYPERLINK("[Tagerim.xlsx]UC_AU_MO_10",UC_AU_MO_10)</f>
        <v>UC_AU_MO_10</v>
      </c>
      <c r="I114" s="210"/>
      <c r="J114" s="474" t="s">
        <v>1688</v>
      </c>
    </row>
    <row r="115" spans="1:10" ht="59.25" customHeight="1">
      <c r="A115" s="211" t="s">
        <v>1475</v>
      </c>
      <c r="B115" s="212" t="s">
        <v>29</v>
      </c>
      <c r="C115" s="212" t="s">
        <v>1476</v>
      </c>
      <c r="D115" s="212" t="s">
        <v>1477</v>
      </c>
      <c r="E115" s="212"/>
      <c r="F115" s="500">
        <f>COUNTIF('Plan de tests'!F:H,$A115)</f>
        <v>1</v>
      </c>
      <c r="G115" s="212"/>
      <c r="H115" s="173" t="str">
        <f>HYPERLINK("[Tagerim.xlsx]UC_AU_MO_15",UC_AU_MO_15)</f>
        <v>UC_AU_MO_15</v>
      </c>
      <c r="I115" s="212"/>
      <c r="J115" s="179"/>
    </row>
    <row r="116" spans="1:10" ht="98.25" customHeight="1">
      <c r="A116" s="210" t="s">
        <v>469</v>
      </c>
      <c r="B116" s="284" t="s">
        <v>29</v>
      </c>
      <c r="C116" s="284" t="s">
        <v>470</v>
      </c>
      <c r="D116" s="284" t="s">
        <v>1694</v>
      </c>
      <c r="E116" s="284"/>
      <c r="F116" s="284"/>
      <c r="G116" s="284"/>
      <c r="H116" s="164" t="str">
        <f>HYPERLINK("[Tagerim.xlsx]UC_AU_MO_30",UC_AU_MO_30)</f>
        <v>UC_AU_MO_30</v>
      </c>
      <c r="I116" s="284"/>
      <c r="J116" s="474" t="s">
        <v>1693</v>
      </c>
    </row>
    <row r="117" spans="1:10" ht="14.25">
      <c r="A117" s="81"/>
      <c r="B117" s="81"/>
      <c r="C117" s="81"/>
      <c r="D117" s="81"/>
      <c r="E117" s="81"/>
      <c r="F117" s="81"/>
      <c r="G117" s="81"/>
      <c r="H117" s="81"/>
      <c r="I117" s="82"/>
    </row>
    <row r="118" spans="1:10" ht="14.25">
      <c r="A118" s="81"/>
      <c r="B118" s="81"/>
      <c r="C118" s="81"/>
      <c r="D118" s="81"/>
      <c r="E118" s="81"/>
      <c r="F118" s="81"/>
      <c r="G118" s="81"/>
      <c r="H118" s="81"/>
      <c r="I118" s="82"/>
    </row>
    <row r="119" spans="1:10" ht="26.25">
      <c r="A119" s="481" t="s">
        <v>369</v>
      </c>
      <c r="B119" s="481"/>
      <c r="C119" s="481"/>
      <c r="D119" s="481"/>
      <c r="E119" s="481"/>
      <c r="F119" s="481"/>
      <c r="G119" s="481"/>
      <c r="H119" s="481"/>
      <c r="I119" s="481"/>
      <c r="J119" s="481"/>
    </row>
    <row r="120" spans="1:10">
      <c r="A120" s="84"/>
      <c r="B120" s="84"/>
      <c r="C120" s="84"/>
      <c r="D120" s="84"/>
      <c r="E120" s="84"/>
      <c r="F120" s="84"/>
      <c r="G120" s="84"/>
      <c r="H120" s="84"/>
      <c r="I120" s="84"/>
    </row>
    <row r="121" spans="1:10" ht="24.6" customHeight="1">
      <c r="A121" s="169" t="s">
        <v>17</v>
      </c>
      <c r="B121" s="169" t="s">
        <v>19</v>
      </c>
      <c r="C121" s="169" t="s">
        <v>361</v>
      </c>
      <c r="D121" s="169" t="s">
        <v>362</v>
      </c>
      <c r="E121" s="169"/>
      <c r="F121" s="94" t="s">
        <v>1712</v>
      </c>
      <c r="G121" s="169"/>
      <c r="H121" s="169" t="s">
        <v>363</v>
      </c>
      <c r="I121" s="169" t="s">
        <v>364</v>
      </c>
      <c r="J121" s="169" t="s">
        <v>365</v>
      </c>
    </row>
    <row r="122" spans="1:10" ht="39.6" customHeight="1">
      <c r="A122" s="209" t="s">
        <v>476</v>
      </c>
      <c r="B122" s="209" t="s">
        <v>29</v>
      </c>
      <c r="C122" s="209" t="s">
        <v>477</v>
      </c>
      <c r="D122" s="210" t="s">
        <v>478</v>
      </c>
      <c r="E122" s="210"/>
      <c r="F122" s="499">
        <f>COUNTIF('Plan de tests'!F:H,$A122)</f>
        <v>1</v>
      </c>
      <c r="G122" s="210"/>
      <c r="H122" s="190" t="str">
        <f>HYPERLINK("[Tagerim.xlsx]UC_AU_CO_10",UC_AU_CO_10)</f>
        <v>UC_AU_CO_10</v>
      </c>
      <c r="I122" s="224"/>
      <c r="J122" s="222"/>
    </row>
    <row r="123" spans="1:10" ht="65.45" customHeight="1">
      <c r="A123" s="214" t="s">
        <v>482</v>
      </c>
      <c r="B123" s="214" t="s">
        <v>29</v>
      </c>
      <c r="C123" s="214" t="s">
        <v>483</v>
      </c>
      <c r="D123" s="212" t="s">
        <v>484</v>
      </c>
      <c r="E123" s="212"/>
      <c r="F123" s="500">
        <f>COUNTIF('Plan de tests'!F:H,$A123)</f>
        <v>1</v>
      </c>
      <c r="G123" s="212"/>
      <c r="H123" s="173" t="str">
        <f>HYPERLINK("[Tagerim.xlsx]UC_AU_CO_20",UC_AU_CO_20)</f>
        <v>UC_AU_CO_20</v>
      </c>
      <c r="I123" s="225"/>
      <c r="J123" s="223"/>
    </row>
    <row r="124" spans="1:10" ht="30">
      <c r="A124" s="89"/>
      <c r="B124" s="84"/>
      <c r="C124" s="84"/>
      <c r="D124" s="84"/>
      <c r="E124" s="84"/>
      <c r="F124" s="84"/>
      <c r="G124" s="84"/>
      <c r="H124" s="84"/>
      <c r="I124" s="84"/>
    </row>
    <row r="125" spans="1:10" ht="26.25">
      <c r="A125" s="481" t="s">
        <v>379</v>
      </c>
      <c r="B125" s="481"/>
      <c r="C125" s="481"/>
      <c r="D125" s="481"/>
      <c r="E125" s="481"/>
      <c r="F125" s="481"/>
      <c r="G125" s="481"/>
      <c r="H125" s="481"/>
      <c r="I125" s="481"/>
      <c r="J125" s="481"/>
    </row>
    <row r="126" spans="1:10">
      <c r="A126" s="84"/>
      <c r="B126" s="84"/>
      <c r="C126" s="84"/>
      <c r="D126" s="84"/>
      <c r="E126" s="84"/>
      <c r="F126" s="84"/>
      <c r="G126" s="84"/>
      <c r="H126" s="84"/>
      <c r="I126" s="84"/>
    </row>
    <row r="127" spans="1:10" ht="21" customHeight="1">
      <c r="A127" s="14" t="s">
        <v>17</v>
      </c>
      <c r="B127" s="14" t="s">
        <v>19</v>
      </c>
      <c r="C127" s="14" t="s">
        <v>361</v>
      </c>
      <c r="D127" s="14" t="s">
        <v>362</v>
      </c>
      <c r="E127" s="14"/>
      <c r="F127" s="94" t="s">
        <v>1712</v>
      </c>
      <c r="G127" s="14"/>
      <c r="H127" s="14" t="s">
        <v>363</v>
      </c>
      <c r="I127" s="14" t="s">
        <v>364</v>
      </c>
      <c r="J127" s="14" t="s">
        <v>365</v>
      </c>
    </row>
    <row r="128" spans="1:10" ht="99" customHeight="1">
      <c r="A128" s="210" t="s">
        <v>485</v>
      </c>
      <c r="B128" s="210" t="s">
        <v>29</v>
      </c>
      <c r="C128" s="210" t="s">
        <v>486</v>
      </c>
      <c r="D128" s="210" t="s">
        <v>487</v>
      </c>
      <c r="E128" s="210"/>
      <c r="F128" s="499">
        <f>COUNTIF('Plan de tests'!F:H,$A128)</f>
        <v>1</v>
      </c>
      <c r="G128" s="210"/>
      <c r="H128" s="190" t="str">
        <f>HYPERLINK("[Tagerim.xlsx]UC_AU_RC_10",UC_AU_RC_10)</f>
        <v>UC_AU_RC_10</v>
      </c>
      <c r="I128" s="224"/>
      <c r="J128" s="150"/>
    </row>
    <row r="129" spans="1:13" ht="45.6" customHeight="1">
      <c r="A129" s="214" t="s">
        <v>488</v>
      </c>
      <c r="B129" s="214" t="s">
        <v>29</v>
      </c>
      <c r="C129" s="214" t="s">
        <v>477</v>
      </c>
      <c r="D129" s="212" t="s">
        <v>478</v>
      </c>
      <c r="E129" s="212"/>
      <c r="F129" s="500">
        <f>COUNTIF('Plan de tests'!F:H,$A129)</f>
        <v>1</v>
      </c>
      <c r="G129" s="212"/>
      <c r="H129" s="173" t="str">
        <f>HYPERLINK("[Tagerim.xlsx]UC_AU_RC_30",UC_AU_RC_30)</f>
        <v>UC_AU_RC_30</v>
      </c>
      <c r="I129" s="225"/>
      <c r="J129" s="203"/>
      <c r="M129" s="90"/>
    </row>
    <row r="133" spans="1:13" ht="28.5" thickBot="1">
      <c r="A133" s="470" t="s">
        <v>388</v>
      </c>
      <c r="B133" s="470"/>
      <c r="C133" s="470"/>
      <c r="D133" s="470"/>
      <c r="E133" s="470"/>
      <c r="F133" s="470"/>
      <c r="G133" s="470"/>
      <c r="H133" s="470"/>
      <c r="I133" s="470"/>
      <c r="J133" s="470"/>
    </row>
    <row r="135" spans="1:13" ht="26.25">
      <c r="A135" s="482" t="s">
        <v>399</v>
      </c>
      <c r="B135" s="482"/>
      <c r="C135" s="482"/>
      <c r="D135" s="482"/>
      <c r="E135" s="482"/>
      <c r="F135" s="482"/>
      <c r="G135" s="482"/>
      <c r="H135" s="482"/>
      <c r="I135" s="482"/>
      <c r="J135" s="482"/>
    </row>
    <row r="136" spans="1:13">
      <c r="A136" s="84"/>
      <c r="B136" s="84"/>
      <c r="C136" s="84"/>
      <c r="D136" s="84"/>
      <c r="E136" s="84"/>
      <c r="F136" s="84"/>
      <c r="G136" s="84"/>
      <c r="H136" s="84"/>
      <c r="I136" s="84"/>
      <c r="J136" s="84"/>
    </row>
    <row r="137" spans="1:13" ht="23.45" customHeight="1">
      <c r="A137" s="169" t="s">
        <v>17</v>
      </c>
      <c r="B137" s="169" t="s">
        <v>19</v>
      </c>
      <c r="C137" s="169" t="s">
        <v>361</v>
      </c>
      <c r="D137" s="169" t="s">
        <v>362</v>
      </c>
      <c r="E137" s="169"/>
      <c r="F137" s="94" t="s">
        <v>1712</v>
      </c>
      <c r="G137" s="169"/>
      <c r="H137" s="169" t="s">
        <v>363</v>
      </c>
      <c r="I137" s="169" t="s">
        <v>364</v>
      </c>
      <c r="J137" s="169" t="s">
        <v>365</v>
      </c>
    </row>
    <row r="138" spans="1:13" ht="82.5" customHeight="1">
      <c r="A138" s="180" t="s">
        <v>489</v>
      </c>
      <c r="B138" s="180" t="s">
        <v>29</v>
      </c>
      <c r="C138" s="180" t="s">
        <v>490</v>
      </c>
      <c r="D138" s="180" t="s">
        <v>491</v>
      </c>
      <c r="E138" s="180"/>
      <c r="F138" s="499">
        <f>COUNTIF('Plan de tests'!F:H,$A138)</f>
        <v>1</v>
      </c>
      <c r="G138" s="180"/>
      <c r="H138" s="164" t="str">
        <f>HYPERLINK("[Tagerim.xlsx]UC_PF_CA_40",UC_PF_CA_40)</f>
        <v>UC_PF_CA_40</v>
      </c>
      <c r="I138" s="171" t="s">
        <v>80</v>
      </c>
      <c r="J138" s="474" t="s">
        <v>1696</v>
      </c>
    </row>
    <row r="139" spans="1:13" ht="50.1" customHeight="1">
      <c r="A139" s="182" t="s">
        <v>1683</v>
      </c>
      <c r="B139" s="182" t="s">
        <v>29</v>
      </c>
      <c r="C139" s="182" t="s">
        <v>1684</v>
      </c>
      <c r="D139" s="182" t="s">
        <v>478</v>
      </c>
      <c r="E139" s="182"/>
      <c r="F139" s="500">
        <f>COUNTIF('Plan de tests'!F:H,$A139)</f>
        <v>1</v>
      </c>
      <c r="G139" s="182"/>
      <c r="H139" s="165" t="str">
        <f>HYPERLINK("[Tagerim.xlsx]UC_PF_CA_45",UC_PF_CA_45)</f>
        <v>UC_PF_CA_45</v>
      </c>
      <c r="I139" s="172"/>
      <c r="J139" s="193"/>
    </row>
    <row r="140" spans="1:13" ht="50.1" customHeight="1">
      <c r="A140" s="290" t="s">
        <v>1487</v>
      </c>
      <c r="B140" s="290" t="s">
        <v>29</v>
      </c>
      <c r="C140" s="290" t="s">
        <v>1488</v>
      </c>
      <c r="D140" s="290" t="s">
        <v>478</v>
      </c>
      <c r="E140" s="290"/>
      <c r="F140" s="499">
        <f>COUNTIF('Plan de tests'!F:H,$A140)</f>
        <v>1</v>
      </c>
      <c r="G140" s="290"/>
      <c r="H140" s="164" t="str">
        <f>HYPERLINK("[Tagerim.xlsx]UC_PF_CA_55",UC_PF_CA_55)</f>
        <v>UC_PF_CA_55</v>
      </c>
      <c r="I140" s="291"/>
      <c r="J140" s="341"/>
    </row>
    <row r="141" spans="1:13" ht="72.75" customHeight="1">
      <c r="A141" s="182" t="s">
        <v>492</v>
      </c>
      <c r="B141" s="182" t="s">
        <v>29</v>
      </c>
      <c r="C141" s="182" t="s">
        <v>493</v>
      </c>
      <c r="D141" s="182" t="s">
        <v>1695</v>
      </c>
      <c r="E141" s="182"/>
      <c r="F141" s="500">
        <f>COUNTIF('Plan de tests'!F:H,$A141)</f>
        <v>1</v>
      </c>
      <c r="G141" s="182"/>
      <c r="H141" s="165" t="str">
        <f>HYPERLINK("[Tagerim.xlsx]UC_PF_CA_70",UC_PF_CA_70)</f>
        <v>UC_PF_CA_70</v>
      </c>
      <c r="I141" s="172"/>
      <c r="J141" s="193"/>
    </row>
    <row r="143" spans="1:13" ht="26.25">
      <c r="A143" s="482" t="s">
        <v>1304</v>
      </c>
      <c r="B143" s="482"/>
      <c r="C143" s="482"/>
      <c r="D143" s="482"/>
      <c r="E143" s="482"/>
      <c r="F143" s="482"/>
      <c r="G143" s="482"/>
      <c r="H143" s="482"/>
      <c r="I143" s="482"/>
      <c r="J143" s="482"/>
    </row>
    <row r="144" spans="1:13">
      <c r="A144" s="84"/>
      <c r="B144" s="84"/>
      <c r="C144" s="84"/>
      <c r="D144" s="84"/>
      <c r="E144" s="84"/>
      <c r="F144" s="84"/>
      <c r="G144" s="84"/>
      <c r="H144" s="84"/>
      <c r="I144" s="84"/>
      <c r="J144" s="84"/>
    </row>
    <row r="145" spans="1:10">
      <c r="A145" s="169" t="s">
        <v>17</v>
      </c>
      <c r="B145" s="169" t="s">
        <v>19</v>
      </c>
      <c r="C145" s="169" t="s">
        <v>361</v>
      </c>
      <c r="D145" s="169" t="s">
        <v>362</v>
      </c>
      <c r="E145" s="169"/>
      <c r="F145" s="94" t="s">
        <v>1712</v>
      </c>
      <c r="G145" s="169"/>
      <c r="H145" s="169" t="s">
        <v>363</v>
      </c>
      <c r="I145" s="169" t="s">
        <v>364</v>
      </c>
      <c r="J145" s="169" t="s">
        <v>365</v>
      </c>
    </row>
    <row r="146" spans="1:10" ht="114" customHeight="1">
      <c r="A146" s="180" t="s">
        <v>1312</v>
      </c>
      <c r="B146" s="180" t="s">
        <v>29</v>
      </c>
      <c r="C146" s="180" t="s">
        <v>490</v>
      </c>
      <c r="D146" s="180" t="s">
        <v>1710</v>
      </c>
      <c r="E146" s="180"/>
      <c r="F146" s="499">
        <f>COUNTIF('Plan de tests'!F:H,$A146)</f>
        <v>0</v>
      </c>
      <c r="G146" s="180"/>
      <c r="H146" s="190"/>
      <c r="I146" s="171"/>
      <c r="J146" s="227"/>
    </row>
    <row r="147" spans="1:10" ht="107.25" customHeight="1">
      <c r="A147" s="182" t="s">
        <v>1313</v>
      </c>
      <c r="B147" s="182" t="s">
        <v>29</v>
      </c>
      <c r="C147" s="182" t="s">
        <v>493</v>
      </c>
      <c r="D147" s="182" t="s">
        <v>1711</v>
      </c>
      <c r="E147" s="182"/>
      <c r="F147" s="499">
        <f>COUNTIF('Plan de tests'!F:H,$A147)</f>
        <v>0</v>
      </c>
      <c r="G147" s="182"/>
      <c r="H147" s="173"/>
      <c r="I147" s="172"/>
      <c r="J147" s="228"/>
    </row>
    <row r="156" spans="1:10" ht="28.5" thickBot="1">
      <c r="A156" s="470" t="s">
        <v>498</v>
      </c>
      <c r="B156" s="470"/>
      <c r="C156" s="470"/>
      <c r="D156" s="470"/>
      <c r="E156" s="470"/>
      <c r="F156" s="470"/>
      <c r="G156" s="470"/>
      <c r="H156" s="470"/>
      <c r="I156" s="470"/>
      <c r="J156" s="470"/>
    </row>
    <row r="158" spans="1:10" ht="26.25">
      <c r="A158" s="482" t="s">
        <v>499</v>
      </c>
      <c r="B158" s="482"/>
      <c r="C158" s="482"/>
      <c r="D158" s="482"/>
      <c r="E158" s="482"/>
      <c r="F158" s="482"/>
      <c r="G158" s="482"/>
      <c r="H158" s="482"/>
      <c r="I158" s="482"/>
      <c r="J158" s="482"/>
    </row>
    <row r="160" spans="1:10" ht="23.45" customHeight="1">
      <c r="A160" s="196" t="s">
        <v>17</v>
      </c>
      <c r="B160" s="196" t="s">
        <v>19</v>
      </c>
      <c r="C160" s="196" t="s">
        <v>361</v>
      </c>
      <c r="D160" s="196" t="s">
        <v>362</v>
      </c>
      <c r="E160" s="196"/>
      <c r="F160" s="94" t="s">
        <v>1712</v>
      </c>
      <c r="G160" s="196"/>
      <c r="H160" s="196" t="s">
        <v>363</v>
      </c>
      <c r="I160" s="196" t="s">
        <v>364</v>
      </c>
      <c r="J160" s="196" t="s">
        <v>365</v>
      </c>
    </row>
    <row r="161" spans="1:10" ht="84" customHeight="1">
      <c r="A161" s="201" t="s">
        <v>627</v>
      </c>
      <c r="B161" s="180" t="s">
        <v>29</v>
      </c>
      <c r="C161" s="180" t="s">
        <v>626</v>
      </c>
      <c r="D161" s="180" t="s">
        <v>815</v>
      </c>
      <c r="E161" s="180"/>
      <c r="F161" s="499">
        <f>COUNTIF('Plan de tests'!F:H,$A161)</f>
        <v>1</v>
      </c>
      <c r="G161" s="180"/>
      <c r="H161" s="230" t="str">
        <f>HYPERLINK("[Tagerim.xlsx]UC_AA_CD_20",UC_AA_CD_20)</f>
        <v>UC_AA_CD_20</v>
      </c>
      <c r="I161" s="171"/>
      <c r="J161" s="189"/>
    </row>
    <row r="162" spans="1:10" ht="66" customHeight="1">
      <c r="A162" s="226" t="s">
        <v>823</v>
      </c>
      <c r="B162" s="197" t="s">
        <v>29</v>
      </c>
      <c r="C162" s="197" t="s">
        <v>626</v>
      </c>
      <c r="D162" s="197" t="s">
        <v>824</v>
      </c>
      <c r="E162" s="197"/>
      <c r="F162" s="500">
        <f>COUNTIF('Plan de tests'!F:H,$A162)</f>
        <v>1</v>
      </c>
      <c r="G162" s="197"/>
      <c r="H162" s="231" t="str">
        <f>HYPERLINK("[Tagerim.xlsx]UC_AA_CD_30",UC_AA_CD_30)</f>
        <v>UC_AA_CD_30</v>
      </c>
      <c r="I162" s="192"/>
      <c r="J162" s="191"/>
    </row>
    <row r="163" spans="1:10" ht="79.900000000000006" customHeight="1">
      <c r="A163" s="201" t="s">
        <v>827</v>
      </c>
      <c r="B163" s="180" t="s">
        <v>29</v>
      </c>
      <c r="C163" s="180" t="s">
        <v>829</v>
      </c>
      <c r="D163" s="180" t="s">
        <v>830</v>
      </c>
      <c r="E163" s="180"/>
      <c r="F163" s="499">
        <f>COUNTIF('Plan de tests'!F:H,$A163)</f>
        <v>1</v>
      </c>
      <c r="G163" s="180"/>
      <c r="H163" s="229" t="str">
        <f>HYPERLINK("[Tagerim.xlsx]UC_AA_CD_40",UC_AA_CD_40)</f>
        <v>UC_AA_CD_40</v>
      </c>
      <c r="I163" s="171"/>
      <c r="J163" s="189"/>
    </row>
    <row r="164" spans="1:10" ht="66" customHeight="1">
      <c r="A164" s="226" t="s">
        <v>828</v>
      </c>
      <c r="B164" s="197" t="s">
        <v>29</v>
      </c>
      <c r="C164" s="197" t="s">
        <v>837</v>
      </c>
      <c r="D164" s="197" t="s">
        <v>838</v>
      </c>
      <c r="E164" s="197"/>
      <c r="F164" s="500">
        <f>COUNTIF('Plan de tests'!F:H,$A164)</f>
        <v>1</v>
      </c>
      <c r="G164" s="197"/>
      <c r="H164" s="231" t="str">
        <f>HYPERLINK("[Tagerim.xlsx]UC_AA_CD_80",UC_AA_CD_80)</f>
        <v>UC_AA_CD_80</v>
      </c>
      <c r="I164" s="192"/>
      <c r="J164" s="191"/>
    </row>
    <row r="167" spans="1:10" ht="26.25">
      <c r="A167" s="482" t="s">
        <v>506</v>
      </c>
      <c r="B167" s="482"/>
      <c r="C167" s="482"/>
      <c r="D167" s="482"/>
      <c r="E167" s="482"/>
      <c r="F167" s="482"/>
      <c r="G167" s="482"/>
      <c r="H167" s="482"/>
      <c r="I167" s="482"/>
      <c r="J167" s="482"/>
    </row>
    <row r="169" spans="1:10" ht="27" customHeight="1">
      <c r="A169" s="169" t="s">
        <v>17</v>
      </c>
      <c r="B169" s="169" t="s">
        <v>19</v>
      </c>
      <c r="C169" s="169" t="s">
        <v>361</v>
      </c>
      <c r="D169" s="169" t="s">
        <v>362</v>
      </c>
      <c r="E169" s="169"/>
      <c r="F169" s="94" t="s">
        <v>1712</v>
      </c>
      <c r="G169" s="169"/>
      <c r="H169" s="169" t="s">
        <v>363</v>
      </c>
      <c r="I169" s="169" t="s">
        <v>364</v>
      </c>
      <c r="J169" s="169" t="s">
        <v>365</v>
      </c>
    </row>
    <row r="170" spans="1:10" ht="78.599999999999994" customHeight="1">
      <c r="A170" s="226" t="s">
        <v>628</v>
      </c>
      <c r="B170" s="197" t="s">
        <v>29</v>
      </c>
      <c r="C170" s="197" t="s">
        <v>1511</v>
      </c>
      <c r="D170" s="197" t="s">
        <v>1512</v>
      </c>
      <c r="E170" s="197"/>
      <c r="F170" s="500">
        <f>COUNTIF('Plan de tests'!F:H,$A170)</f>
        <v>1</v>
      </c>
      <c r="G170" s="197"/>
      <c r="H170" s="200" t="str">
        <f>HYPERLINK("[Tagerim.xlsx]UC_AA_CM_20",UC_AA_CM_20)</f>
        <v>UC_AA_CM_20</v>
      </c>
      <c r="I170" s="192"/>
      <c r="J170" s="191"/>
    </row>
    <row r="171" spans="1:10" ht="79.900000000000006" customHeight="1">
      <c r="A171" s="201" t="s">
        <v>844</v>
      </c>
      <c r="B171" s="180" t="s">
        <v>29</v>
      </c>
      <c r="C171" s="180" t="s">
        <v>846</v>
      </c>
      <c r="D171" s="180" t="s">
        <v>847</v>
      </c>
      <c r="E171" s="180"/>
      <c r="F171" s="499">
        <f>COUNTIF('Plan de tests'!F:H,$A171)</f>
        <v>1</v>
      </c>
      <c r="G171" s="180"/>
      <c r="H171" s="230" t="str">
        <f>HYPERLINK("[Tagerim.xlsx]UC_AA_CM_40",UC_AA_CM_40)</f>
        <v>UC_AA_CM_40</v>
      </c>
      <c r="I171" s="171"/>
      <c r="J171" s="189"/>
    </row>
    <row r="172" spans="1:10" ht="56.25" customHeight="1">
      <c r="A172" s="226" t="s">
        <v>845</v>
      </c>
      <c r="B172" s="197" t="s">
        <v>29</v>
      </c>
      <c r="C172" s="197" t="s">
        <v>837</v>
      </c>
      <c r="D172" s="197" t="s">
        <v>1282</v>
      </c>
      <c r="E172" s="197"/>
      <c r="F172" s="500">
        <f>COUNTIF('Plan de tests'!F:H,$A172)</f>
        <v>1</v>
      </c>
      <c r="G172" s="197"/>
      <c r="H172" s="200" t="str">
        <f>HYPERLINK("[Tagerim.xlsx]UC_AA_CM_80",UC_AA_CM_80)</f>
        <v>UC_AA_CM_80</v>
      </c>
      <c r="I172" s="192"/>
      <c r="J172" s="191"/>
    </row>
    <row r="175" spans="1:10" ht="26.25">
      <c r="A175" s="482" t="s">
        <v>544</v>
      </c>
      <c r="B175" s="482"/>
      <c r="C175" s="482"/>
      <c r="D175" s="482"/>
      <c r="E175" s="482"/>
      <c r="F175" s="482"/>
      <c r="G175" s="482"/>
      <c r="H175" s="482"/>
      <c r="I175" s="482"/>
      <c r="J175" s="482"/>
    </row>
    <row r="176" spans="1:10">
      <c r="A176" s="140"/>
      <c r="C176" s="140"/>
      <c r="D176" s="140"/>
      <c r="E176" s="141"/>
      <c r="F176" s="141"/>
      <c r="G176" s="141"/>
      <c r="I176" s="140"/>
      <c r="J176" s="140"/>
    </row>
    <row r="177" spans="1:13" ht="21" customHeight="1">
      <c r="A177" s="169" t="s">
        <v>17</v>
      </c>
      <c r="B177" s="169" t="s">
        <v>19</v>
      </c>
      <c r="C177" s="169" t="s">
        <v>361</v>
      </c>
      <c r="D177" s="169" t="s">
        <v>362</v>
      </c>
      <c r="E177" s="169"/>
      <c r="F177" s="94" t="s">
        <v>1712</v>
      </c>
      <c r="G177" s="169"/>
      <c r="H177" s="169" t="s">
        <v>363</v>
      </c>
      <c r="I177" s="169" t="s">
        <v>364</v>
      </c>
      <c r="J177" s="169" t="s">
        <v>365</v>
      </c>
    </row>
    <row r="178" spans="1:13" ht="40.15" customHeight="1">
      <c r="A178" s="201" t="s">
        <v>630</v>
      </c>
      <c r="B178" s="180" t="s">
        <v>29</v>
      </c>
      <c r="C178" s="180" t="s">
        <v>632</v>
      </c>
      <c r="D178" s="180" t="s">
        <v>478</v>
      </c>
      <c r="E178" s="180"/>
      <c r="F178" s="499">
        <f>COUNTIF('Plan de tests'!F:H,$A178)</f>
        <v>1</v>
      </c>
      <c r="G178" s="180"/>
      <c r="H178" s="229" t="str">
        <f>HYPERLINK("[Tagerim.xlsx]UC_AA_RF_20",UC_AA_RF_20)</f>
        <v>UC_AA_RF_20</v>
      </c>
      <c r="I178" s="171"/>
      <c r="J178" s="189"/>
      <c r="L178" s="141"/>
      <c r="M178" s="141"/>
    </row>
    <row r="179" spans="1:13" ht="43.9" customHeight="1">
      <c r="A179" s="226" t="s">
        <v>629</v>
      </c>
      <c r="B179" s="197" t="s">
        <v>29</v>
      </c>
      <c r="C179" s="197" t="s">
        <v>640</v>
      </c>
      <c r="D179" s="197" t="s">
        <v>478</v>
      </c>
      <c r="E179" s="197"/>
      <c r="F179" s="500">
        <f>COUNTIF('Plan de tests'!F:H,$A179)</f>
        <v>1</v>
      </c>
      <c r="G179" s="197"/>
      <c r="H179" s="231" t="str">
        <f>HYPERLINK("[Tagerim.xlsx]UC_AA_RF_40",UC_AA_RF_40)</f>
        <v>UC_AA_RF_40</v>
      </c>
      <c r="I179" s="192"/>
      <c r="J179" s="191"/>
      <c r="L179" s="142"/>
      <c r="M179" s="143"/>
    </row>
    <row r="180" spans="1:13" ht="41.45" customHeight="1">
      <c r="A180" s="201" t="s">
        <v>634</v>
      </c>
      <c r="B180" s="180" t="s">
        <v>29</v>
      </c>
      <c r="C180" s="180" t="s">
        <v>631</v>
      </c>
      <c r="D180" s="180" t="s">
        <v>478</v>
      </c>
      <c r="E180" s="180"/>
      <c r="F180" s="499">
        <f>COUNTIF('Plan de tests'!F:H,$A180)</f>
        <v>1</v>
      </c>
      <c r="G180" s="180"/>
      <c r="H180" s="229" t="str">
        <f>HYPERLINK("[Tagerim.xlsx]UC_AA_RF_50",UC_AA_RF_50)</f>
        <v>UC_AA_RF_50</v>
      </c>
      <c r="I180" s="171"/>
      <c r="J180" s="189"/>
    </row>
    <row r="181" spans="1:13" ht="39" customHeight="1">
      <c r="A181" s="226" t="s">
        <v>635</v>
      </c>
      <c r="B181" s="197" t="s">
        <v>29</v>
      </c>
      <c r="C181" s="197" t="s">
        <v>633</v>
      </c>
      <c r="D181" s="197" t="s">
        <v>478</v>
      </c>
      <c r="E181" s="197"/>
      <c r="F181" s="500">
        <f>COUNTIF('Plan de tests'!F:H,$A181)</f>
        <v>2</v>
      </c>
      <c r="G181" s="197"/>
      <c r="H181" s="231" t="str">
        <f>HYPERLINK("[Tagerim.xlsx]UC_AA_RF_60",UC_AA_RF_60)</f>
        <v>UC_AA_RF_60</v>
      </c>
      <c r="I181" s="192"/>
      <c r="J181" s="191"/>
    </row>
    <row r="182" spans="1:13" ht="36" customHeight="1">
      <c r="A182" s="201" t="s">
        <v>636</v>
      </c>
      <c r="B182" s="180" t="s">
        <v>29</v>
      </c>
      <c r="C182" s="180" t="s">
        <v>637</v>
      </c>
      <c r="D182" s="180" t="s">
        <v>393</v>
      </c>
      <c r="E182" s="180"/>
      <c r="F182" s="180"/>
      <c r="G182" s="180"/>
      <c r="H182" s="229" t="str">
        <f>HYPERLINK("[Tagerim.xlsx]UC_AA_RF_70",UC_AA_RF_70)</f>
        <v>UC_AA_RF_70</v>
      </c>
      <c r="I182" s="171"/>
      <c r="J182" s="189"/>
    </row>
    <row r="183" spans="1:13">
      <c r="D183" s="147"/>
      <c r="E183" s="147"/>
      <c r="F183" s="147"/>
      <c r="G183" s="147"/>
      <c r="H183" s="147"/>
      <c r="I183" s="147"/>
    </row>
    <row r="185" spans="1:13" ht="26.25">
      <c r="A185" s="483" t="s">
        <v>557</v>
      </c>
    </row>
    <row r="187" spans="1:13" ht="24" customHeight="1">
      <c r="A187" s="169" t="s">
        <v>17</v>
      </c>
      <c r="B187" s="169" t="s">
        <v>19</v>
      </c>
      <c r="C187" s="169" t="s">
        <v>361</v>
      </c>
      <c r="D187" s="169" t="s">
        <v>362</v>
      </c>
      <c r="E187" s="169"/>
      <c r="F187" s="94" t="s">
        <v>1712</v>
      </c>
      <c r="G187" s="169"/>
      <c r="H187" s="169" t="s">
        <v>363</v>
      </c>
      <c r="I187" s="169" t="s">
        <v>364</v>
      </c>
      <c r="J187" s="169" t="s">
        <v>365</v>
      </c>
    </row>
    <row r="188" spans="1:13" ht="37.15" customHeight="1">
      <c r="A188" s="201" t="s">
        <v>638</v>
      </c>
      <c r="B188" s="180" t="s">
        <v>29</v>
      </c>
      <c r="C188" s="180" t="s">
        <v>637</v>
      </c>
      <c r="D188" s="180" t="s">
        <v>393</v>
      </c>
      <c r="E188" s="180"/>
      <c r="F188" s="499">
        <f>COUNTIF('Plan de tests'!F:H,$A188)</f>
        <v>1</v>
      </c>
      <c r="G188" s="180"/>
      <c r="H188" s="229" t="str">
        <f>HYPERLINK("[Tagerim.xlsx]UC_AA_AC_40",UC_AA_AC_40)</f>
        <v>UC_AA_AC_40</v>
      </c>
      <c r="I188" s="171"/>
      <c r="J188" s="189"/>
    </row>
    <row r="191" spans="1:13" ht="26.25">
      <c r="A191" s="483" t="s">
        <v>575</v>
      </c>
    </row>
    <row r="193" spans="1:10" ht="21" customHeight="1">
      <c r="A193" s="169" t="s">
        <v>17</v>
      </c>
      <c r="B193" s="169" t="s">
        <v>19</v>
      </c>
      <c r="C193" s="169" t="s">
        <v>361</v>
      </c>
      <c r="D193" s="169" t="s">
        <v>362</v>
      </c>
      <c r="E193" s="169"/>
      <c r="F193" s="94" t="s">
        <v>1712</v>
      </c>
      <c r="G193" s="169"/>
      <c r="H193" s="169" t="s">
        <v>363</v>
      </c>
      <c r="I193" s="169" t="s">
        <v>364</v>
      </c>
      <c r="J193" s="169" t="s">
        <v>365</v>
      </c>
    </row>
    <row r="194" spans="1:10" ht="50.1" customHeight="1">
      <c r="A194" s="201" t="s">
        <v>642</v>
      </c>
      <c r="B194" s="180" t="s">
        <v>29</v>
      </c>
      <c r="C194" s="180" t="s">
        <v>632</v>
      </c>
      <c r="D194" s="180" t="s">
        <v>478</v>
      </c>
      <c r="E194" s="180"/>
      <c r="F194" s="499">
        <f>COUNTIF('Plan de tests'!F:H,$A194)</f>
        <v>1</v>
      </c>
      <c r="G194" s="180"/>
      <c r="H194" s="230" t="str">
        <f>HYPERLINK("[Tagerim.xlsx]UC_AA_RR_20",UC_AA_RR_20)</f>
        <v>UC_AA_RR_20</v>
      </c>
      <c r="I194" s="171"/>
      <c r="J194" s="189"/>
    </row>
    <row r="195" spans="1:10" ht="50.1" customHeight="1">
      <c r="A195" s="226" t="s">
        <v>643</v>
      </c>
      <c r="B195" s="197" t="s">
        <v>29</v>
      </c>
      <c r="C195" s="197" t="s">
        <v>639</v>
      </c>
      <c r="D195" s="197" t="s">
        <v>478</v>
      </c>
      <c r="E195" s="197"/>
      <c r="F195" s="500">
        <f>COUNTIF('Plan de tests'!F:H,$A195)</f>
        <v>1</v>
      </c>
      <c r="G195" s="197"/>
      <c r="H195" s="200" t="str">
        <f>HYPERLINK("[Tagerim.xlsx]UC_AA_RR_30",UC_AA_RR_30)</f>
        <v>UC_AA_RR_30</v>
      </c>
      <c r="I195" s="192"/>
      <c r="J195" s="191"/>
    </row>
    <row r="196" spans="1:10" ht="50.1" customHeight="1">
      <c r="A196" s="201" t="s">
        <v>644</v>
      </c>
      <c r="B196" s="180" t="s">
        <v>29</v>
      </c>
      <c r="C196" s="180" t="s">
        <v>640</v>
      </c>
      <c r="D196" s="180" t="s">
        <v>478</v>
      </c>
      <c r="E196" s="180"/>
      <c r="F196" s="499">
        <f>COUNTIF('Plan de tests'!F:H,$A196)</f>
        <v>1</v>
      </c>
      <c r="G196" s="180"/>
      <c r="H196" s="230" t="str">
        <f>HYPERLINK("[Tagerim.xlsx]UC_AA_RR_40",UC_AA_RR_40)</f>
        <v>UC_AA_RR_40</v>
      </c>
      <c r="I196" s="171"/>
      <c r="J196" s="189"/>
    </row>
    <row r="197" spans="1:10" ht="50.1" customHeight="1">
      <c r="A197" s="226" t="s">
        <v>645</v>
      </c>
      <c r="B197" s="197" t="s">
        <v>29</v>
      </c>
      <c r="C197" s="197" t="s">
        <v>631</v>
      </c>
      <c r="D197" s="197" t="s">
        <v>478</v>
      </c>
      <c r="E197" s="197"/>
      <c r="F197" s="500">
        <f>COUNTIF('Plan de tests'!F:H,$A197)</f>
        <v>1</v>
      </c>
      <c r="G197" s="197"/>
      <c r="H197" s="200" t="str">
        <f>HYPERLINK("[Tagerim.xlsx]UC_AA_RR_50",UC_AA_RR_50)</f>
        <v>UC_AA_RR_50</v>
      </c>
      <c r="I197" s="192"/>
      <c r="J197" s="191"/>
    </row>
    <row r="198" spans="1:10" ht="50.1" customHeight="1">
      <c r="A198" s="201" t="s">
        <v>646</v>
      </c>
      <c r="B198" s="180" t="s">
        <v>29</v>
      </c>
      <c r="C198" s="180" t="s">
        <v>641</v>
      </c>
      <c r="D198" s="180" t="s">
        <v>478</v>
      </c>
      <c r="E198" s="180"/>
      <c r="F198" s="499">
        <f>COUNTIF('Plan de tests'!F:H,$A198)</f>
        <v>1</v>
      </c>
      <c r="G198" s="180"/>
      <c r="H198" s="230" t="str">
        <f>HYPERLINK("[Tagerim.xlsx]UC_AA_RR_60",UC_AA_RR_60)</f>
        <v>UC_AA_RR_60</v>
      </c>
      <c r="I198" s="171"/>
      <c r="J198" s="189"/>
    </row>
    <row r="199" spans="1:10" ht="50.1" customHeight="1">
      <c r="A199" s="226" t="s">
        <v>647</v>
      </c>
      <c r="B199" s="197" t="s">
        <v>29</v>
      </c>
      <c r="C199" s="197" t="s">
        <v>637</v>
      </c>
      <c r="D199" s="197" t="s">
        <v>393</v>
      </c>
      <c r="E199" s="197"/>
      <c r="F199" s="500">
        <f>COUNTIF('Plan de tests'!F:H,$A199)</f>
        <v>1</v>
      </c>
      <c r="G199" s="197"/>
      <c r="H199" s="200" t="str">
        <f>HYPERLINK("[Tagerim.xlsx]UC_AA_RR_70",UC_AA_RR_70)</f>
        <v>UC_AA_RR_70</v>
      </c>
      <c r="I199" s="192"/>
      <c r="J199" s="191"/>
    </row>
    <row r="200" spans="1:10" ht="50.1" customHeight="1">
      <c r="A200" s="201" t="s">
        <v>648</v>
      </c>
      <c r="B200" s="180" t="s">
        <v>29</v>
      </c>
      <c r="C200" s="180" t="s">
        <v>652</v>
      </c>
      <c r="D200" s="180" t="s">
        <v>393</v>
      </c>
      <c r="E200" s="180"/>
      <c r="F200" s="499">
        <f>COUNTIF('Plan de tests'!F:H,$A200)</f>
        <v>1</v>
      </c>
      <c r="G200" s="180"/>
      <c r="H200" s="230" t="str">
        <f>HYPERLINK("[Tagerim.xlsx]UC_AA_RR_100",UC_AA_RR_100)</f>
        <v>UC_AA_RR_100</v>
      </c>
      <c r="I200" s="171"/>
      <c r="J200" s="189"/>
    </row>
    <row r="201" spans="1:10" ht="50.1" customHeight="1">
      <c r="A201" s="226" t="s">
        <v>651</v>
      </c>
      <c r="B201" s="197" t="s">
        <v>29</v>
      </c>
      <c r="C201" s="197" t="s">
        <v>653</v>
      </c>
      <c r="D201" s="197" t="s">
        <v>393</v>
      </c>
      <c r="E201" s="197"/>
      <c r="F201" s="500">
        <f>COUNTIF('Plan de tests'!F:H,$A201)</f>
        <v>1</v>
      </c>
      <c r="G201" s="197"/>
      <c r="H201" s="200" t="str">
        <f>HYPERLINK("[Tagerim.xlsx]UC_AA_RR_110",UC_AA_RR_110)</f>
        <v>UC_AA_RR_110</v>
      </c>
      <c r="I201" s="192"/>
      <c r="J201" s="191"/>
    </row>
    <row r="204" spans="1:10" ht="26.25">
      <c r="A204" s="483" t="s">
        <v>576</v>
      </c>
    </row>
    <row r="205" spans="1:10" ht="18" customHeight="1">
      <c r="A205" s="41"/>
    </row>
    <row r="206" spans="1:10" ht="21.6" customHeight="1">
      <c r="A206" s="169" t="s">
        <v>17</v>
      </c>
      <c r="B206" s="169" t="s">
        <v>19</v>
      </c>
      <c r="C206" s="169" t="s">
        <v>361</v>
      </c>
      <c r="D206" s="169" t="s">
        <v>362</v>
      </c>
      <c r="E206" s="169"/>
      <c r="F206" s="94" t="s">
        <v>1712</v>
      </c>
      <c r="G206" s="169"/>
      <c r="H206" s="169" t="s">
        <v>363</v>
      </c>
      <c r="I206" s="169" t="s">
        <v>364</v>
      </c>
      <c r="J206" s="169" t="s">
        <v>365</v>
      </c>
    </row>
    <row r="207" spans="1:10" ht="40.15" customHeight="1">
      <c r="A207" s="201" t="s">
        <v>683</v>
      </c>
      <c r="B207" s="180" t="s">
        <v>29</v>
      </c>
      <c r="C207" s="180" t="s">
        <v>632</v>
      </c>
      <c r="D207" s="180" t="s">
        <v>478</v>
      </c>
      <c r="E207" s="180"/>
      <c r="F207" s="499">
        <f>COUNTIF('Plan de tests'!F:H,$A207)</f>
        <v>1</v>
      </c>
      <c r="G207" s="180"/>
      <c r="H207" s="230" t="str">
        <f>HYPERLINK("[Tagerim.xlsx]UC_AA_MF_20",UC_AA_MF_20)</f>
        <v>UC_AA_MF_20</v>
      </c>
      <c r="I207" s="171"/>
      <c r="J207" s="189"/>
    </row>
    <row r="208" spans="1:10" ht="37.9" customHeight="1">
      <c r="A208" s="226" t="s">
        <v>684</v>
      </c>
      <c r="B208" s="197" t="s">
        <v>29</v>
      </c>
      <c r="C208" s="197" t="s">
        <v>640</v>
      </c>
      <c r="D208" s="197" t="s">
        <v>478</v>
      </c>
      <c r="E208" s="197"/>
      <c r="F208" s="500">
        <f>COUNTIF('Plan de tests'!F:H,$A208)</f>
        <v>1</v>
      </c>
      <c r="G208" s="197"/>
      <c r="H208" s="200" t="str">
        <f>HYPERLINK("[Tagerim.xlsx]UC_AA_MF_40",UC_AA_MF_40)</f>
        <v>UC_AA_MF_40</v>
      </c>
      <c r="I208" s="192"/>
      <c r="J208" s="191"/>
    </row>
    <row r="209" spans="1:10" ht="39.6" customHeight="1">
      <c r="A209" s="201" t="s">
        <v>685</v>
      </c>
      <c r="B209" s="180" t="s">
        <v>29</v>
      </c>
      <c r="C209" s="180" t="s">
        <v>631</v>
      </c>
      <c r="D209" s="180" t="s">
        <v>478</v>
      </c>
      <c r="E209" s="180"/>
      <c r="F209" s="499">
        <f>COUNTIF('Plan de tests'!F:H,$A209)</f>
        <v>1</v>
      </c>
      <c r="G209" s="180"/>
      <c r="H209" s="230" t="str">
        <f>HYPERLINK("[Tagerim.xlsx]UC_AA_MF_50",UC_AA_MF_50)</f>
        <v>UC_AA_MF_50</v>
      </c>
      <c r="I209" s="171"/>
      <c r="J209" s="189"/>
    </row>
    <row r="210" spans="1:10" ht="40.9" customHeight="1">
      <c r="A210" s="226" t="s">
        <v>686</v>
      </c>
      <c r="B210" s="197" t="s">
        <v>29</v>
      </c>
      <c r="C210" s="197" t="s">
        <v>641</v>
      </c>
      <c r="D210" s="197" t="s">
        <v>478</v>
      </c>
      <c r="E210" s="197"/>
      <c r="F210" s="500">
        <f>COUNTIF('Plan de tests'!F:H,$A210)</f>
        <v>1</v>
      </c>
      <c r="G210" s="197"/>
      <c r="H210" s="200" t="str">
        <f>HYPERLINK("[Tagerim.xlsx]UC_AA_MF_60",UC_AA_MF_60)</f>
        <v>UC_AA_MF_60</v>
      </c>
      <c r="I210" s="192"/>
      <c r="J210" s="191"/>
    </row>
    <row r="211" spans="1:10" ht="35.450000000000003" customHeight="1">
      <c r="A211" s="201" t="s">
        <v>687</v>
      </c>
      <c r="B211" s="180" t="s">
        <v>29</v>
      </c>
      <c r="C211" s="180" t="s">
        <v>637</v>
      </c>
      <c r="D211" s="180" t="s">
        <v>393</v>
      </c>
      <c r="E211" s="180"/>
      <c r="F211" s="499">
        <f>COUNTIF('Plan de tests'!F:H,$A211)</f>
        <v>1</v>
      </c>
      <c r="G211" s="180"/>
      <c r="H211" s="230" t="str">
        <f>HYPERLINK("[Tagerim.xlsx]UC_AA_MF_70",UC_AA_MF_70)</f>
        <v>UC_AA_MF_70</v>
      </c>
      <c r="I211" s="171"/>
      <c r="J211" s="189"/>
    </row>
    <row r="212" spans="1:10" ht="40.9" customHeight="1">
      <c r="A212" s="226" t="s">
        <v>688</v>
      </c>
      <c r="B212" s="197" t="s">
        <v>29</v>
      </c>
      <c r="C212" s="197" t="s">
        <v>653</v>
      </c>
      <c r="D212" s="197" t="s">
        <v>393</v>
      </c>
      <c r="E212" s="197"/>
      <c r="F212" s="500">
        <f>COUNTIF('Plan de tests'!F:H,$A212)</f>
        <v>1</v>
      </c>
      <c r="G212" s="197"/>
      <c r="H212" s="200" t="str">
        <f>HYPERLINK("[Tagerim.xlsx]UC_AA_MF_80",UC_AA_MF_80)</f>
        <v>UC_AA_MF_80</v>
      </c>
      <c r="I212" s="192"/>
      <c r="J212" s="191"/>
    </row>
    <row r="213" spans="1:10">
      <c r="A213" s="147"/>
      <c r="B213" s="147"/>
      <c r="C213" s="147"/>
      <c r="D213" s="147"/>
      <c r="E213" s="147"/>
      <c r="F213" s="147"/>
      <c r="G213" s="147"/>
      <c r="H213" s="147"/>
      <c r="I213" s="147"/>
      <c r="J213" s="147"/>
    </row>
    <row r="215" spans="1:10" ht="26.25">
      <c r="A215" s="483" t="s">
        <v>577</v>
      </c>
    </row>
    <row r="216" spans="1:10" ht="18.600000000000001" customHeight="1">
      <c r="A216" s="41"/>
    </row>
    <row r="217" spans="1:10" ht="21.6" customHeight="1">
      <c r="A217" s="169" t="s">
        <v>17</v>
      </c>
      <c r="B217" s="169" t="s">
        <v>19</v>
      </c>
      <c r="C217" s="169" t="s">
        <v>361</v>
      </c>
      <c r="D217" s="169" t="s">
        <v>362</v>
      </c>
      <c r="E217" s="169"/>
      <c r="F217" s="94" t="s">
        <v>1712</v>
      </c>
      <c r="G217" s="169"/>
      <c r="H217" s="169" t="s">
        <v>363</v>
      </c>
      <c r="I217" s="169" t="s">
        <v>364</v>
      </c>
      <c r="J217" s="169" t="s">
        <v>365</v>
      </c>
    </row>
    <row r="218" spans="1:10" ht="37.15" customHeight="1">
      <c r="A218" s="201" t="s">
        <v>689</v>
      </c>
      <c r="B218" s="180" t="s">
        <v>29</v>
      </c>
      <c r="C218" s="180" t="s">
        <v>632</v>
      </c>
      <c r="D218" s="180" t="s">
        <v>478</v>
      </c>
      <c r="E218" s="180"/>
      <c r="F218" s="499">
        <f>COUNTIF('Plan de tests'!F:H,$A218)</f>
        <v>1</v>
      </c>
      <c r="G218" s="180"/>
      <c r="H218" s="164" t="str">
        <f>HYPERLINK("[Tagerim.xlsx]UC_AA_MR_20",UC_AA_MR_20)</f>
        <v>UC_AA_MR_20</v>
      </c>
      <c r="I218" s="171"/>
      <c r="J218" s="189"/>
    </row>
    <row r="219" spans="1:10" ht="36.6" customHeight="1">
      <c r="A219" s="226" t="s">
        <v>690</v>
      </c>
      <c r="B219" s="197" t="s">
        <v>29</v>
      </c>
      <c r="C219" s="197" t="s">
        <v>639</v>
      </c>
      <c r="D219" s="197" t="s">
        <v>478</v>
      </c>
      <c r="E219" s="197"/>
      <c r="F219" s="500">
        <f>COUNTIF('Plan de tests'!F:H,$A219)</f>
        <v>1</v>
      </c>
      <c r="G219" s="197"/>
      <c r="H219" s="165" t="str">
        <f>HYPERLINK("[Tagerim.xlsx]UC_AA_MR_30",UC_AA_MR_30)</f>
        <v>UC_AA_MR_30</v>
      </c>
      <c r="I219" s="192"/>
      <c r="J219" s="191"/>
    </row>
    <row r="220" spans="1:10" ht="36.6" customHeight="1">
      <c r="A220" s="201" t="s">
        <v>691</v>
      </c>
      <c r="B220" s="180" t="s">
        <v>29</v>
      </c>
      <c r="C220" s="180" t="s">
        <v>640</v>
      </c>
      <c r="D220" s="180" t="s">
        <v>478</v>
      </c>
      <c r="E220" s="180"/>
      <c r="F220" s="499">
        <f>COUNTIF('Plan de tests'!F:H,$A220)</f>
        <v>1</v>
      </c>
      <c r="G220" s="180"/>
      <c r="H220" s="164" t="str">
        <f>HYPERLINK("[Tagerim.xlsx]UC_AA_MR_40",UC_AA_MR_40)</f>
        <v>UC_AA_MR_40</v>
      </c>
      <c r="I220" s="171"/>
      <c r="J220" s="189"/>
    </row>
    <row r="221" spans="1:10" ht="39" customHeight="1">
      <c r="A221" s="226" t="s">
        <v>692</v>
      </c>
      <c r="B221" s="197" t="s">
        <v>29</v>
      </c>
      <c r="C221" s="197" t="s">
        <v>631</v>
      </c>
      <c r="D221" s="197" t="s">
        <v>478</v>
      </c>
      <c r="E221" s="197"/>
      <c r="F221" s="500">
        <f>COUNTIF('Plan de tests'!F:H,$A221)</f>
        <v>1</v>
      </c>
      <c r="G221" s="197"/>
      <c r="H221" s="165" t="str">
        <f>HYPERLINK("[Tagerim.xlsx]UC_AA_MR_50",UC_AA_MR_50)</f>
        <v>UC_AA_MR_50</v>
      </c>
      <c r="I221" s="192"/>
      <c r="J221" s="191"/>
    </row>
    <row r="222" spans="1:10" ht="42.6" customHeight="1">
      <c r="A222" s="201" t="s">
        <v>693</v>
      </c>
      <c r="B222" s="180" t="s">
        <v>29</v>
      </c>
      <c r="C222" s="180" t="s">
        <v>641</v>
      </c>
      <c r="D222" s="180" t="s">
        <v>478</v>
      </c>
      <c r="E222" s="180"/>
      <c r="F222" s="499">
        <f>COUNTIF('Plan de tests'!F:H,$A222)</f>
        <v>1</v>
      </c>
      <c r="G222" s="180"/>
      <c r="H222" s="164" t="str">
        <f>HYPERLINK("[Tagerim.xlsx]UC_AA_MR_60",UC_AA_MR_60)</f>
        <v>UC_AA_MR_60</v>
      </c>
      <c r="I222" s="171"/>
      <c r="J222" s="189"/>
    </row>
    <row r="223" spans="1:10" ht="37.15" customHeight="1">
      <c r="A223" s="226" t="s">
        <v>694</v>
      </c>
      <c r="B223" s="197" t="s">
        <v>29</v>
      </c>
      <c r="C223" s="197" t="s">
        <v>637</v>
      </c>
      <c r="D223" s="197" t="s">
        <v>393</v>
      </c>
      <c r="E223" s="197"/>
      <c r="F223" s="500">
        <f>COUNTIF('Plan de tests'!F:H,$A223)</f>
        <v>1</v>
      </c>
      <c r="G223" s="197"/>
      <c r="H223" s="165" t="str">
        <f>HYPERLINK("[Tagerim.xlsx]UC_AA_MR_70",UC_AA_MR_70)</f>
        <v>UC_AA_MR_70</v>
      </c>
      <c r="I223" s="192"/>
      <c r="J223" s="191"/>
    </row>
    <row r="224" spans="1:10" ht="37.15" customHeight="1">
      <c r="A224" s="201" t="s">
        <v>695</v>
      </c>
      <c r="B224" s="180" t="s">
        <v>29</v>
      </c>
      <c r="C224" s="180" t="s">
        <v>653</v>
      </c>
      <c r="D224" s="180" t="s">
        <v>393</v>
      </c>
      <c r="E224" s="180"/>
      <c r="F224" s="499">
        <f>COUNTIF('Plan de tests'!F:H,$A224)</f>
        <v>1</v>
      </c>
      <c r="G224" s="180"/>
      <c r="H224" s="164" t="str">
        <f>HYPERLINK("[Tagerim.xlsx]UC_AA_MR_80",UC_AA_MR_80)</f>
        <v>UC_AA_MR_80</v>
      </c>
      <c r="I224" s="171"/>
      <c r="J224" s="189"/>
    </row>
    <row r="227" spans="1:10" ht="26.25">
      <c r="A227" s="483" t="s">
        <v>625</v>
      </c>
    </row>
    <row r="229" spans="1:10" ht="20.45" customHeight="1">
      <c r="A229" s="14" t="s">
        <v>17</v>
      </c>
      <c r="B229" s="14" t="s">
        <v>19</v>
      </c>
      <c r="C229" s="14" t="s">
        <v>361</v>
      </c>
      <c r="D229" s="14" t="s">
        <v>362</v>
      </c>
      <c r="E229" s="14"/>
      <c r="F229" s="94" t="s">
        <v>1712</v>
      </c>
      <c r="G229" s="14"/>
      <c r="H229" s="14" t="s">
        <v>363</v>
      </c>
      <c r="I229" s="14" t="s">
        <v>364</v>
      </c>
      <c r="J229" s="14" t="s">
        <v>365</v>
      </c>
    </row>
    <row r="230" spans="1:10" ht="54" customHeight="1">
      <c r="A230" s="201" t="s">
        <v>696</v>
      </c>
      <c r="B230" s="180" t="s">
        <v>29</v>
      </c>
      <c r="C230" s="234" t="s">
        <v>703</v>
      </c>
      <c r="D230" s="189" t="s">
        <v>478</v>
      </c>
      <c r="E230" s="189"/>
      <c r="F230" s="499">
        <f>COUNTIF('Plan de tests'!F:H,$A230)</f>
        <v>1</v>
      </c>
      <c r="G230" s="189"/>
      <c r="H230" s="164" t="str">
        <f>HYPERLINK("[Tagerim.xlsx]UC_AA_EF_20",UC_AA_EF_20)</f>
        <v>UC_AA_EF_20</v>
      </c>
      <c r="I230" s="189"/>
      <c r="J230" s="171"/>
    </row>
    <row r="231" spans="1:10" ht="55.5" customHeight="1">
      <c r="A231" s="226" t="s">
        <v>697</v>
      </c>
      <c r="B231" s="197" t="s">
        <v>29</v>
      </c>
      <c r="C231" s="235" t="s">
        <v>704</v>
      </c>
      <c r="D231" s="191" t="s">
        <v>478</v>
      </c>
      <c r="E231" s="191"/>
      <c r="F231" s="500">
        <f>COUNTIF('Plan de tests'!F:H,$A231)</f>
        <v>1</v>
      </c>
      <c r="G231" s="191"/>
      <c r="H231" s="165" t="str">
        <f>HYPERLINK("[Tagerim.xlsx]UC_AA_EF_30",UC_AA_EF_30)</f>
        <v>UC_AA_EF_30</v>
      </c>
      <c r="I231" s="191"/>
      <c r="J231" s="192"/>
    </row>
    <row r="232" spans="1:10" ht="54" customHeight="1">
      <c r="A232" s="201" t="s">
        <v>698</v>
      </c>
      <c r="B232" s="180" t="s">
        <v>29</v>
      </c>
      <c r="C232" s="234" t="s">
        <v>705</v>
      </c>
      <c r="D232" s="189" t="s">
        <v>478</v>
      </c>
      <c r="E232" s="189"/>
      <c r="F232" s="499">
        <f>COUNTIF('Plan de tests'!F:H,$A232)</f>
        <v>1</v>
      </c>
      <c r="G232" s="189"/>
      <c r="H232" s="164" t="str">
        <f>HYPERLINK("[Tagerim.xlsx]UC_AA_EF_40",UC_AA_EF_40)</f>
        <v>UC_AA_EF_40</v>
      </c>
      <c r="I232" s="189"/>
      <c r="J232" s="171"/>
    </row>
    <row r="233" spans="1:10" ht="54.75" customHeight="1">
      <c r="A233" s="226" t="s">
        <v>699</v>
      </c>
      <c r="B233" s="197" t="s">
        <v>29</v>
      </c>
      <c r="C233" s="235" t="s">
        <v>706</v>
      </c>
      <c r="D233" s="191" t="s">
        <v>478</v>
      </c>
      <c r="E233" s="191"/>
      <c r="F233" s="499">
        <f>COUNTIF('Plan de tests'!F:H,$A233)</f>
        <v>0</v>
      </c>
      <c r="G233" s="191"/>
      <c r="H233" s="165" t="str">
        <f>HYPERLINK("[Tagerim.xlsx]UC_AA_EF_50",UC_AA_EF_50)</f>
        <v>UC_AA_EF_50</v>
      </c>
      <c r="I233" s="191"/>
      <c r="J233" s="192"/>
    </row>
    <row r="234" spans="1:10" ht="50.25" customHeight="1">
      <c r="A234" s="201" t="s">
        <v>700</v>
      </c>
      <c r="B234" s="180" t="s">
        <v>29</v>
      </c>
      <c r="C234" s="234" t="s">
        <v>707</v>
      </c>
      <c r="D234" s="189" t="s">
        <v>708</v>
      </c>
      <c r="E234" s="189"/>
      <c r="F234" s="499">
        <f>COUNTIF('Plan de tests'!F:H,$A234)</f>
        <v>1</v>
      </c>
      <c r="G234" s="189"/>
      <c r="H234" s="164" t="str">
        <f>HYPERLINK("[Tagerim.xlsx]UC_AA_EF_60",UC_AA_EF_60)</f>
        <v>UC_AA_EF_60</v>
      </c>
      <c r="I234" s="189"/>
      <c r="J234" s="171"/>
    </row>
    <row r="235" spans="1:10" ht="58.5" customHeight="1">
      <c r="A235" s="226" t="s">
        <v>701</v>
      </c>
      <c r="B235" s="197" t="s">
        <v>29</v>
      </c>
      <c r="C235" s="235" t="s">
        <v>637</v>
      </c>
      <c r="D235" s="191" t="s">
        <v>393</v>
      </c>
      <c r="E235" s="191"/>
      <c r="F235" s="500">
        <f>COUNTIF('Plan de tests'!F:H,$A235)</f>
        <v>1</v>
      </c>
      <c r="G235" s="191"/>
      <c r="H235" s="165" t="str">
        <f>HYPERLINK("[Tagerim.xlsx]UC_AA_EF_70",UC_AA_EF_70)</f>
        <v>UC_AA_EF_70</v>
      </c>
      <c r="I235" s="191"/>
      <c r="J235" s="192"/>
    </row>
    <row r="236" spans="1:10" ht="58.5" customHeight="1">
      <c r="A236" s="201" t="s">
        <v>1527</v>
      </c>
      <c r="B236" s="180" t="s">
        <v>29</v>
      </c>
      <c r="C236" s="234" t="s">
        <v>1526</v>
      </c>
      <c r="D236" s="189" t="s">
        <v>393</v>
      </c>
      <c r="E236" s="189"/>
      <c r="F236" s="499">
        <f>COUNTIF('Plan de tests'!F:H,$A236)</f>
        <v>1</v>
      </c>
      <c r="G236" s="189"/>
      <c r="H236" s="164" t="str">
        <f>HYPERLINK("[Tagerim.xlsx]UC_AA_EF_75",UC_AA_EF_75)</f>
        <v>UC_AA_EF_75</v>
      </c>
      <c r="I236" s="189"/>
      <c r="J236" s="171"/>
    </row>
    <row r="237" spans="1:10" ht="60.75" customHeight="1">
      <c r="A237" s="226" t="s">
        <v>702</v>
      </c>
      <c r="B237" s="197" t="s">
        <v>29</v>
      </c>
      <c r="C237" s="235" t="s">
        <v>1530</v>
      </c>
      <c r="D237" s="191" t="s">
        <v>1531</v>
      </c>
      <c r="E237" s="191"/>
      <c r="F237" s="500">
        <f>COUNTIF('Plan de tests'!F:H,$A237)</f>
        <v>1</v>
      </c>
      <c r="G237" s="191"/>
      <c r="H237" s="165" t="str">
        <f>HYPERLINK("[Tagerim.xlsx]UC_AA_EF_100",UC_AA_EF_100)</f>
        <v>UC_AA_EF_100</v>
      </c>
      <c r="I237" s="191"/>
      <c r="J237" s="192"/>
    </row>
    <row r="238" spans="1:10" ht="87.75" customHeight="1">
      <c r="A238" s="201" t="s">
        <v>709</v>
      </c>
      <c r="B238" s="180" t="s">
        <v>29</v>
      </c>
      <c r="C238" s="234" t="s">
        <v>1528</v>
      </c>
      <c r="D238" s="189" t="s">
        <v>1529</v>
      </c>
      <c r="E238" s="189"/>
      <c r="F238" s="499">
        <f>COUNTIF('Plan de tests'!F:H,$A238)</f>
        <v>1</v>
      </c>
      <c r="G238" s="189"/>
      <c r="H238" s="164" t="str">
        <f>HYPERLINK("[Tagerim.xlsx]UC_AA_EF_110",UC_AA_EF_110)</f>
        <v>UC_AA_EF_110</v>
      </c>
      <c r="I238" s="189"/>
      <c r="J238" s="171"/>
    </row>
    <row r="239" spans="1:10">
      <c r="A239" s="236"/>
      <c r="B239" s="236"/>
      <c r="C239" s="236"/>
      <c r="D239" s="236"/>
      <c r="E239" s="236"/>
      <c r="F239" s="236"/>
      <c r="G239" s="236"/>
      <c r="H239" s="236"/>
      <c r="I239" s="236"/>
      <c r="J239" s="236"/>
    </row>
    <row r="240" spans="1:10">
      <c r="A240" s="141"/>
      <c r="B240" s="141"/>
      <c r="C240" s="141"/>
      <c r="D240" s="141"/>
      <c r="E240" s="141"/>
      <c r="F240" s="141"/>
      <c r="G240" s="141"/>
      <c r="H240" s="141"/>
      <c r="I240" s="141"/>
      <c r="J240" s="141"/>
    </row>
    <row r="241" spans="1:10">
      <c r="A241" s="141"/>
      <c r="B241" s="141"/>
      <c r="C241" s="141"/>
      <c r="D241" s="141"/>
      <c r="E241" s="141"/>
      <c r="F241" s="141"/>
      <c r="G241" s="141"/>
      <c r="H241" s="141"/>
      <c r="I241" s="141"/>
      <c r="J241" s="141"/>
    </row>
    <row r="244" spans="1:10" ht="28.5" thickBot="1">
      <c r="A244" s="470" t="s">
        <v>711</v>
      </c>
      <c r="B244" s="470"/>
      <c r="C244" s="470"/>
      <c r="D244" s="470"/>
      <c r="E244" s="470"/>
      <c r="F244" s="470"/>
      <c r="G244" s="470"/>
      <c r="H244" s="470"/>
      <c r="I244" s="470"/>
      <c r="J244" s="470"/>
    </row>
    <row r="246" spans="1:10" ht="26.25">
      <c r="A246" s="482" t="s">
        <v>712</v>
      </c>
      <c r="B246" s="482"/>
      <c r="C246" s="482"/>
      <c r="D246" s="482"/>
      <c r="E246" s="482"/>
      <c r="F246" s="482"/>
      <c r="G246" s="482"/>
      <c r="H246" s="482"/>
      <c r="I246" s="482"/>
      <c r="J246" s="482"/>
    </row>
    <row r="248" spans="1:10">
      <c r="A248" s="169" t="s">
        <v>17</v>
      </c>
      <c r="B248" s="169" t="s">
        <v>19</v>
      </c>
      <c r="C248" s="169" t="s">
        <v>361</v>
      </c>
      <c r="D248" s="169" t="s">
        <v>362</v>
      </c>
      <c r="E248" s="169"/>
      <c r="F248" s="94" t="s">
        <v>1712</v>
      </c>
      <c r="G248" s="169"/>
      <c r="H248" s="232" t="s">
        <v>363</v>
      </c>
      <c r="I248" s="169" t="s">
        <v>364</v>
      </c>
      <c r="J248" s="169" t="s">
        <v>365</v>
      </c>
    </row>
    <row r="249" spans="1:10" ht="84.75" customHeight="1">
      <c r="A249" s="150" t="s">
        <v>728</v>
      </c>
      <c r="B249" s="174" t="s">
        <v>29</v>
      </c>
      <c r="C249" s="174" t="s">
        <v>729</v>
      </c>
      <c r="D249" s="180" t="s">
        <v>730</v>
      </c>
      <c r="E249" s="180"/>
      <c r="F249" s="499">
        <f>COUNTIF('Plan de tests'!F:H,$A249)</f>
        <v>1</v>
      </c>
      <c r="G249" s="180"/>
      <c r="H249" s="164" t="str">
        <f>HYPERLINK("[Tagerim.xlsx]UC_EC_LF_30",UC_EC_LF_30)</f>
        <v>UC_EC_LF_30</v>
      </c>
      <c r="I249" s="188"/>
      <c r="J249" s="187"/>
    </row>
    <row r="250" spans="1:10" ht="70.900000000000006" customHeight="1">
      <c r="A250" s="226" t="s">
        <v>731</v>
      </c>
      <c r="B250" s="197" t="s">
        <v>29</v>
      </c>
      <c r="C250" s="197" t="s">
        <v>637</v>
      </c>
      <c r="D250" s="197" t="s">
        <v>732</v>
      </c>
      <c r="E250" s="197"/>
      <c r="F250" s="500">
        <f>COUNTIF('Plan de tests'!F:H,$A250)</f>
        <v>1</v>
      </c>
      <c r="G250" s="197"/>
      <c r="H250" s="165" t="str">
        <f>HYPERLINK("[Tagerim.xlsx]UC_EC_LF_50",UC_EC_LF_50)</f>
        <v>UC_EC_LF_50</v>
      </c>
      <c r="I250" s="192"/>
      <c r="J250" s="191"/>
    </row>
    <row r="253" spans="1:10" ht="26.25">
      <c r="A253" s="482" t="s">
        <v>733</v>
      </c>
      <c r="B253" s="482"/>
      <c r="C253" s="482"/>
      <c r="D253" s="482"/>
      <c r="E253" s="482"/>
      <c r="F253" s="482"/>
      <c r="G253" s="482"/>
      <c r="H253" s="482"/>
      <c r="I253" s="482"/>
      <c r="J253" s="482"/>
    </row>
    <row r="255" spans="1:10">
      <c r="A255" s="169" t="s">
        <v>17</v>
      </c>
      <c r="B255" s="169" t="s">
        <v>19</v>
      </c>
      <c r="C255" s="169" t="s">
        <v>361</v>
      </c>
      <c r="D255" s="169" t="s">
        <v>362</v>
      </c>
      <c r="E255" s="169"/>
      <c r="F255" s="94" t="s">
        <v>1712</v>
      </c>
      <c r="G255" s="169"/>
      <c r="H255" s="169" t="s">
        <v>363</v>
      </c>
      <c r="I255" s="169" t="s">
        <v>364</v>
      </c>
      <c r="J255" s="169" t="s">
        <v>365</v>
      </c>
    </row>
    <row r="256" spans="1:10" ht="71.25" customHeight="1">
      <c r="A256" s="150" t="s">
        <v>739</v>
      </c>
      <c r="B256" s="174" t="s">
        <v>29</v>
      </c>
      <c r="C256" s="174" t="s">
        <v>729</v>
      </c>
      <c r="D256" s="180" t="s">
        <v>730</v>
      </c>
      <c r="E256" s="180"/>
      <c r="F256" s="499">
        <f>COUNTIF('Plan de tests'!F:H,$A256)</f>
        <v>1</v>
      </c>
      <c r="G256" s="180"/>
      <c r="H256" s="190" t="str">
        <f>HYPERLINK("[Tagerim.xlsx]UC_EC_OE_30",UC_EC_OE_30)</f>
        <v>UC_EC_OE_30</v>
      </c>
      <c r="I256" s="188"/>
      <c r="J256" s="187"/>
    </row>
    <row r="257" spans="1:10" ht="28.5">
      <c r="A257" s="226" t="s">
        <v>740</v>
      </c>
      <c r="B257" s="197" t="s">
        <v>29</v>
      </c>
      <c r="C257" s="197" t="s">
        <v>637</v>
      </c>
      <c r="D257" s="197" t="s">
        <v>732</v>
      </c>
      <c r="E257" s="197"/>
      <c r="F257" s="500">
        <f>COUNTIF('Plan de tests'!F:H,$A257)</f>
        <v>1</v>
      </c>
      <c r="G257" s="197"/>
      <c r="H257" s="173" t="str">
        <f>HYPERLINK("[Tagerim.xlsx]UC_EC_OE_40",UC_EC_OE_40)</f>
        <v>UC_EC_OE_40</v>
      </c>
      <c r="I257" s="192"/>
      <c r="J257" s="191"/>
    </row>
    <row r="260" spans="1:10" ht="26.25">
      <c r="A260" s="482" t="s">
        <v>741</v>
      </c>
      <c r="B260" s="482"/>
      <c r="C260" s="482"/>
      <c r="D260" s="482"/>
      <c r="E260" s="482"/>
      <c r="F260" s="482"/>
      <c r="G260" s="482"/>
      <c r="H260" s="482"/>
      <c r="I260" s="482"/>
      <c r="J260" s="482"/>
    </row>
    <row r="262" spans="1:10">
      <c r="A262" s="14" t="s">
        <v>17</v>
      </c>
      <c r="B262" s="14" t="s">
        <v>19</v>
      </c>
      <c r="C262" s="14" t="s">
        <v>361</v>
      </c>
      <c r="D262" s="14" t="s">
        <v>362</v>
      </c>
      <c r="E262" s="14"/>
      <c r="F262" s="94" t="s">
        <v>1712</v>
      </c>
      <c r="G262" s="14"/>
      <c r="H262" s="14" t="s">
        <v>363</v>
      </c>
      <c r="I262" s="14" t="s">
        <v>364</v>
      </c>
      <c r="J262" s="14" t="s">
        <v>365</v>
      </c>
    </row>
    <row r="263" spans="1:10" ht="56.45" customHeight="1">
      <c r="A263" s="150" t="s">
        <v>745</v>
      </c>
      <c r="B263" s="174" t="s">
        <v>29</v>
      </c>
      <c r="C263" s="174" t="s">
        <v>729</v>
      </c>
      <c r="D263" s="174" t="s">
        <v>730</v>
      </c>
      <c r="E263" s="174"/>
      <c r="F263" s="499">
        <f>COUNTIF('Plan de tests'!F:H,$A263)</f>
        <v>1</v>
      </c>
      <c r="G263" s="174"/>
      <c r="H263" s="190" t="str">
        <f>HYPERLINK("[Tagerim.xlsx]UC_EC_OS_30",UC_EC_OS_30)</f>
        <v>UC_EC_OS_30</v>
      </c>
      <c r="I263" s="188"/>
      <c r="J263" s="187"/>
    </row>
    <row r="264" spans="1:10" ht="28.5">
      <c r="A264" s="226" t="s">
        <v>746</v>
      </c>
      <c r="B264" s="197" t="s">
        <v>29</v>
      </c>
      <c r="C264" s="197" t="s">
        <v>637</v>
      </c>
      <c r="D264" s="197" t="s">
        <v>732</v>
      </c>
      <c r="E264" s="197"/>
      <c r="F264" s="500">
        <f>COUNTIF('Plan de tests'!F:H,$A264)</f>
        <v>1</v>
      </c>
      <c r="G264" s="197"/>
      <c r="H264" s="238" t="str">
        <f>HYPERLINK("[Tagerim.xlsx]UC_EC_OS_40",UC_EC_OS_40)</f>
        <v>UC_EC_OS_40</v>
      </c>
      <c r="I264" s="192"/>
      <c r="J264" s="191"/>
    </row>
    <row r="267" spans="1:10" ht="26.25">
      <c r="A267" s="482" t="s">
        <v>850</v>
      </c>
      <c r="B267" s="482"/>
      <c r="C267" s="482"/>
      <c r="D267" s="482"/>
      <c r="E267" s="482"/>
      <c r="F267" s="482"/>
      <c r="G267" s="482"/>
      <c r="H267" s="482"/>
      <c r="I267" s="482"/>
      <c r="J267" s="482"/>
    </row>
    <row r="269" spans="1:10">
      <c r="A269" s="169" t="s">
        <v>17</v>
      </c>
      <c r="B269" s="169" t="s">
        <v>19</v>
      </c>
      <c r="C269" s="169" t="s">
        <v>361</v>
      </c>
      <c r="D269" s="169" t="s">
        <v>362</v>
      </c>
      <c r="E269" s="169"/>
      <c r="F269" s="94" t="s">
        <v>1712</v>
      </c>
      <c r="G269" s="169"/>
      <c r="H269" s="169" t="s">
        <v>363</v>
      </c>
      <c r="I269" s="169" t="s">
        <v>364</v>
      </c>
      <c r="J269" s="169" t="s">
        <v>365</v>
      </c>
    </row>
    <row r="270" spans="1:10" ht="57" customHeight="1">
      <c r="A270" s="150" t="s">
        <v>781</v>
      </c>
      <c r="B270" s="174" t="s">
        <v>29</v>
      </c>
      <c r="C270" s="174" t="s">
        <v>729</v>
      </c>
      <c r="D270" s="174" t="s">
        <v>730</v>
      </c>
      <c r="E270" s="174"/>
      <c r="F270" s="499">
        <f>COUNTIF('Plan de tests'!F:H,$A270)</f>
        <v>1</v>
      </c>
      <c r="G270" s="174"/>
      <c r="H270" s="190" t="str">
        <f>HYPERLINK("[Tagerim.xlsx]UC_EC_NGP_30",UC_EC_NGP_30)</f>
        <v>UC_EC_NGP_30</v>
      </c>
      <c r="I270" s="188"/>
      <c r="J270" s="187"/>
    </row>
    <row r="271" spans="1:10" ht="28.5">
      <c r="A271" s="226" t="s">
        <v>780</v>
      </c>
      <c r="B271" s="197" t="s">
        <v>29</v>
      </c>
      <c r="C271" s="197" t="s">
        <v>637</v>
      </c>
      <c r="D271" s="197" t="s">
        <v>732</v>
      </c>
      <c r="E271" s="197"/>
      <c r="F271" s="500">
        <f>COUNTIF('Plan de tests'!F:H,$A271)</f>
        <v>1</v>
      </c>
      <c r="G271" s="197"/>
      <c r="H271" s="238" t="str">
        <f>HYPERLINK("[Tagerim.xlsx]UC_EC_NGP_40",UC_EC_NGP_40)</f>
        <v>UC_EC_NGP_40</v>
      </c>
      <c r="I271" s="192"/>
      <c r="J271" s="191"/>
    </row>
    <row r="274" spans="1:10" ht="26.25">
      <c r="A274" s="482" t="s">
        <v>849</v>
      </c>
      <c r="B274" s="482"/>
      <c r="C274" s="482"/>
      <c r="D274" s="482"/>
      <c r="E274" s="482"/>
      <c r="F274" s="482"/>
      <c r="G274" s="482"/>
      <c r="H274" s="482"/>
      <c r="I274" s="482"/>
      <c r="J274" s="482"/>
    </row>
    <row r="276" spans="1:10">
      <c r="A276" s="169" t="s">
        <v>17</v>
      </c>
      <c r="B276" s="169" t="s">
        <v>19</v>
      </c>
      <c r="C276" s="169" t="s">
        <v>361</v>
      </c>
      <c r="D276" s="169" t="s">
        <v>362</v>
      </c>
      <c r="E276" s="169"/>
      <c r="F276" s="94" t="s">
        <v>1712</v>
      </c>
      <c r="G276" s="169"/>
      <c r="H276" s="169" t="s">
        <v>363</v>
      </c>
      <c r="I276" s="169" t="s">
        <v>364</v>
      </c>
      <c r="J276" s="169" t="s">
        <v>365</v>
      </c>
    </row>
    <row r="277" spans="1:10" ht="69.75" customHeight="1">
      <c r="A277" s="150" t="s">
        <v>781</v>
      </c>
      <c r="B277" s="174" t="s">
        <v>29</v>
      </c>
      <c r="C277" s="174" t="s">
        <v>729</v>
      </c>
      <c r="D277" s="174" t="s">
        <v>730</v>
      </c>
      <c r="E277" s="174"/>
      <c r="F277" s="499">
        <f>COUNTIF('Plan de tests'!F:H,$A277)</f>
        <v>1</v>
      </c>
      <c r="G277" s="174"/>
      <c r="H277" s="190" t="str">
        <f>HYPERLINK("[Tagerim.xlsx]UC_EC_NGP_30",UC_EC_NGP_30)</f>
        <v>UC_EC_NGP_30</v>
      </c>
      <c r="I277" s="188"/>
      <c r="J277" s="187"/>
    </row>
    <row r="278" spans="1:10" ht="81.75" customHeight="1">
      <c r="A278" s="226" t="s">
        <v>780</v>
      </c>
      <c r="B278" s="197" t="s">
        <v>29</v>
      </c>
      <c r="C278" s="197" t="s">
        <v>637</v>
      </c>
      <c r="D278" s="197" t="s">
        <v>732</v>
      </c>
      <c r="E278" s="197"/>
      <c r="F278" s="500">
        <f>COUNTIF('Plan de tests'!F:H,$A278)</f>
        <v>1</v>
      </c>
      <c r="G278" s="197"/>
      <c r="H278" s="238" t="str">
        <f>HYPERLINK("[Tagerim.xlsx]UC_EC_NGP_40",UC_EC_NGP_40)</f>
        <v>UC_EC_NGP_40</v>
      </c>
      <c r="I278" s="192"/>
      <c r="J278" s="191"/>
    </row>
    <row r="282" spans="1:10" ht="28.5" thickBot="1">
      <c r="A282" s="470" t="s">
        <v>1201</v>
      </c>
      <c r="B282" s="470"/>
      <c r="C282" s="470"/>
      <c r="D282" s="470"/>
      <c r="E282" s="470"/>
      <c r="F282" s="470"/>
      <c r="G282" s="470"/>
      <c r="H282" s="470"/>
      <c r="I282" s="470"/>
      <c r="J282" s="470"/>
    </row>
    <row r="284" spans="1:10" ht="26.25">
      <c r="A284" s="482" t="s">
        <v>1202</v>
      </c>
      <c r="B284" s="482"/>
      <c r="C284" s="482"/>
      <c r="D284" s="482"/>
      <c r="E284" s="482"/>
      <c r="F284" s="482"/>
      <c r="G284" s="482"/>
      <c r="H284" s="482"/>
      <c r="I284" s="482"/>
      <c r="J284" s="482"/>
    </row>
    <row r="286" spans="1:10">
      <c r="A286" s="169" t="s">
        <v>17</v>
      </c>
      <c r="B286" s="169" t="s">
        <v>19</v>
      </c>
      <c r="C286" s="169" t="s">
        <v>361</v>
      </c>
      <c r="D286" s="169" t="s">
        <v>362</v>
      </c>
      <c r="E286" s="169"/>
      <c r="F286" s="94" t="s">
        <v>1712</v>
      </c>
      <c r="G286" s="169"/>
      <c r="H286" s="232" t="s">
        <v>363</v>
      </c>
      <c r="I286" s="169" t="s">
        <v>364</v>
      </c>
      <c r="J286" s="169" t="s">
        <v>365</v>
      </c>
    </row>
    <row r="287" spans="1:10" ht="50.1" customHeight="1">
      <c r="A287" s="150" t="s">
        <v>1074</v>
      </c>
      <c r="B287" s="174" t="s">
        <v>29</v>
      </c>
      <c r="C287" s="174" t="s">
        <v>1075</v>
      </c>
      <c r="D287" s="180" t="s">
        <v>786</v>
      </c>
      <c r="E287" s="180"/>
      <c r="F287" s="499">
        <f>COUNTIF('Plan de tests'!F:H,$A287)</f>
        <v>1</v>
      </c>
      <c r="G287" s="180"/>
      <c r="H287" s="254" t="str">
        <f>HYPERLINK("[Tagerim.xlsx]UC_CO_CO_60",UC_CO_CO_60)</f>
        <v>UC_CO_CO_60</v>
      </c>
      <c r="I287" s="255"/>
      <c r="J287" s="150"/>
    </row>
    <row r="288" spans="1:10" ht="63" customHeight="1">
      <c r="A288" s="226" t="s">
        <v>1076</v>
      </c>
      <c r="B288" s="197" t="s">
        <v>29</v>
      </c>
      <c r="C288" s="197" t="s">
        <v>1077</v>
      </c>
      <c r="D288" s="197" t="s">
        <v>1078</v>
      </c>
      <c r="E288" s="197"/>
      <c r="F288" s="500">
        <f>COUNTIF('Plan de tests'!F:H,$A288)</f>
        <v>1</v>
      </c>
      <c r="G288" s="197"/>
      <c r="H288" s="165" t="str">
        <f>HYPERLINK("[Tagerim.xlsx]UC_CO_CO_70",UC_CO_CO_70)</f>
        <v>UC_CO_CO_70</v>
      </c>
      <c r="I288" s="192"/>
      <c r="J288" s="191"/>
    </row>
    <row r="291" spans="1:10" ht="28.5" thickBot="1">
      <c r="A291" s="470" t="s">
        <v>1205</v>
      </c>
      <c r="B291" s="470"/>
      <c r="C291" s="470"/>
      <c r="D291" s="470"/>
      <c r="E291" s="470"/>
      <c r="F291" s="470"/>
      <c r="G291" s="470"/>
      <c r="H291" s="470"/>
      <c r="I291" s="470"/>
      <c r="J291" s="470"/>
    </row>
    <row r="293" spans="1:10" ht="26.25">
      <c r="A293" s="482" t="s">
        <v>1206</v>
      </c>
      <c r="B293" s="482"/>
      <c r="C293" s="482"/>
      <c r="D293" s="482"/>
      <c r="E293" s="482"/>
      <c r="F293" s="482"/>
      <c r="G293" s="482"/>
      <c r="H293" s="482"/>
      <c r="I293" s="482"/>
      <c r="J293" s="482"/>
    </row>
    <row r="295" spans="1:10">
      <c r="A295" s="169" t="s">
        <v>17</v>
      </c>
      <c r="B295" s="169" t="s">
        <v>19</v>
      </c>
      <c r="C295" s="169" t="s">
        <v>361</v>
      </c>
      <c r="D295" s="169" t="s">
        <v>362</v>
      </c>
      <c r="E295" s="169"/>
      <c r="F295" s="94" t="s">
        <v>1712</v>
      </c>
      <c r="G295" s="169"/>
      <c r="H295" s="232" t="s">
        <v>363</v>
      </c>
      <c r="I295" s="169" t="s">
        <v>364</v>
      </c>
      <c r="J295" s="169" t="s">
        <v>365</v>
      </c>
    </row>
    <row r="296" spans="1:10" ht="47.25" hidden="1" customHeight="1">
      <c r="A296" s="180" t="s">
        <v>1081</v>
      </c>
      <c r="B296" s="180" t="s">
        <v>29</v>
      </c>
      <c r="C296" s="180" t="s">
        <v>1079</v>
      </c>
      <c r="D296" s="180" t="s">
        <v>1083</v>
      </c>
      <c r="E296" s="180"/>
      <c r="F296" s="180"/>
      <c r="G296" s="180"/>
      <c r="H296" s="239" t="str">
        <f>HYPERLINK("[Tagerim.xlsx]UC_IT_TS_40",UC_IT_TS_40)</f>
        <v>UC_IT_TS_40</v>
      </c>
      <c r="I296" s="171"/>
      <c r="J296" s="170"/>
    </row>
    <row r="297" spans="1:10" ht="50.25" hidden="1" customHeight="1">
      <c r="A297" s="226" t="s">
        <v>1082</v>
      </c>
      <c r="B297" s="197" t="s">
        <v>29</v>
      </c>
      <c r="C297" s="197" t="s">
        <v>1079</v>
      </c>
      <c r="D297" s="197" t="s">
        <v>1083</v>
      </c>
      <c r="E297" s="197"/>
      <c r="F297" s="197"/>
      <c r="G297" s="197"/>
      <c r="H297" s="237" t="str">
        <f>HYPERLINK("[Tagerim.xlsx]UC_IT_TS_50",UC_IT_TS_50)</f>
        <v>UC_IT_TS_50</v>
      </c>
      <c r="I297" s="192"/>
      <c r="J297" s="191"/>
    </row>
    <row r="298" spans="1:10" ht="54.75" hidden="1" customHeight="1">
      <c r="A298" s="180" t="s">
        <v>1084</v>
      </c>
      <c r="B298" s="180" t="s">
        <v>29</v>
      </c>
      <c r="C298" s="180" t="s">
        <v>1079</v>
      </c>
      <c r="D298" s="180" t="s">
        <v>1083</v>
      </c>
      <c r="E298" s="180"/>
      <c r="F298" s="180"/>
      <c r="G298" s="180"/>
      <c r="H298" s="239" t="str">
        <f>HYPERLINK("[Tagerim.xlsx]UC_IT_TS_60",UC_IT_TS_60)</f>
        <v>UC_IT_TS_60</v>
      </c>
      <c r="I298" s="171"/>
      <c r="J298" s="170"/>
    </row>
    <row r="299" spans="1:10" ht="54" hidden="1" customHeight="1">
      <c r="A299" s="226" t="s">
        <v>1080</v>
      </c>
      <c r="B299" s="197" t="s">
        <v>29</v>
      </c>
      <c r="C299" s="197" t="s">
        <v>1079</v>
      </c>
      <c r="D299" s="197" t="s">
        <v>1083</v>
      </c>
      <c r="E299" s="197"/>
      <c r="F299" s="197"/>
      <c r="G299" s="197"/>
      <c r="H299" s="237" t="str">
        <f>HYPERLINK("[Tagerim.xlsx]UC_IT_TS_70",UC_IT_TS_70)</f>
        <v>UC_IT_TS_70</v>
      </c>
      <c r="I299" s="192"/>
      <c r="J299" s="191"/>
    </row>
    <row r="300" spans="1:10" ht="94.5" hidden="1" customHeight="1">
      <c r="A300" s="180" t="s">
        <v>1085</v>
      </c>
      <c r="B300" s="180" t="s">
        <v>29</v>
      </c>
      <c r="C300" s="180" t="s">
        <v>1087</v>
      </c>
      <c r="D300" s="180" t="s">
        <v>1088</v>
      </c>
      <c r="E300" s="180"/>
      <c r="F300" s="180"/>
      <c r="G300" s="180"/>
      <c r="H300" s="239" t="str">
        <f>HYPERLINK("[Tagerim.xlsx]UC_IT_TS_80",UC_IT_TS_80)</f>
        <v>UC_IT_TS_80</v>
      </c>
      <c r="I300" s="171"/>
      <c r="J300" s="170"/>
    </row>
    <row r="301" spans="1:10" ht="144.75" hidden="1" customHeight="1">
      <c r="A301" s="197" t="s">
        <v>1178</v>
      </c>
      <c r="B301" s="197" t="s">
        <v>29</v>
      </c>
      <c r="C301" s="197" t="s">
        <v>1177</v>
      </c>
      <c r="D301" s="197" t="s">
        <v>1179</v>
      </c>
      <c r="E301" s="197"/>
      <c r="F301" s="197"/>
      <c r="G301" s="197"/>
      <c r="H301" s="237" t="str">
        <f>HYPERLINK("[Tagerim.xlsx]UC_IT_TS_100",UC_IT_TS_100)</f>
        <v>UC_IT_TS_100</v>
      </c>
      <c r="I301" s="192"/>
      <c r="J301" s="253"/>
    </row>
    <row r="302" spans="1:10" ht="144.75" hidden="1" customHeight="1">
      <c r="A302" s="180" t="s">
        <v>1180</v>
      </c>
      <c r="B302" s="180" t="s">
        <v>29</v>
      </c>
      <c r="C302" s="180" t="s">
        <v>1181</v>
      </c>
      <c r="D302" s="180" t="s">
        <v>1182</v>
      </c>
      <c r="E302" s="180"/>
      <c r="F302" s="180"/>
      <c r="G302" s="180"/>
      <c r="H302" s="240" t="str">
        <f>HYPERLINK("[Tagerim.xlsx]UC_IT_TS_110",UC_IT_TS_110)</f>
        <v>UC_IT_TS_110</v>
      </c>
      <c r="I302" s="171"/>
      <c r="J302" s="170"/>
    </row>
    <row r="303" spans="1:10" ht="94.5" hidden="1" customHeight="1">
      <c r="A303" s="180" t="s">
        <v>1086</v>
      </c>
      <c r="B303" s="180" t="s">
        <v>29</v>
      </c>
      <c r="C303" s="180" t="s">
        <v>1092</v>
      </c>
      <c r="D303" s="180" t="s">
        <v>1083</v>
      </c>
      <c r="E303" s="180"/>
      <c r="F303" s="180"/>
      <c r="G303" s="180"/>
      <c r="H303" s="239" t="str">
        <f>HYPERLINK("[Tagerim.xlsx]UC_IT_TS_120",UC_IT_TS_120)</f>
        <v>UC_IT_TS_120</v>
      </c>
      <c r="I303" s="171"/>
      <c r="J303" s="170"/>
    </row>
    <row r="304" spans="1:10" ht="78" hidden="1" customHeight="1">
      <c r="A304" s="226" t="s">
        <v>1090</v>
      </c>
      <c r="B304" s="197" t="s">
        <v>29</v>
      </c>
      <c r="C304" s="197" t="s">
        <v>1093</v>
      </c>
      <c r="D304" s="197" t="s">
        <v>1083</v>
      </c>
      <c r="E304" s="197"/>
      <c r="F304" s="197"/>
      <c r="G304" s="197"/>
      <c r="H304" s="237" t="str">
        <f>HYPERLINK("[Tagerim.xlsx]UC_IT_TS_130",UC_IT_TS_130)</f>
        <v>UC_IT_TS_130</v>
      </c>
      <c r="I304" s="192"/>
      <c r="J304" s="191"/>
    </row>
    <row r="305" spans="1:14" ht="91.5" hidden="1" customHeight="1">
      <c r="A305" s="180" t="s">
        <v>1097</v>
      </c>
      <c r="B305" s="180" t="s">
        <v>29</v>
      </c>
      <c r="C305" s="201" t="s">
        <v>1099</v>
      </c>
      <c r="D305" s="180" t="s">
        <v>1098</v>
      </c>
      <c r="E305" s="180"/>
      <c r="F305" s="180"/>
      <c r="G305" s="180"/>
      <c r="H305" s="239" t="str">
        <f>HYPERLINK("[Tagerim.xlsx]UC_IT_TS_140",UC_IT_TS_140)</f>
        <v>UC_IT_TS_140</v>
      </c>
      <c r="I305" s="171"/>
      <c r="J305" s="170"/>
    </row>
    <row r="306" spans="1:14" ht="102" hidden="1" customHeight="1">
      <c r="A306" s="197" t="s">
        <v>1091</v>
      </c>
      <c r="B306" s="197" t="s">
        <v>29</v>
      </c>
      <c r="C306" s="197" t="s">
        <v>1094</v>
      </c>
      <c r="D306" s="197" t="s">
        <v>1095</v>
      </c>
      <c r="E306" s="197"/>
      <c r="F306" s="197"/>
      <c r="G306" s="197"/>
      <c r="H306" s="237" t="str">
        <f>HYPERLINK("[Tagerim.xlsx]UC_IT_TS_150",UC_IT_TS_150)</f>
        <v>UC_IT_TS_150</v>
      </c>
      <c r="I306" s="192"/>
      <c r="J306" s="253"/>
    </row>
    <row r="307" spans="1:14" ht="66.75" hidden="1" customHeight="1">
      <c r="A307" s="180" t="s">
        <v>1096</v>
      </c>
      <c r="B307" s="180" t="s">
        <v>29</v>
      </c>
      <c r="C307" s="201" t="s">
        <v>1103</v>
      </c>
      <c r="D307" s="180" t="s">
        <v>1104</v>
      </c>
      <c r="E307" s="180"/>
      <c r="F307" s="180"/>
      <c r="G307" s="180"/>
      <c r="H307" s="239" t="str">
        <f>HYPERLINK("[Tagerim.xlsx]UC_IT_TS_160",UC_IT_TS_160)</f>
        <v>UC_IT_TS_160</v>
      </c>
      <c r="I307" s="171"/>
      <c r="J307" s="170"/>
    </row>
    <row r="308" spans="1:14" ht="93.75" hidden="1" customHeight="1">
      <c r="A308" s="197" t="s">
        <v>1183</v>
      </c>
      <c r="B308" s="197" t="s">
        <v>29</v>
      </c>
      <c r="C308" s="197" t="s">
        <v>1184</v>
      </c>
      <c r="D308" s="197" t="s">
        <v>1185</v>
      </c>
      <c r="E308" s="197"/>
      <c r="F308" s="197"/>
      <c r="G308" s="197"/>
      <c r="H308" s="237" t="str">
        <f>HYPERLINK("[Tagerim.xlsx]UC_IT_TS_170",UC_IT_TS_170)</f>
        <v>UC_IT_TS_170</v>
      </c>
      <c r="I308" s="192"/>
      <c r="J308" s="253"/>
    </row>
    <row r="309" spans="1:14" ht="72" hidden="1" customHeight="1">
      <c r="A309" s="180" t="s">
        <v>1100</v>
      </c>
      <c r="B309" s="180" t="s">
        <v>29</v>
      </c>
      <c r="C309" s="180" t="s">
        <v>1106</v>
      </c>
      <c r="D309" s="180" t="s">
        <v>1083</v>
      </c>
      <c r="E309" s="180"/>
      <c r="F309" s="180"/>
      <c r="G309" s="180"/>
      <c r="H309" s="239" t="str">
        <f>HYPERLINK("[Tagerim.xlsx]UC_IT_TS_180",UC_IT_TS_180)</f>
        <v>UC_IT_TS_180</v>
      </c>
      <c r="I309" s="171"/>
      <c r="J309" s="170"/>
    </row>
    <row r="310" spans="1:14" ht="63.75" hidden="1" customHeight="1">
      <c r="A310" s="197" t="s">
        <v>1101</v>
      </c>
      <c r="B310" s="197" t="s">
        <v>29</v>
      </c>
      <c r="C310" s="226" t="s">
        <v>1099</v>
      </c>
      <c r="D310" s="197" t="s">
        <v>1098</v>
      </c>
      <c r="E310" s="197"/>
      <c r="F310" s="197"/>
      <c r="G310" s="197"/>
      <c r="H310" s="237" t="str">
        <f>HYPERLINK("[Tagerim.xlsx]UC_IT_TS_200",UC_IT_TS_200)</f>
        <v>UC_IT_TS_200</v>
      </c>
      <c r="I310" s="192"/>
      <c r="J310" s="253"/>
    </row>
    <row r="311" spans="1:14" ht="189.75" hidden="1" customHeight="1">
      <c r="A311" s="180" t="s">
        <v>1186</v>
      </c>
      <c r="B311" s="180" t="s">
        <v>29</v>
      </c>
      <c r="C311" s="201" t="s">
        <v>1187</v>
      </c>
      <c r="D311" s="180" t="s">
        <v>1188</v>
      </c>
      <c r="E311" s="180"/>
      <c r="F311" s="180"/>
      <c r="G311" s="180"/>
      <c r="H311" s="239" t="str">
        <f>HYPERLINK("[Tagerim.xlsx]UC_IT_TS_210",UC_IT_TS_210)</f>
        <v>UC_IT_TS_210</v>
      </c>
      <c r="I311" s="171"/>
      <c r="J311" s="170"/>
    </row>
    <row r="312" spans="1:14" ht="54" hidden="1" customHeight="1">
      <c r="A312" s="197" t="s">
        <v>1102</v>
      </c>
      <c r="B312" s="197" t="s">
        <v>29</v>
      </c>
      <c r="C312" s="226" t="s">
        <v>1103</v>
      </c>
      <c r="D312" s="197" t="s">
        <v>1104</v>
      </c>
      <c r="E312" s="197"/>
      <c r="F312" s="197"/>
      <c r="G312" s="197"/>
      <c r="H312" s="237" t="str">
        <f>HYPERLINK("[Tagerim.xlsx]UC_IT_TS_220",UC_IT_TS_220)</f>
        <v>UC_IT_TS_220</v>
      </c>
      <c r="I312" s="192"/>
      <c r="J312" s="253"/>
    </row>
    <row r="315" spans="1:14" ht="26.25">
      <c r="A315" s="482" t="s">
        <v>1709</v>
      </c>
      <c r="B315" s="482"/>
      <c r="C315" s="482"/>
      <c r="D315" s="482"/>
      <c r="E315" s="482"/>
      <c r="F315" s="482"/>
      <c r="G315" s="482"/>
      <c r="H315" s="482"/>
      <c r="I315" s="482"/>
      <c r="J315" s="482"/>
    </row>
    <row r="317" spans="1:14">
      <c r="A317" s="169" t="s">
        <v>17</v>
      </c>
      <c r="B317" s="169" t="s">
        <v>19</v>
      </c>
      <c r="C317" s="169" t="s">
        <v>361</v>
      </c>
      <c r="D317" s="169" t="s">
        <v>362</v>
      </c>
      <c r="E317" s="169"/>
      <c r="F317" s="94" t="s">
        <v>1712</v>
      </c>
      <c r="G317" s="169"/>
      <c r="H317" s="232" t="s">
        <v>363</v>
      </c>
      <c r="I317" s="169" t="s">
        <v>364</v>
      </c>
      <c r="J317" s="169" t="s">
        <v>365</v>
      </c>
    </row>
    <row r="318" spans="1:14" ht="50.1" customHeight="1">
      <c r="A318" s="180" t="s">
        <v>1107</v>
      </c>
      <c r="B318" s="180" t="s">
        <v>29</v>
      </c>
      <c r="C318" s="201" t="s">
        <v>1103</v>
      </c>
      <c r="D318" s="180" t="s">
        <v>1104</v>
      </c>
      <c r="E318" s="180"/>
      <c r="F318" s="499">
        <f>COUNTIF('Plan de tests'!F:H,$A318)</f>
        <v>1</v>
      </c>
      <c r="G318" s="180"/>
      <c r="H318" s="239" t="str">
        <f>HYPERLINK("[Tagerim.xlsx]UC_IT_PT_20",UC_IT_PT_20)</f>
        <v>UC_IT_PT_20</v>
      </c>
      <c r="I318" s="171"/>
      <c r="J318" s="170"/>
    </row>
    <row r="319" spans="1:14" ht="50.1" customHeight="1">
      <c r="A319" s="226" t="s">
        <v>1108</v>
      </c>
      <c r="B319" s="197" t="s">
        <v>29</v>
      </c>
      <c r="C319" s="197" t="s">
        <v>1130</v>
      </c>
      <c r="D319" s="197" t="s">
        <v>1104</v>
      </c>
      <c r="E319" s="197"/>
      <c r="F319" s="500">
        <f>COUNTIF('Plan de tests'!F:H,$A319)</f>
        <v>1</v>
      </c>
      <c r="G319" s="197"/>
      <c r="H319" s="237" t="str">
        <f>HYPERLINK("[Tagerim.xlsx]UC_IT_PT_40",UC_IT_PT_40)</f>
        <v>UC_IT_PT_40</v>
      </c>
      <c r="I319" s="192"/>
      <c r="J319" s="191"/>
      <c r="N319" s="83" t="s">
        <v>451</v>
      </c>
    </row>
    <row r="320" spans="1:14" ht="50.1" customHeight="1">
      <c r="A320" s="180" t="s">
        <v>1109</v>
      </c>
      <c r="B320" s="180" t="s">
        <v>29</v>
      </c>
      <c r="C320" s="180" t="s">
        <v>1131</v>
      </c>
      <c r="D320" s="180" t="s">
        <v>1104</v>
      </c>
      <c r="E320" s="180"/>
      <c r="F320" s="499">
        <f>COUNTIF('Plan de tests'!F:H,$A320)</f>
        <v>1</v>
      </c>
      <c r="G320" s="180"/>
      <c r="H320" s="239" t="str">
        <f>HYPERLINK("[Tagerim.xlsx]UC_IT_PT_50",UC_IT_PT_50)</f>
        <v>UC_IT_PT_50</v>
      </c>
      <c r="I320" s="171"/>
      <c r="J320" s="189"/>
      <c r="M320" s="256" t="s">
        <v>451</v>
      </c>
    </row>
    <row r="321" spans="1:10" ht="50.1" customHeight="1">
      <c r="A321" s="226" t="s">
        <v>1110</v>
      </c>
      <c r="B321" s="197" t="s">
        <v>29</v>
      </c>
      <c r="C321" s="197" t="s">
        <v>1132</v>
      </c>
      <c r="D321" s="197" t="s">
        <v>1104</v>
      </c>
      <c r="E321" s="197"/>
      <c r="F321" s="500">
        <f>COUNTIF('Plan de tests'!F:H,$A321)</f>
        <v>1</v>
      </c>
      <c r="G321" s="197"/>
      <c r="H321" s="237" t="str">
        <f>HYPERLINK("[Tagerim.xlsx]UC_IT_PT_60",UC_IT_PT_60)</f>
        <v>UC_IT_PT_60</v>
      </c>
      <c r="I321" s="192"/>
      <c r="J321" s="191"/>
    </row>
    <row r="322" spans="1:10" ht="50.1" customHeight="1">
      <c r="A322" s="180" t="s">
        <v>1111</v>
      </c>
      <c r="B322" s="180" t="s">
        <v>29</v>
      </c>
      <c r="C322" s="180" t="s">
        <v>1133</v>
      </c>
      <c r="D322" s="180" t="s">
        <v>1104</v>
      </c>
      <c r="E322" s="180"/>
      <c r="F322" s="499">
        <f>COUNTIF('Plan de tests'!F:H,$A322)</f>
        <v>1</v>
      </c>
      <c r="G322" s="180"/>
      <c r="H322" s="239" t="str">
        <f>HYPERLINK("[Tagerim.xlsx]UC_IT_PT_70",UC_IT_PT_70)</f>
        <v>UC_IT_PT_70</v>
      </c>
      <c r="I322" s="171"/>
      <c r="J322" s="170"/>
    </row>
    <row r="323" spans="1:10" ht="50.1" customHeight="1">
      <c r="A323" s="226" t="s">
        <v>1112</v>
      </c>
      <c r="B323" s="197" t="s">
        <v>29</v>
      </c>
      <c r="C323" s="197" t="s">
        <v>1134</v>
      </c>
      <c r="D323" s="197" t="s">
        <v>1104</v>
      </c>
      <c r="E323" s="197"/>
      <c r="F323" s="500">
        <f>COUNTIF('Plan de tests'!F:H,$A323)</f>
        <v>1</v>
      </c>
      <c r="G323" s="197"/>
      <c r="H323" s="237" t="str">
        <f>HYPERLINK("[Tagerim.xlsx]UC_IT_PT_80",UC_IT_PT_80)</f>
        <v>UC_IT_PT_80</v>
      </c>
      <c r="I323" s="192"/>
      <c r="J323" s="191"/>
    </row>
    <row r="324" spans="1:10" ht="50.1" customHeight="1">
      <c r="A324" s="180" t="s">
        <v>1113</v>
      </c>
      <c r="B324" s="180" t="s">
        <v>29</v>
      </c>
      <c r="C324" s="180" t="s">
        <v>1135</v>
      </c>
      <c r="D324" s="180" t="s">
        <v>1104</v>
      </c>
      <c r="E324" s="180"/>
      <c r="F324" s="499">
        <f>COUNTIF('Plan de tests'!F:H,$A324)</f>
        <v>1</v>
      </c>
      <c r="G324" s="180"/>
      <c r="H324" s="239" t="str">
        <f>HYPERLINK("[Tagerim.xlsx]UC_IT_PT_90",UC_IT_PT_90)</f>
        <v>UC_IT_PT_90</v>
      </c>
      <c r="I324" s="171"/>
      <c r="J324" s="170"/>
    </row>
    <row r="325" spans="1:10" ht="50.1" customHeight="1">
      <c r="A325" s="226" t="s">
        <v>1136</v>
      </c>
      <c r="B325" s="197" t="s">
        <v>29</v>
      </c>
      <c r="C325" s="197" t="s">
        <v>1146</v>
      </c>
      <c r="D325" s="197" t="s">
        <v>1104</v>
      </c>
      <c r="E325" s="197"/>
      <c r="F325" s="500">
        <f>COUNTIF('Plan de tests'!F:H,$A325)</f>
        <v>1</v>
      </c>
      <c r="G325" s="197"/>
      <c r="H325" s="237" t="str">
        <f>HYPERLINK("[Tagerim.xlsx]UC_IT_PT_100",UC_IT_PT_100)</f>
        <v>UC_IT_PT_100</v>
      </c>
      <c r="I325" s="192"/>
      <c r="J325" s="191"/>
    </row>
    <row r="326" spans="1:10" ht="50.1" customHeight="1">
      <c r="A326" s="180" t="s">
        <v>1137</v>
      </c>
      <c r="B326" s="180" t="s">
        <v>29</v>
      </c>
      <c r="C326" s="180" t="s">
        <v>1147</v>
      </c>
      <c r="D326" s="180" t="s">
        <v>1104</v>
      </c>
      <c r="E326" s="180"/>
      <c r="F326" s="499">
        <f>COUNTIF('Plan de tests'!F:H,$A326)</f>
        <v>1</v>
      </c>
      <c r="G326" s="180"/>
      <c r="H326" s="239" t="str">
        <f>HYPERLINK("[Tagerim.xlsx]UC_IT_PT_110",UC_IT_PT_110)</f>
        <v>UC_IT_PT_110</v>
      </c>
      <c r="I326" s="171"/>
      <c r="J326" s="170"/>
    </row>
    <row r="327" spans="1:10" ht="50.1" customHeight="1">
      <c r="A327" s="226" t="s">
        <v>1138</v>
      </c>
      <c r="B327" s="197" t="s">
        <v>29</v>
      </c>
      <c r="C327" s="197" t="s">
        <v>1148</v>
      </c>
      <c r="D327" s="197" t="s">
        <v>1104</v>
      </c>
      <c r="E327" s="197"/>
      <c r="F327" s="500">
        <f>COUNTIF('Plan de tests'!F:H,$A327)</f>
        <v>1</v>
      </c>
      <c r="G327" s="197"/>
      <c r="H327" s="237" t="str">
        <f>HYPERLINK("[Tagerim.xlsx]UC_IT_PT_120",UC_IT_PT_120)</f>
        <v>UC_IT_PT_120</v>
      </c>
      <c r="I327" s="192"/>
      <c r="J327" s="191"/>
    </row>
    <row r="328" spans="1:10" ht="50.1" customHeight="1">
      <c r="A328" s="180" t="s">
        <v>1139</v>
      </c>
      <c r="B328" s="180" t="s">
        <v>29</v>
      </c>
      <c r="C328" s="180" t="s">
        <v>1149</v>
      </c>
      <c r="D328" s="180" t="s">
        <v>1104</v>
      </c>
      <c r="E328" s="180"/>
      <c r="F328" s="499">
        <f>COUNTIF('Plan de tests'!F:H,$A328)</f>
        <v>1</v>
      </c>
      <c r="G328" s="180"/>
      <c r="H328" s="239" t="str">
        <f>HYPERLINK("[Tagerim.xlsx]UC_IT_PT_130",UC_IT_PT_130)</f>
        <v>UC_IT_PT_130</v>
      </c>
      <c r="I328" s="171"/>
      <c r="J328" s="170"/>
    </row>
    <row r="329" spans="1:10" ht="50.1" customHeight="1">
      <c r="A329" s="226" t="s">
        <v>1140</v>
      </c>
      <c r="B329" s="197" t="s">
        <v>29</v>
      </c>
      <c r="C329" s="197" t="s">
        <v>1150</v>
      </c>
      <c r="D329" s="197" t="s">
        <v>1104</v>
      </c>
      <c r="E329" s="197"/>
      <c r="F329" s="500">
        <f>COUNTIF('Plan de tests'!F:H,$A329)</f>
        <v>1</v>
      </c>
      <c r="G329" s="197"/>
      <c r="H329" s="237" t="str">
        <f>HYPERLINK("[Tagerim.xlsx]UC_IT_PT_140",UC_IT_PT_140)</f>
        <v>UC_IT_PT_140</v>
      </c>
      <c r="I329" s="192"/>
      <c r="J329" s="191"/>
    </row>
    <row r="330" spans="1:10" ht="50.1" customHeight="1">
      <c r="A330" s="180" t="s">
        <v>1141</v>
      </c>
      <c r="B330" s="180" t="s">
        <v>29</v>
      </c>
      <c r="C330" s="180" t="s">
        <v>1160</v>
      </c>
      <c r="D330" s="180" t="s">
        <v>1104</v>
      </c>
      <c r="E330" s="180"/>
      <c r="F330" s="499">
        <f>COUNTIF('Plan de tests'!F:H,$A330)</f>
        <v>1</v>
      </c>
      <c r="G330" s="180"/>
      <c r="H330" s="239" t="str">
        <f>HYPERLINK("[Tagerim.xlsx]UC_IT_PT_150",UC_IT_PT_150)</f>
        <v>UC_IT_PT_150</v>
      </c>
      <c r="I330" s="171"/>
      <c r="J330" s="170"/>
    </row>
    <row r="331" spans="1:10" ht="50.1" customHeight="1">
      <c r="A331" s="226" t="s">
        <v>1142</v>
      </c>
      <c r="B331" s="197" t="s">
        <v>29</v>
      </c>
      <c r="C331" s="197" t="s">
        <v>1162</v>
      </c>
      <c r="D331" s="197" t="s">
        <v>1104</v>
      </c>
      <c r="E331" s="197"/>
      <c r="F331" s="500">
        <f>COUNTIF('Plan de tests'!F:H,$A331)</f>
        <v>1</v>
      </c>
      <c r="G331" s="197"/>
      <c r="H331" s="237" t="str">
        <f>HYPERLINK("[Tagerim.xlsx]UC_IT_PT_180",UC_IT_PT_180)</f>
        <v>UC_IT_PT_180</v>
      </c>
      <c r="I331" s="192"/>
      <c r="J331" s="191"/>
    </row>
    <row r="332" spans="1:10" ht="50.1" customHeight="1">
      <c r="A332" s="180" t="s">
        <v>1143</v>
      </c>
      <c r="B332" s="180" t="s">
        <v>29</v>
      </c>
      <c r="C332" s="180" t="s">
        <v>1163</v>
      </c>
      <c r="D332" s="180" t="s">
        <v>1104</v>
      </c>
      <c r="E332" s="180"/>
      <c r="F332" s="499">
        <f>COUNTIF('Plan de tests'!F:H,$A332)</f>
        <v>1</v>
      </c>
      <c r="G332" s="180"/>
      <c r="H332" s="239" t="str">
        <f>HYPERLINK("[Tagerim.xlsx]UC_IT_PT_190",UC_IT_PT_190)</f>
        <v>UC_IT_PT_190</v>
      </c>
      <c r="I332" s="171"/>
      <c r="J332" s="170"/>
    </row>
    <row r="333" spans="1:10" ht="50.1" customHeight="1">
      <c r="A333" s="226" t="s">
        <v>1144</v>
      </c>
      <c r="B333" s="197" t="s">
        <v>29</v>
      </c>
      <c r="C333" s="197" t="s">
        <v>1168</v>
      </c>
      <c r="D333" s="197" t="s">
        <v>1104</v>
      </c>
      <c r="E333" s="197"/>
      <c r="F333" s="500">
        <f>COUNTIF('Plan de tests'!F:H,$A333)</f>
        <v>1</v>
      </c>
      <c r="G333" s="197"/>
      <c r="H333" s="237" t="str">
        <f>HYPERLINK("[Tagerim.xlsx]UC_IT_PT_200",UC_IT_PT_200)</f>
        <v>UC_IT_PT_200</v>
      </c>
      <c r="I333" s="192"/>
      <c r="J333" s="191"/>
    </row>
    <row r="334" spans="1:10" ht="50.1" customHeight="1">
      <c r="A334" s="180" t="s">
        <v>1145</v>
      </c>
      <c r="B334" s="180" t="s">
        <v>29</v>
      </c>
      <c r="C334" s="180" t="s">
        <v>1166</v>
      </c>
      <c r="D334" s="180" t="s">
        <v>1104</v>
      </c>
      <c r="E334" s="180"/>
      <c r="F334" s="499">
        <f>COUNTIF('Plan de tests'!F:H,$A334)</f>
        <v>1</v>
      </c>
      <c r="G334" s="180"/>
      <c r="H334" s="239" t="str">
        <f>HYPERLINK("[Tagerim.xlsx]UC_IT_PT_210",UC_IT_PT_210)</f>
        <v>UC_IT_PT_210</v>
      </c>
      <c r="I334" s="171"/>
      <c r="J334" s="170"/>
    </row>
    <row r="335" spans="1:10" ht="50.1" customHeight="1">
      <c r="A335" s="226" t="s">
        <v>1167</v>
      </c>
      <c r="B335" s="197" t="s">
        <v>29</v>
      </c>
      <c r="C335" s="197" t="s">
        <v>1169</v>
      </c>
      <c r="D335" s="197" t="s">
        <v>1104</v>
      </c>
      <c r="E335" s="197"/>
      <c r="F335" s="500">
        <f>COUNTIF('Plan de tests'!F:H,$A335)</f>
        <v>1</v>
      </c>
      <c r="G335" s="197"/>
      <c r="H335" s="237" t="str">
        <f>HYPERLINK("[Tagerim.xlsx]UC_IT_PT_220",UC_IT_PT_220)</f>
        <v>UC_IT_PT_220</v>
      </c>
      <c r="I335" s="192"/>
      <c r="J335" s="191"/>
    </row>
    <row r="336" spans="1:10" ht="50.1" customHeight="1">
      <c r="A336" s="180" t="s">
        <v>1171</v>
      </c>
      <c r="B336" s="180" t="s">
        <v>29</v>
      </c>
      <c r="C336" s="180" t="s">
        <v>1175</v>
      </c>
      <c r="D336" s="180" t="s">
        <v>1173</v>
      </c>
      <c r="E336" s="180"/>
      <c r="F336" s="499">
        <f>COUNTIF('Plan de tests'!F:H,$A336)</f>
        <v>1</v>
      </c>
      <c r="G336" s="180"/>
      <c r="H336" s="239" t="str">
        <f>HYPERLINK("[Tagerim.xlsx]UC_IT_PT_240",UC_IT_PT_240)</f>
        <v>UC_IT_PT_240</v>
      </c>
      <c r="I336" s="171"/>
      <c r="J336" s="170"/>
    </row>
    <row r="337" spans="1:10" ht="82.5" customHeight="1">
      <c r="A337" s="226" t="s">
        <v>1172</v>
      </c>
      <c r="B337" s="197" t="s">
        <v>29</v>
      </c>
      <c r="C337" s="197" t="s">
        <v>1174</v>
      </c>
      <c r="D337" s="197" t="s">
        <v>1176</v>
      </c>
      <c r="E337" s="197"/>
      <c r="F337" s="500">
        <f>COUNTIF('Plan de tests'!F:H,$A337)</f>
        <v>1</v>
      </c>
      <c r="G337" s="197"/>
      <c r="H337" s="237" t="str">
        <f>HYPERLINK("[Tagerim.xlsx]UC_IT_PT_250",UC_IT_PT_250)</f>
        <v>UC_IT_PT_250</v>
      </c>
      <c r="I337" s="192"/>
      <c r="J337" s="191"/>
    </row>
    <row r="341" spans="1:10" ht="28.5" thickBot="1">
      <c r="A341" s="470" t="s">
        <v>1261</v>
      </c>
      <c r="B341" s="470"/>
      <c r="C341" s="470"/>
      <c r="D341" s="470"/>
      <c r="E341" s="470"/>
      <c r="F341" s="470"/>
      <c r="G341" s="470"/>
      <c r="H341" s="470"/>
      <c r="I341" s="470"/>
      <c r="J341" s="470"/>
    </row>
    <row r="343" spans="1:10" ht="26.25">
      <c r="A343" s="482" t="s">
        <v>1262</v>
      </c>
      <c r="B343" s="482"/>
      <c r="C343" s="482"/>
      <c r="D343" s="482"/>
      <c r="E343" s="482"/>
      <c r="F343" s="482"/>
      <c r="G343" s="482"/>
      <c r="H343" s="482"/>
      <c r="I343" s="482"/>
      <c r="J343" s="482"/>
    </row>
    <row r="345" spans="1:10">
      <c r="A345" s="169" t="s">
        <v>17</v>
      </c>
      <c r="B345" s="169" t="s">
        <v>19</v>
      </c>
      <c r="C345" s="169" t="s">
        <v>361</v>
      </c>
      <c r="D345" s="169" t="s">
        <v>362</v>
      </c>
      <c r="E345" s="169"/>
      <c r="F345" s="94" t="s">
        <v>1712</v>
      </c>
      <c r="G345" s="169"/>
      <c r="H345" s="232" t="s">
        <v>363</v>
      </c>
      <c r="I345" s="169" t="s">
        <v>364</v>
      </c>
      <c r="J345" s="169" t="s">
        <v>365</v>
      </c>
    </row>
    <row r="346" spans="1:10" ht="50.1" customHeight="1">
      <c r="A346" s="150" t="s">
        <v>1271</v>
      </c>
      <c r="B346" s="174" t="s">
        <v>29</v>
      </c>
      <c r="C346" s="174" t="s">
        <v>1281</v>
      </c>
      <c r="D346" s="180" t="s">
        <v>1282</v>
      </c>
      <c r="E346" s="180"/>
      <c r="F346" s="499">
        <f>COUNTIF('Plan de tests'!F:H,$A346)</f>
        <v>1</v>
      </c>
      <c r="G346" s="180"/>
      <c r="H346" s="239" t="str">
        <f>HYPERLINK("[Tagerim.xlsx]UC_AD_CB_30",UC_AD_CB_30)</f>
        <v>UC_AD_CB_30</v>
      </c>
      <c r="I346" s="188"/>
      <c r="J346" s="187"/>
    </row>
    <row r="347" spans="1:10" ht="50.1" customHeight="1">
      <c r="A347" s="226" t="s">
        <v>1272</v>
      </c>
      <c r="B347" s="197" t="s">
        <v>29</v>
      </c>
      <c r="C347" s="197" t="s">
        <v>1283</v>
      </c>
      <c r="D347" s="197" t="s">
        <v>1284</v>
      </c>
      <c r="E347" s="197"/>
      <c r="F347" s="500">
        <f>COUNTIF('Plan de tests'!F:H,$A347)</f>
        <v>1</v>
      </c>
      <c r="G347" s="197"/>
      <c r="H347" s="237" t="str">
        <f>HYPERLINK("[Tagerim.xlsx]UC_AD_CB_40",UC_AD_CB_40)</f>
        <v>UC_AD_CB_40</v>
      </c>
      <c r="I347" s="192"/>
      <c r="J347" s="191"/>
    </row>
    <row r="348" spans="1:10" ht="50.1" customHeight="1">
      <c r="A348" s="150" t="s">
        <v>1273</v>
      </c>
      <c r="B348" s="174" t="s">
        <v>29</v>
      </c>
      <c r="C348" s="174" t="s">
        <v>1288</v>
      </c>
      <c r="D348" s="180" t="s">
        <v>1083</v>
      </c>
      <c r="E348" s="180"/>
      <c r="F348" s="499">
        <f>COUNTIF('Plan de tests'!F:H,$A348)</f>
        <v>1</v>
      </c>
      <c r="G348" s="180"/>
      <c r="H348" s="239" t="str">
        <f>HYPERLINK("[Tagerim.xlsx]UC_AD_CB_50",UC_AD_CB_50)</f>
        <v>UC_AD_CB_50</v>
      </c>
      <c r="I348" s="188"/>
      <c r="J348" s="187"/>
    </row>
    <row r="349" spans="1:10" ht="50.1" customHeight="1">
      <c r="A349" s="226" t="s">
        <v>1274</v>
      </c>
      <c r="B349" s="197" t="s">
        <v>29</v>
      </c>
      <c r="C349" s="197" t="s">
        <v>1289</v>
      </c>
      <c r="D349" s="197" t="s">
        <v>1284</v>
      </c>
      <c r="E349" s="197"/>
      <c r="F349" s="500">
        <f>COUNTIF('Plan de tests'!F:H,$A349)</f>
        <v>1</v>
      </c>
      <c r="G349" s="197"/>
      <c r="H349" s="237" t="str">
        <f>HYPERLINK("[Tagerim.xlsx]UC_AD_CB_70",UC_AD_CB_70)</f>
        <v>UC_AD_CB_70</v>
      </c>
      <c r="I349" s="192"/>
      <c r="J349" s="191"/>
    </row>
    <row r="350" spans="1:10" ht="50.1" customHeight="1">
      <c r="A350" s="150" t="s">
        <v>1275</v>
      </c>
      <c r="B350" s="174" t="s">
        <v>29</v>
      </c>
      <c r="C350" s="174" t="s">
        <v>1285</v>
      </c>
      <c r="D350" s="180" t="s">
        <v>1286</v>
      </c>
      <c r="E350" s="180"/>
      <c r="F350" s="499">
        <f>COUNTIF('Plan de tests'!F:H,$A350)</f>
        <v>1</v>
      </c>
      <c r="G350" s="180"/>
      <c r="H350" s="239" t="str">
        <f>HYPERLINK("[Tagerim.xlsx]UC_AD_CB_80",UC_AD_CB_80)</f>
        <v>UC_AD_CB_80</v>
      </c>
      <c r="I350" s="188"/>
      <c r="J350" s="187"/>
    </row>
    <row r="351" spans="1:10" ht="50.1" customHeight="1">
      <c r="A351" s="226" t="s">
        <v>1276</v>
      </c>
      <c r="B351" s="197" t="s">
        <v>29</v>
      </c>
      <c r="C351" s="197" t="s">
        <v>1287</v>
      </c>
      <c r="D351" s="197" t="s">
        <v>1098</v>
      </c>
      <c r="E351" s="197"/>
      <c r="F351" s="500">
        <f>COUNTIF('Plan de tests'!F:H,$A351)</f>
        <v>1</v>
      </c>
      <c r="G351" s="197"/>
      <c r="H351" s="237" t="str">
        <f>HYPERLINK("[Tagerim.xlsx]UC_AD_CB_90",UC_AD_CB_90)</f>
        <v>UC_AD_CB_90</v>
      </c>
      <c r="I351" s="192"/>
      <c r="J351" s="191"/>
    </row>
    <row r="352" spans="1:10" ht="80.25" customHeight="1">
      <c r="A352" s="150" t="s">
        <v>1277</v>
      </c>
      <c r="B352" s="174" t="s">
        <v>29</v>
      </c>
      <c r="C352" s="174" t="s">
        <v>1295</v>
      </c>
      <c r="D352" s="180" t="s">
        <v>1296</v>
      </c>
      <c r="E352" s="180"/>
      <c r="F352" s="499">
        <f>COUNTIF('Plan de tests'!F:H,$A352)</f>
        <v>1</v>
      </c>
      <c r="G352" s="180"/>
      <c r="H352" s="239" t="str">
        <f>HYPERLINK("[Tagerim.xlsx]UC_AD_CB_100",UC_AD_CB_100)</f>
        <v>UC_AD_CB_100</v>
      </c>
      <c r="I352" s="188"/>
      <c r="J352" s="187"/>
    </row>
    <row r="353" spans="1:10" ht="50.1" customHeight="1">
      <c r="A353" s="226" t="s">
        <v>1278</v>
      </c>
      <c r="B353" s="197" t="s">
        <v>29</v>
      </c>
      <c r="C353" s="197" t="s">
        <v>1297</v>
      </c>
      <c r="D353" s="197" t="s">
        <v>1298</v>
      </c>
      <c r="E353" s="197"/>
      <c r="F353" s="500">
        <f>COUNTIF('Plan de tests'!F:H,$A353)</f>
        <v>1</v>
      </c>
      <c r="G353" s="197"/>
      <c r="H353" s="237" t="str">
        <f>HYPERLINK("[Tagerim.xlsx]UC_AD_CB_110",UC_AD_CB_110)</f>
        <v>UC_AD_CB_110</v>
      </c>
      <c r="I353" s="192"/>
      <c r="J353" s="191"/>
    </row>
    <row r="354" spans="1:10" ht="50.1" customHeight="1">
      <c r="A354" s="150" t="s">
        <v>1279</v>
      </c>
      <c r="B354" s="174" t="s">
        <v>29</v>
      </c>
      <c r="C354" s="174" t="s">
        <v>1299</v>
      </c>
      <c r="D354" s="180" t="s">
        <v>1300</v>
      </c>
      <c r="E354" s="180"/>
      <c r="F354" s="499">
        <f>COUNTIF('Plan de tests'!F:H,$A354)</f>
        <v>1</v>
      </c>
      <c r="G354" s="180"/>
      <c r="H354" s="239" t="str">
        <f>HYPERLINK("[Tagerim.xlsx]UC_AD_CB_120",UC_AD_CB_120)</f>
        <v>UC_AD_CB_120</v>
      </c>
      <c r="I354" s="188"/>
      <c r="J354" s="187"/>
    </row>
    <row r="357" spans="1:10" ht="30" customHeight="1">
      <c r="A357" s="482" t="s">
        <v>1226</v>
      </c>
      <c r="B357" s="482"/>
      <c r="C357" s="482"/>
      <c r="D357" s="482"/>
      <c r="E357" s="482"/>
      <c r="F357" s="482"/>
      <c r="G357" s="482"/>
      <c r="H357" s="482"/>
      <c r="I357" s="482"/>
      <c r="J357" s="482"/>
    </row>
    <row r="359" spans="1:10">
      <c r="A359" s="169" t="s">
        <v>17</v>
      </c>
      <c r="B359" s="169" t="s">
        <v>19</v>
      </c>
      <c r="C359" s="169" t="s">
        <v>361</v>
      </c>
      <c r="D359" s="169" t="s">
        <v>362</v>
      </c>
      <c r="E359" s="169"/>
      <c r="F359" s="94" t="s">
        <v>1712</v>
      </c>
      <c r="G359" s="169"/>
      <c r="H359" s="232" t="s">
        <v>363</v>
      </c>
      <c r="I359" s="169" t="s">
        <v>364</v>
      </c>
      <c r="J359" s="169" t="s">
        <v>365</v>
      </c>
    </row>
    <row r="360" spans="1:10" ht="50.1" customHeight="1">
      <c r="A360" s="150" t="s">
        <v>1263</v>
      </c>
      <c r="B360" s="174" t="s">
        <v>29</v>
      </c>
      <c r="C360" s="174" t="s">
        <v>785</v>
      </c>
      <c r="D360" s="180" t="s">
        <v>786</v>
      </c>
      <c r="E360" s="180"/>
      <c r="F360" s="499">
        <f>COUNTIF('Plan de tests'!F:H,$A360)</f>
        <v>1</v>
      </c>
      <c r="G360" s="180"/>
      <c r="H360" s="164" t="str">
        <f>HYPERLINK("[Tagerim.xlsx]UC_AD_TR_20",UC_AD_TR_20)</f>
        <v>UC_AD_TR_20</v>
      </c>
      <c r="I360" s="188"/>
      <c r="J360" s="187"/>
    </row>
    <row r="361" spans="1:10" ht="50.1" customHeight="1">
      <c r="A361" s="226" t="s">
        <v>1264</v>
      </c>
      <c r="B361" s="197" t="s">
        <v>29</v>
      </c>
      <c r="C361" s="197" t="s">
        <v>789</v>
      </c>
      <c r="D361" s="197" t="s">
        <v>786</v>
      </c>
      <c r="E361" s="197"/>
      <c r="F361" s="500">
        <f>COUNTIF('Plan de tests'!F:H,$A361)</f>
        <v>1</v>
      </c>
      <c r="G361" s="197"/>
      <c r="H361" s="165" t="str">
        <f>HYPERLINK("[Tagerim.xlsx]UC_AD_TR_30",UC_AD_TR_30)</f>
        <v>UC_AD_TR_30</v>
      </c>
      <c r="I361" s="192"/>
      <c r="J361" s="191"/>
    </row>
    <row r="362" spans="1:10" ht="50.1" customHeight="1">
      <c r="A362" s="150" t="s">
        <v>1265</v>
      </c>
      <c r="B362" s="174" t="s">
        <v>29</v>
      </c>
      <c r="C362" s="174" t="s">
        <v>791</v>
      </c>
      <c r="D362" s="180" t="s">
        <v>786</v>
      </c>
      <c r="E362" s="180"/>
      <c r="F362" s="499">
        <f>COUNTIF('Plan de tests'!F:H,$A362)</f>
        <v>1</v>
      </c>
      <c r="G362" s="180"/>
      <c r="H362" s="164" t="str">
        <f>HYPERLINK("[Tagerim.xlsx]UC_AD_TR_40",UC_AD_TR_40)</f>
        <v>UC_AD_TR_40</v>
      </c>
      <c r="I362" s="188"/>
      <c r="J362" s="187"/>
    </row>
    <row r="363" spans="1:10" ht="50.1" customHeight="1">
      <c r="A363" s="226" t="s">
        <v>1266</v>
      </c>
      <c r="B363" s="197" t="s">
        <v>29</v>
      </c>
      <c r="C363" s="197" t="s">
        <v>804</v>
      </c>
      <c r="D363" s="197" t="s">
        <v>786</v>
      </c>
      <c r="E363" s="197"/>
      <c r="F363" s="500">
        <f>COUNTIF('Plan de tests'!F:H,$A363)</f>
        <v>1</v>
      </c>
      <c r="G363" s="197"/>
      <c r="H363" s="165" t="str">
        <f>HYPERLINK("[Tagerim.xlsx]UC_AD_TR_50",UC_AD_TR_50)</f>
        <v>UC_AD_TR_50</v>
      </c>
      <c r="I363" s="192"/>
      <c r="J363" s="191"/>
    </row>
    <row r="364" spans="1:10" ht="50.1" customHeight="1">
      <c r="A364" s="150" t="s">
        <v>1267</v>
      </c>
      <c r="B364" s="174" t="s">
        <v>29</v>
      </c>
      <c r="C364" s="174" t="s">
        <v>797</v>
      </c>
      <c r="D364" s="180" t="s">
        <v>786</v>
      </c>
      <c r="E364" s="180"/>
      <c r="F364" s="499">
        <f>COUNTIF('Plan de tests'!F:H,$A364)</f>
        <v>1</v>
      </c>
      <c r="G364" s="180"/>
      <c r="H364" s="164" t="str">
        <f>HYPERLINK("[Tagerim.xlsx]UC_AD_TR_60",UC_AD_TR_60)</f>
        <v>UC_AD_TR_60</v>
      </c>
      <c r="I364" s="188"/>
      <c r="J364" s="187"/>
    </row>
    <row r="365" spans="1:10" ht="50.1" customHeight="1">
      <c r="A365" s="226" t="s">
        <v>1268</v>
      </c>
      <c r="B365" s="197" t="s">
        <v>29</v>
      </c>
      <c r="C365" s="197"/>
      <c r="D365" s="197"/>
      <c r="E365" s="197"/>
      <c r="F365" s="499">
        <f>COUNTIF('Plan de tests'!F:H,$A365)</f>
        <v>0</v>
      </c>
      <c r="G365" s="197"/>
      <c r="H365" s="165"/>
      <c r="I365" s="192"/>
      <c r="J365" s="191"/>
    </row>
    <row r="366" spans="1:10" ht="50.1" customHeight="1">
      <c r="A366" s="150" t="s">
        <v>1269</v>
      </c>
      <c r="B366" s="174" t="s">
        <v>29</v>
      </c>
      <c r="C366" s="174" t="s">
        <v>1301</v>
      </c>
      <c r="D366" s="180" t="s">
        <v>1302</v>
      </c>
      <c r="E366" s="180"/>
      <c r="F366" s="499">
        <f>COUNTIF('Plan de tests'!F:H,$A366)</f>
        <v>1</v>
      </c>
      <c r="G366" s="180"/>
      <c r="H366" s="164" t="str">
        <f>HYPERLINK("[Tagerim.xlsx]UC_AD_TR_140",UC_AD_TR_140)</f>
        <v>UC_AD_TR_140</v>
      </c>
      <c r="I366" s="188"/>
      <c r="J366" s="187"/>
    </row>
    <row r="367" spans="1:10" ht="50.1" customHeight="1">
      <c r="A367" s="226" t="s">
        <v>1270</v>
      </c>
      <c r="B367" s="197" t="s">
        <v>29</v>
      </c>
      <c r="C367" s="197" t="s">
        <v>1303</v>
      </c>
      <c r="D367" s="197" t="s">
        <v>1302</v>
      </c>
      <c r="E367" s="197"/>
      <c r="F367" s="500">
        <f>COUNTIF('Plan de tests'!F:H,$A367)</f>
        <v>1</v>
      </c>
      <c r="G367" s="197"/>
      <c r="H367" s="165" t="str">
        <f>HYPERLINK("[Tagerim.xlsx]UC_AD_TR_150",UC_AD_TR_150)</f>
        <v>UC_AD_TR_150</v>
      </c>
      <c r="I367" s="192"/>
      <c r="J367" s="191"/>
    </row>
    <row r="371" spans="1:10" ht="28.5" thickBot="1">
      <c r="A371" s="470" t="s">
        <v>1623</v>
      </c>
      <c r="B371" s="470"/>
      <c r="C371" s="470"/>
      <c r="D371" s="470"/>
      <c r="E371" s="470"/>
      <c r="F371" s="470"/>
      <c r="G371" s="470"/>
      <c r="H371" s="470"/>
      <c r="I371" s="470"/>
      <c r="J371" s="470"/>
    </row>
    <row r="373" spans="1:10" ht="26.25">
      <c r="A373" s="482" t="s">
        <v>1624</v>
      </c>
      <c r="B373" s="482"/>
      <c r="C373" s="482"/>
      <c r="D373" s="482"/>
      <c r="E373" s="482"/>
      <c r="F373" s="482"/>
      <c r="G373" s="482"/>
      <c r="H373" s="482"/>
      <c r="I373" s="482"/>
      <c r="J373" s="482"/>
    </row>
    <row r="375" spans="1:10" ht="16.5" customHeight="1">
      <c r="A375" s="169" t="s">
        <v>17</v>
      </c>
      <c r="B375" s="169" t="s">
        <v>19</v>
      </c>
      <c r="C375" s="169" t="s">
        <v>361</v>
      </c>
      <c r="D375" s="169" t="s">
        <v>362</v>
      </c>
      <c r="E375" s="169"/>
      <c r="F375" s="94" t="s">
        <v>1712</v>
      </c>
      <c r="G375" s="169"/>
      <c r="H375" s="232" t="s">
        <v>363</v>
      </c>
      <c r="I375" s="169" t="s">
        <v>364</v>
      </c>
      <c r="J375" s="169" t="s">
        <v>365</v>
      </c>
    </row>
    <row r="376" spans="1:10" ht="50.1" customHeight="1">
      <c r="A376" s="150" t="s">
        <v>1625</v>
      </c>
      <c r="B376" s="174" t="s">
        <v>29</v>
      </c>
      <c r="C376" s="174" t="s">
        <v>1627</v>
      </c>
      <c r="D376" s="180" t="s">
        <v>1628</v>
      </c>
      <c r="E376" s="180"/>
      <c r="F376" s="499">
        <f>COUNTIF('Plan de tests'!F:H,$A376)</f>
        <v>1</v>
      </c>
      <c r="G376" s="180"/>
      <c r="H376" s="190" t="str">
        <f>HYPERLINK("[Tagerim.xlsx]UC_OA_OA_60",UC_OA_OA_60)</f>
        <v>UC_OA_OA_60</v>
      </c>
      <c r="I376" s="188"/>
      <c r="J376" s="187"/>
    </row>
    <row r="377" spans="1:10" ht="50.1" customHeight="1">
      <c r="A377" s="226" t="s">
        <v>1626</v>
      </c>
      <c r="B377" s="197" t="s">
        <v>29</v>
      </c>
      <c r="C377" s="197" t="s">
        <v>1630</v>
      </c>
      <c r="D377" s="197" t="s">
        <v>1631</v>
      </c>
      <c r="E377" s="197"/>
      <c r="F377" s="500">
        <f>COUNTIF('Plan de tests'!F:H,$A377)</f>
        <v>1</v>
      </c>
      <c r="G377" s="197"/>
      <c r="H377" s="238" t="str">
        <f>HYPERLINK("[Tagerim.xlsx]UC_OA_OA_70",UC_OA_OA_70)</f>
        <v>UC_OA_OA_70</v>
      </c>
      <c r="I377" s="192"/>
      <c r="J377" s="191"/>
    </row>
    <row r="378" spans="1:10" ht="50.1" customHeight="1">
      <c r="A378" s="150" t="s">
        <v>1635</v>
      </c>
      <c r="B378" s="174" t="s">
        <v>29</v>
      </c>
      <c r="C378" s="174" t="s">
        <v>1637</v>
      </c>
      <c r="D378" s="180" t="s">
        <v>478</v>
      </c>
      <c r="E378" s="180"/>
      <c r="F378" s="499">
        <f>COUNTIF('Plan de tests'!F:H,$A378)</f>
        <v>1</v>
      </c>
      <c r="G378" s="180"/>
      <c r="H378" s="190" t="str">
        <f>HYPERLINK("[Tagerim.xlsx]UC_OA_OA_80",UC_OA_OA_80)</f>
        <v>UC_OA_OA_80</v>
      </c>
      <c r="I378" s="188"/>
      <c r="J378" s="187"/>
    </row>
    <row r="379" spans="1:10" ht="50.1" customHeight="1">
      <c r="A379" s="226" t="s">
        <v>1636</v>
      </c>
      <c r="B379" s="197" t="s">
        <v>29</v>
      </c>
      <c r="C379" s="197" t="s">
        <v>1667</v>
      </c>
      <c r="D379" s="197" t="s">
        <v>478</v>
      </c>
      <c r="E379" s="197"/>
      <c r="F379" s="500">
        <f>COUNTIF('Plan de tests'!F:H,$A379)</f>
        <v>1</v>
      </c>
      <c r="G379" s="197"/>
      <c r="H379" s="238" t="str">
        <f>HYPERLINK("[Tagerim.xlsx]UC_OA_OA_90",UC_OA_OA_90)</f>
        <v>UC_OA_OA_90</v>
      </c>
      <c r="I379" s="192"/>
      <c r="J379" s="191"/>
    </row>
    <row r="380" spans="1:10" ht="50.1" customHeight="1">
      <c r="A380" s="150" t="s">
        <v>1658</v>
      </c>
      <c r="B380" s="174" t="s">
        <v>29</v>
      </c>
      <c r="C380" s="174" t="s">
        <v>1365</v>
      </c>
      <c r="D380" s="180" t="s">
        <v>478</v>
      </c>
      <c r="E380" s="180"/>
      <c r="F380" s="499">
        <f>COUNTIF('Plan de tests'!F:H,$A380)</f>
        <v>1</v>
      </c>
      <c r="G380" s="180"/>
      <c r="H380" s="190" t="str">
        <f>HYPERLINK("[Tagerim.xlsx]UC_OA_OA_100",UC_OA_OA_100)</f>
        <v>UC_OA_OA_100</v>
      </c>
      <c r="I380" s="188"/>
      <c r="J380" s="187"/>
    </row>
    <row r="381" spans="1:10" ht="50.1" customHeight="1">
      <c r="A381" s="226" t="s">
        <v>1659</v>
      </c>
      <c r="B381" s="197" t="s">
        <v>29</v>
      </c>
      <c r="C381" s="197" t="s">
        <v>1366</v>
      </c>
      <c r="D381" s="197" t="s">
        <v>478</v>
      </c>
      <c r="E381" s="197"/>
      <c r="F381" s="500">
        <f>COUNTIF('Plan de tests'!F:H,$A381)</f>
        <v>1</v>
      </c>
      <c r="G381" s="197"/>
      <c r="H381" s="238" t="str">
        <f>HYPERLINK("[Tagerim.xlsx]UC_OA_OA_110",UC_OA_OA_110)</f>
        <v>UC_OA_OA_110</v>
      </c>
      <c r="I381" s="192"/>
      <c r="J381" s="191"/>
    </row>
    <row r="382" spans="1:10" ht="50.1" customHeight="1">
      <c r="A382" s="150" t="s">
        <v>1660</v>
      </c>
      <c r="B382" s="174" t="s">
        <v>29</v>
      </c>
      <c r="C382" s="174" t="s">
        <v>1668</v>
      </c>
      <c r="D382" s="180" t="s">
        <v>478</v>
      </c>
      <c r="E382" s="180"/>
      <c r="F382" s="499">
        <f>COUNTIF('Plan de tests'!F:H,$A382)</f>
        <v>1</v>
      </c>
      <c r="G382" s="180"/>
      <c r="H382" s="190" t="str">
        <f>HYPERLINK("[Tagerim.xlsx]UC_OA_OA_120",UC_OA_OA_120)</f>
        <v>UC_OA_OA_120</v>
      </c>
      <c r="I382" s="188"/>
      <c r="J382" s="187"/>
    </row>
    <row r="383" spans="1:10" ht="50.1" customHeight="1">
      <c r="A383" s="226" t="s">
        <v>1661</v>
      </c>
      <c r="B383" s="197" t="s">
        <v>29</v>
      </c>
      <c r="C383" s="197" t="s">
        <v>1669</v>
      </c>
      <c r="D383" s="197" t="s">
        <v>478</v>
      </c>
      <c r="E383" s="197"/>
      <c r="F383" s="500">
        <f>COUNTIF('Plan de tests'!F:H,$A383)</f>
        <v>1</v>
      </c>
      <c r="G383" s="197"/>
      <c r="H383" s="238" t="str">
        <f>HYPERLINK("[Tagerim.xlsx]UC_OA_OA_130",UC_OA_OA_130)</f>
        <v>UC_OA_OA_130</v>
      </c>
      <c r="I383" s="192"/>
      <c r="J383" s="191"/>
    </row>
    <row r="384" spans="1:10" ht="50.1" customHeight="1">
      <c r="A384" s="150" t="s">
        <v>1662</v>
      </c>
      <c r="B384" s="174" t="s">
        <v>29</v>
      </c>
      <c r="C384" s="174" t="s">
        <v>1670</v>
      </c>
      <c r="D384" s="180" t="s">
        <v>478</v>
      </c>
      <c r="E384" s="180"/>
      <c r="F384" s="499">
        <f>COUNTIF('Plan de tests'!F:H,$A384)</f>
        <v>1</v>
      </c>
      <c r="G384" s="180"/>
      <c r="H384" s="190" t="str">
        <f>HYPERLINK("[Tagerim.xlsx]UC_OA_OA_140",UC_OA_OA_140)</f>
        <v>UC_OA_OA_140</v>
      </c>
      <c r="I384" s="188"/>
      <c r="J384" s="187"/>
    </row>
    <row r="385" spans="1:10" ht="50.1" customHeight="1">
      <c r="A385" s="226" t="s">
        <v>1674</v>
      </c>
      <c r="B385" s="197" t="s">
        <v>29</v>
      </c>
      <c r="C385" s="197" t="s">
        <v>1675</v>
      </c>
      <c r="D385" s="197" t="s">
        <v>478</v>
      </c>
      <c r="E385" s="197"/>
      <c r="F385" s="500">
        <f>COUNTIF('Plan de tests'!F:H,$A385)</f>
        <v>1</v>
      </c>
      <c r="G385" s="197"/>
      <c r="H385" s="238" t="str">
        <f>HYPERLINK("[Tagerim.xlsx]UC_OA_OA_150",UC_OA_OA_150)</f>
        <v>UC_OA_OA_150</v>
      </c>
      <c r="I385" s="192"/>
      <c r="J385" s="191"/>
    </row>
    <row r="386" spans="1:10" ht="50.1" customHeight="1">
      <c r="A386" s="150" t="s">
        <v>1676</v>
      </c>
      <c r="B386" s="174" t="s">
        <v>29</v>
      </c>
      <c r="C386" s="180" t="s">
        <v>1675</v>
      </c>
      <c r="D386" s="180" t="s">
        <v>478</v>
      </c>
      <c r="E386" s="180"/>
      <c r="F386" s="499">
        <f>COUNTIF('Plan de tests'!F:H,$A386)</f>
        <v>1</v>
      </c>
      <c r="G386" s="180"/>
      <c r="H386" s="190" t="str">
        <f>HYPERLINK("[Tagerim.xlsx]UC_OA_OA_160",UC_OA_OA_160)</f>
        <v>UC_OA_OA_160</v>
      </c>
      <c r="I386" s="188"/>
      <c r="J386" s="187"/>
    </row>
    <row r="387" spans="1:10" ht="50.1" customHeight="1">
      <c r="A387" s="226" t="s">
        <v>1663</v>
      </c>
      <c r="B387" s="197" t="s">
        <v>29</v>
      </c>
      <c r="C387" s="197" t="s">
        <v>1671</v>
      </c>
      <c r="D387" s="197" t="s">
        <v>478</v>
      </c>
      <c r="E387" s="197"/>
      <c r="F387" s="500">
        <f>COUNTIF('Plan de tests'!F:H,$A387)</f>
        <v>1</v>
      </c>
      <c r="G387" s="197"/>
      <c r="H387" s="238" t="str">
        <f>HYPERLINK("[Tagerim.xlsx]UC_OA_OA_170",UC_OA_OA_170)</f>
        <v>UC_OA_OA_170</v>
      </c>
      <c r="I387" s="192"/>
      <c r="J387" s="191"/>
    </row>
    <row r="388" spans="1:10" ht="50.1" customHeight="1">
      <c r="A388" s="150" t="s">
        <v>1664</v>
      </c>
      <c r="B388" s="174" t="s">
        <v>29</v>
      </c>
      <c r="C388" s="180" t="s">
        <v>1671</v>
      </c>
      <c r="D388" s="180" t="s">
        <v>478</v>
      </c>
      <c r="E388" s="180"/>
      <c r="F388" s="499">
        <f>COUNTIF('Plan de tests'!F:H,$A388)</f>
        <v>1</v>
      </c>
      <c r="G388" s="180"/>
      <c r="H388" s="240" t="str">
        <f>HYPERLINK("[Tagerim.xlsx]UC_OA_OA_180",UC_OA_OA_180)</f>
        <v>UC_OA_OA_180</v>
      </c>
      <c r="I388" s="188"/>
      <c r="J388" s="187"/>
    </row>
    <row r="389" spans="1:10" ht="50.1" customHeight="1">
      <c r="A389" s="226" t="s">
        <v>1665</v>
      </c>
      <c r="B389" s="197" t="s">
        <v>29</v>
      </c>
      <c r="C389" s="197" t="s">
        <v>1672</v>
      </c>
      <c r="D389" s="197" t="s">
        <v>478</v>
      </c>
      <c r="E389" s="197"/>
      <c r="F389" s="500">
        <f>COUNTIF('Plan de tests'!F:H,$A389)</f>
        <v>1</v>
      </c>
      <c r="G389" s="197"/>
      <c r="H389" s="238" t="str">
        <f>HYPERLINK("[Tagerim.xlsx]UC_OA_OA_210",UC_OA_OA_210)</f>
        <v>UC_OA_OA_210</v>
      </c>
      <c r="I389" s="192"/>
      <c r="J389" s="191"/>
    </row>
    <row r="390" spans="1:10" ht="50.1" customHeight="1">
      <c r="A390" s="150" t="s">
        <v>1666</v>
      </c>
      <c r="B390" s="174" t="s">
        <v>29</v>
      </c>
      <c r="C390" s="180" t="s">
        <v>1673</v>
      </c>
      <c r="D390" s="180" t="s">
        <v>478</v>
      </c>
      <c r="E390" s="180"/>
      <c r="F390" s="499">
        <f>COUNTIF('Plan de tests'!F:H,$A390)</f>
        <v>1</v>
      </c>
      <c r="G390" s="180"/>
      <c r="H390" s="240" t="str">
        <f>HYPERLINK("[Tagerim.xlsx]UC_OA_OA_220",UC_OA_OA_220)</f>
        <v>UC_OA_OA_220</v>
      </c>
      <c r="I390" s="188"/>
      <c r="J390" s="187"/>
    </row>
  </sheetData>
  <mergeCells count="43">
    <mergeCell ref="A143:J143"/>
    <mergeCell ref="A20:J21"/>
    <mergeCell ref="A30:J31"/>
    <mergeCell ref="A371:J371"/>
    <mergeCell ref="A373:J373"/>
    <mergeCell ref="A291:J291"/>
    <mergeCell ref="A293:J293"/>
    <mergeCell ref="A315:J315"/>
    <mergeCell ref="A357:J357"/>
    <mergeCell ref="A343:J343"/>
    <mergeCell ref="A246:J246"/>
    <mergeCell ref="A260:J260"/>
    <mergeCell ref="A253:J253"/>
    <mergeCell ref="A274:J274"/>
    <mergeCell ref="A282:J282"/>
    <mergeCell ref="A284:J284"/>
    <mergeCell ref="A1:J1"/>
    <mergeCell ref="A5:J6"/>
    <mergeCell ref="A8:J9"/>
    <mergeCell ref="A95:J95"/>
    <mergeCell ref="A47:J47"/>
    <mergeCell ref="A57:D58"/>
    <mergeCell ref="A54:J55"/>
    <mergeCell ref="A65:J65"/>
    <mergeCell ref="A72:J72"/>
    <mergeCell ref="A79:J79"/>
    <mergeCell ref="A81:J81"/>
    <mergeCell ref="D2:H2"/>
    <mergeCell ref="A88:J88"/>
    <mergeCell ref="A135:J135"/>
    <mergeCell ref="A102:J102"/>
    <mergeCell ref="A104:J104"/>
    <mergeCell ref="A111:J111"/>
    <mergeCell ref="A119:J119"/>
    <mergeCell ref="A125:J125"/>
    <mergeCell ref="A133:J133"/>
    <mergeCell ref="A267:J267"/>
    <mergeCell ref="A341:J341"/>
    <mergeCell ref="A156:J156"/>
    <mergeCell ref="A158:J158"/>
    <mergeCell ref="A167:J167"/>
    <mergeCell ref="A175:J175"/>
    <mergeCell ref="A244:J244"/>
  </mergeCells>
  <conditionalFormatting sqref="F1:F1048576">
    <cfRule type="beginsWith" dxfId="1" priority="1" operator="beginsWith" text="0">
      <formula>LEFT(F1,LEN("0"))="0"</formula>
    </cfRule>
  </conditionalFormatting>
  <hyperlinks>
    <hyperlink ref="H50" location="'Plan de tests'!A62" display="UC_GU_SU_20" xr:uid="{72CCA6FE-725B-4C5A-9335-1D51A36D0352}"/>
    <hyperlink ref="I138" location="'User Story'!A22" display="US_PF_CA_40" xr:uid="{CE5E1EAF-7034-4AC8-B893-31F100518E68}"/>
    <hyperlink ref="I61" location="'User Story'!A83" display="US_FB_AR_10" xr:uid="{206022D2-AEEE-49E5-B0F8-B5CEB8334F77}"/>
    <hyperlink ref="I75" location="'User Story'!A85" display="US_FB_AR_30" xr:uid="{E4DC4F6E-7374-4C99-AB6A-83FF72E39562}"/>
    <hyperlink ref="I12" location="'User Story'!A91" display="US_FB_AU_10" xr:uid="{432B97F0-2E00-4FB5-B01F-D69FB30C0C88}"/>
    <hyperlink ref="I25" location="'User Story'!A92" display="US_FB_AU_20" xr:uid="{ECD437B4-BE49-4936-9161-7603D06B868E}"/>
  </hyperlinks>
  <pageMargins left="0.7" right="0.7" top="0.75" bottom="0.75" header="0.3" footer="0.3"/>
  <pageSetup paperSize="9" orientation="portrait" verticalDpi="0" r:id="rId1"/>
  <ignoredErrors>
    <ignoredError sqref="H320 H322:H323 H336 H34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0000"/>
  </sheetPr>
  <dimension ref="A1:AA1010"/>
  <sheetViews>
    <sheetView showGridLines="0" tabSelected="1" zoomScale="80" zoomScaleNormal="80" workbookViewId="0">
      <selection activeCell="A24" sqref="A24:XFD24"/>
    </sheetView>
  </sheetViews>
  <sheetFormatPr baseColWidth="10" defaultColWidth="14.42578125" defaultRowHeight="15.75" customHeight="1"/>
  <cols>
    <col min="1" max="1" width="17.5703125" style="52" customWidth="1"/>
    <col min="2" max="2" width="14.42578125" style="52"/>
    <col min="3" max="3" width="32.28515625" style="52" customWidth="1"/>
    <col min="4" max="4" width="31.7109375" style="52" customWidth="1"/>
    <col min="5" max="5" width="27.85546875" style="52" customWidth="1"/>
    <col min="6" max="7" width="23" style="52" customWidth="1"/>
    <col min="8" max="16384" width="14.42578125" style="52"/>
  </cols>
  <sheetData>
    <row r="1" spans="1:27" ht="44.25">
      <c r="A1" s="49"/>
      <c r="B1" s="49"/>
      <c r="C1" s="49"/>
      <c r="D1" s="114"/>
      <c r="E1" s="50" t="s">
        <v>0</v>
      </c>
      <c r="F1" s="51"/>
      <c r="G1" s="51"/>
      <c r="H1" s="114"/>
      <c r="I1" s="132"/>
      <c r="J1" s="132"/>
      <c r="K1" s="5"/>
      <c r="L1" s="5"/>
      <c r="M1" s="5"/>
      <c r="N1" s="5"/>
      <c r="O1" s="5"/>
      <c r="P1" s="5"/>
      <c r="Q1" s="5"/>
      <c r="R1" s="5"/>
      <c r="S1" s="5"/>
      <c r="T1" s="5"/>
      <c r="U1" s="5"/>
      <c r="V1" s="5"/>
      <c r="W1" s="5"/>
      <c r="X1" s="5"/>
      <c r="Y1" s="5"/>
      <c r="Z1" s="5"/>
      <c r="AA1" s="5"/>
    </row>
    <row r="2" spans="1:27">
      <c r="A2" s="60" t="s">
        <v>1</v>
      </c>
      <c r="B2" s="61" t="s">
        <v>1532</v>
      </c>
      <c r="C2" s="51"/>
      <c r="D2" s="114"/>
      <c r="E2" s="53" t="s">
        <v>2</v>
      </c>
      <c r="F2" s="51"/>
      <c r="G2" s="51"/>
      <c r="H2" s="132"/>
      <c r="I2" s="132"/>
      <c r="J2" s="132"/>
      <c r="K2" s="5"/>
      <c r="L2" s="5"/>
      <c r="M2" s="5"/>
      <c r="N2" s="5"/>
      <c r="O2" s="5"/>
      <c r="P2" s="5"/>
      <c r="Q2" s="5"/>
      <c r="R2" s="5"/>
      <c r="S2" s="5"/>
      <c r="T2" s="5"/>
      <c r="U2" s="5"/>
      <c r="V2" s="5"/>
      <c r="W2" s="5"/>
      <c r="X2" s="5"/>
      <c r="Y2" s="5"/>
      <c r="Z2" s="5"/>
      <c r="AA2" s="5"/>
    </row>
    <row r="3" spans="1:27" ht="36.6" customHeight="1">
      <c r="A3" s="145" t="s">
        <v>679</v>
      </c>
      <c r="B3" s="146" t="s">
        <v>1533</v>
      </c>
      <c r="C3" s="51"/>
      <c r="D3" s="135"/>
      <c r="E3" s="51"/>
      <c r="F3" s="51"/>
      <c r="G3" s="51"/>
      <c r="H3" s="132"/>
      <c r="I3" s="132"/>
      <c r="J3" s="132"/>
      <c r="K3" s="5"/>
      <c r="L3" s="5"/>
      <c r="M3" s="5"/>
      <c r="N3" s="5"/>
      <c r="O3" s="5"/>
      <c r="P3" s="5"/>
      <c r="Q3" s="5"/>
      <c r="R3" s="5"/>
      <c r="S3" s="5"/>
      <c r="T3" s="5"/>
      <c r="U3" s="5"/>
      <c r="V3" s="5"/>
      <c r="W3" s="5"/>
      <c r="X3" s="5"/>
      <c r="Y3" s="5"/>
      <c r="Z3" s="5"/>
      <c r="AA3" s="5"/>
    </row>
    <row r="4" spans="1:27" ht="30">
      <c r="A4" s="55"/>
      <c r="B4" s="55"/>
      <c r="C4" s="5"/>
      <c r="D4" s="134"/>
      <c r="E4" s="5"/>
      <c r="F4" s="5"/>
      <c r="G4" s="5"/>
      <c r="H4" s="5"/>
      <c r="I4" s="5"/>
      <c r="J4" s="5"/>
      <c r="K4" s="5"/>
      <c r="L4" s="5"/>
      <c r="M4" s="5"/>
      <c r="N4" s="5"/>
      <c r="O4" s="5"/>
      <c r="P4" s="5"/>
      <c r="Q4" s="5"/>
      <c r="R4" s="5"/>
      <c r="S4" s="5"/>
      <c r="T4" s="5"/>
      <c r="U4" s="5"/>
      <c r="V4" s="5"/>
      <c r="W4" s="5"/>
      <c r="X4" s="5"/>
      <c r="Y4" s="5"/>
      <c r="Z4" s="5"/>
      <c r="AA4" s="5"/>
    </row>
    <row r="5" spans="1:27" ht="30">
      <c r="A5" s="55"/>
      <c r="B5" s="55"/>
      <c r="C5" s="5"/>
      <c r="D5" s="5"/>
      <c r="E5" s="5"/>
      <c r="F5" s="5"/>
      <c r="G5" s="5"/>
      <c r="H5" s="5"/>
      <c r="I5" s="5"/>
      <c r="J5" s="5"/>
      <c r="K5" s="5"/>
      <c r="L5" s="5"/>
      <c r="M5" s="5"/>
      <c r="N5" s="5"/>
      <c r="O5" s="5"/>
      <c r="P5" s="5"/>
      <c r="Q5" s="5"/>
      <c r="R5" s="5"/>
      <c r="S5" s="5"/>
      <c r="T5" s="5"/>
      <c r="U5" s="5"/>
      <c r="V5" s="5"/>
      <c r="W5" s="5"/>
      <c r="X5" s="5"/>
      <c r="Y5" s="5"/>
      <c r="Z5" s="5"/>
      <c r="AA5" s="5"/>
    </row>
    <row r="6" spans="1:27" ht="30.75" thickBot="1">
      <c r="A6" s="68" t="s">
        <v>11</v>
      </c>
      <c r="B6" s="69"/>
      <c r="C6" s="69"/>
      <c r="D6" s="70"/>
      <c r="E6" s="70"/>
      <c r="F6" s="70"/>
      <c r="G6" s="70"/>
      <c r="H6" s="70"/>
      <c r="I6" s="70"/>
      <c r="J6" s="70"/>
      <c r="K6" s="5"/>
      <c r="L6" s="5"/>
      <c r="M6" s="5"/>
      <c r="N6" s="5"/>
      <c r="O6" s="5"/>
      <c r="P6" s="5"/>
      <c r="Q6" s="5"/>
      <c r="R6" s="5"/>
      <c r="S6" s="5"/>
      <c r="T6" s="5"/>
      <c r="U6" s="5"/>
      <c r="V6" s="5"/>
      <c r="W6" s="5"/>
      <c r="X6" s="5"/>
      <c r="Y6" s="5"/>
      <c r="Z6" s="5"/>
      <c r="AA6" s="5"/>
    </row>
    <row r="7" spans="1:27" ht="30.75" thickTop="1">
      <c r="A7" s="41"/>
      <c r="B7" s="56"/>
      <c r="C7" s="56"/>
      <c r="D7" s="56"/>
      <c r="E7" s="56"/>
      <c r="F7" s="56"/>
      <c r="G7" s="56"/>
      <c r="H7" s="56"/>
      <c r="I7" s="56"/>
      <c r="J7" s="56"/>
      <c r="K7" s="5"/>
      <c r="L7" s="5"/>
      <c r="M7" s="5"/>
      <c r="N7" s="5"/>
      <c r="O7" s="5"/>
      <c r="P7" s="5"/>
      <c r="Q7" s="5"/>
      <c r="R7" s="5"/>
      <c r="S7" s="5"/>
      <c r="T7" s="5"/>
      <c r="U7" s="5"/>
      <c r="V7" s="5"/>
      <c r="W7" s="5"/>
      <c r="X7" s="5"/>
      <c r="Y7" s="5"/>
      <c r="Z7" s="5"/>
      <c r="AA7" s="5"/>
    </row>
    <row r="8" spans="1:27" ht="13.15" customHeight="1">
      <c r="A8" s="452" t="s">
        <v>7</v>
      </c>
      <c r="B8" s="456"/>
      <c r="C8" s="465" t="s">
        <v>12</v>
      </c>
      <c r="D8" s="461"/>
      <c r="E8" s="467" t="s">
        <v>13</v>
      </c>
      <c r="F8" s="459" t="s">
        <v>14</v>
      </c>
      <c r="G8" s="460"/>
      <c r="H8" s="461"/>
      <c r="I8" s="439" t="s">
        <v>15</v>
      </c>
      <c r="J8" s="433"/>
      <c r="K8" s="5"/>
      <c r="L8" s="5"/>
      <c r="M8" s="5"/>
      <c r="N8" s="5"/>
      <c r="O8" s="5"/>
      <c r="P8" s="5"/>
      <c r="Q8" s="5"/>
      <c r="R8" s="5"/>
      <c r="S8" s="5"/>
      <c r="T8" s="5"/>
      <c r="U8" s="5"/>
      <c r="V8" s="5"/>
      <c r="W8" s="5"/>
      <c r="X8" s="5"/>
      <c r="Y8" s="5"/>
      <c r="Z8" s="5"/>
      <c r="AA8" s="5"/>
    </row>
    <row r="9" spans="1:27" ht="13.15" customHeight="1">
      <c r="A9" s="457"/>
      <c r="B9" s="458"/>
      <c r="C9" s="466"/>
      <c r="D9" s="464"/>
      <c r="E9" s="468"/>
      <c r="F9" s="462"/>
      <c r="G9" s="463"/>
      <c r="H9" s="464"/>
      <c r="I9" s="440"/>
      <c r="J9" s="435"/>
      <c r="K9" s="5"/>
      <c r="L9" s="5"/>
      <c r="M9" s="5"/>
      <c r="N9" s="5"/>
      <c r="O9" s="5"/>
      <c r="P9" s="5"/>
      <c r="Q9" s="5"/>
      <c r="R9" s="5"/>
      <c r="S9" s="5"/>
      <c r="T9" s="5"/>
      <c r="U9" s="5"/>
      <c r="V9" s="5"/>
      <c r="W9" s="5"/>
      <c r="X9" s="5"/>
      <c r="Y9" s="5"/>
      <c r="Z9" s="5"/>
      <c r="AA9" s="5"/>
    </row>
    <row r="10" spans="1:27" ht="13.15" customHeight="1">
      <c r="A10" s="385">
        <f>COUNTIFS(A13:A10385,"US_PF_*",H13:H10385,"A tester")</f>
        <v>0</v>
      </c>
      <c r="B10" s="442"/>
      <c r="C10" s="441">
        <f>COUNTIFS(A13:A10385,"US_PF_*",H13:H10385,"Succès")</f>
        <v>0</v>
      </c>
      <c r="D10" s="442"/>
      <c r="E10" s="386">
        <f>COUNTIFS(A13:A10385,"US_PF_*",H13:H10385,"Echec")</f>
        <v>0</v>
      </c>
      <c r="F10" s="450" t="e">
        <f>(C10+E10)/SUM(A10:E10)</f>
        <v>#DIV/0!</v>
      </c>
      <c r="G10" s="451"/>
      <c r="H10" s="442"/>
      <c r="I10" s="436" t="e">
        <f>C10/SUM(A10:E10)</f>
        <v>#DIV/0!</v>
      </c>
      <c r="J10" s="437"/>
      <c r="K10" s="5"/>
      <c r="L10" s="5"/>
      <c r="M10" s="5"/>
      <c r="N10" s="5"/>
      <c r="O10" s="5"/>
      <c r="P10" s="5"/>
      <c r="Q10" s="5"/>
      <c r="R10" s="5"/>
      <c r="S10" s="5"/>
      <c r="T10" s="5"/>
      <c r="U10" s="5"/>
      <c r="V10" s="5"/>
      <c r="W10" s="5"/>
      <c r="X10" s="5"/>
      <c r="Y10" s="5"/>
      <c r="Z10" s="5"/>
      <c r="AA10" s="5"/>
    </row>
    <row r="11" spans="1:27" ht="12.75">
      <c r="A11" s="449"/>
      <c r="B11" s="444"/>
      <c r="C11" s="443"/>
      <c r="D11" s="444"/>
      <c r="E11" s="444"/>
      <c r="F11" s="443"/>
      <c r="G11" s="443"/>
      <c r="H11" s="444"/>
      <c r="I11" s="438"/>
      <c r="J11" s="421"/>
      <c r="K11" s="5"/>
      <c r="L11" s="5"/>
      <c r="M11" s="5"/>
      <c r="N11" s="5"/>
      <c r="O11" s="5"/>
      <c r="P11" s="5"/>
      <c r="Q11" s="5"/>
      <c r="R11" s="5"/>
      <c r="S11" s="5"/>
      <c r="T11" s="5"/>
      <c r="U11" s="5"/>
      <c r="V11" s="5"/>
      <c r="W11" s="5"/>
      <c r="X11" s="5"/>
      <c r="Y11" s="5"/>
      <c r="Z11" s="5"/>
      <c r="AA11" s="5"/>
    </row>
    <row r="12" spans="1:27" ht="30">
      <c r="A12" s="41"/>
      <c r="B12" s="56"/>
      <c r="C12" s="56"/>
      <c r="D12" s="56"/>
      <c r="E12" s="56"/>
      <c r="F12" s="56"/>
      <c r="G12" s="115"/>
      <c r="H12" s="56"/>
      <c r="I12" s="56"/>
      <c r="J12" s="56"/>
      <c r="K12" s="5"/>
      <c r="L12" s="5"/>
      <c r="M12" s="5"/>
      <c r="N12" s="5"/>
      <c r="O12" s="5"/>
      <c r="P12" s="5"/>
      <c r="Q12" s="5"/>
      <c r="R12" s="5"/>
      <c r="S12" s="5"/>
      <c r="T12" s="5"/>
      <c r="U12" s="5"/>
      <c r="V12" s="5"/>
      <c r="W12" s="5"/>
      <c r="X12" s="5"/>
      <c r="Y12" s="5"/>
      <c r="Z12" s="5"/>
      <c r="AA12" s="5"/>
    </row>
    <row r="13" spans="1:27" ht="30">
      <c r="A13" s="41"/>
      <c r="B13" s="56"/>
      <c r="C13" s="56"/>
      <c r="D13" s="56"/>
      <c r="E13" s="56"/>
      <c r="F13" s="56"/>
      <c r="G13" s="56"/>
      <c r="H13" s="56"/>
      <c r="I13" s="56"/>
      <c r="J13" s="56"/>
      <c r="K13" s="5"/>
      <c r="L13" s="5"/>
      <c r="M13" s="5"/>
      <c r="N13" s="5"/>
      <c r="O13" s="5"/>
      <c r="P13" s="5"/>
      <c r="Q13" s="5"/>
      <c r="R13" s="5"/>
      <c r="S13" s="5"/>
      <c r="T13" s="5"/>
      <c r="U13" s="5"/>
      <c r="V13" s="5"/>
      <c r="W13" s="5"/>
      <c r="X13" s="5"/>
      <c r="Y13" s="5"/>
      <c r="Z13" s="5"/>
      <c r="AA13" s="5"/>
    </row>
    <row r="14" spans="1:27" ht="30">
      <c r="A14" s="345" t="s">
        <v>18</v>
      </c>
      <c r="B14" s="55"/>
      <c r="C14" s="5"/>
      <c r="D14" s="5"/>
      <c r="E14" s="5"/>
      <c r="F14" s="116"/>
      <c r="G14" s="120"/>
      <c r="H14" s="121"/>
      <c r="I14" s="122"/>
      <c r="J14" s="5"/>
      <c r="K14" s="5"/>
      <c r="L14" s="5"/>
      <c r="M14" s="5"/>
      <c r="N14" s="5"/>
      <c r="O14" s="5"/>
      <c r="P14" s="5"/>
      <c r="Q14" s="5"/>
      <c r="R14" s="5"/>
      <c r="S14" s="5"/>
      <c r="T14" s="5"/>
      <c r="U14" s="5"/>
      <c r="V14" s="5"/>
      <c r="W14" s="5"/>
      <c r="X14" s="5"/>
      <c r="Y14" s="5"/>
      <c r="Z14" s="5"/>
      <c r="AA14" s="5"/>
    </row>
    <row r="15" spans="1:27" ht="12.75">
      <c r="A15" s="5"/>
      <c r="B15" s="5"/>
      <c r="C15" s="5"/>
      <c r="D15" s="5"/>
      <c r="E15" s="5"/>
      <c r="F15" s="116"/>
      <c r="G15" s="123"/>
      <c r="H15" s="116"/>
      <c r="I15" s="124"/>
      <c r="J15" s="5"/>
      <c r="K15" s="5"/>
      <c r="L15" s="5"/>
      <c r="M15" s="5"/>
      <c r="N15" s="5"/>
      <c r="O15" s="5"/>
      <c r="P15" s="5"/>
      <c r="Q15" s="5"/>
      <c r="R15" s="5"/>
      <c r="S15" s="5"/>
      <c r="T15" s="5"/>
      <c r="U15" s="5"/>
      <c r="V15" s="5"/>
      <c r="W15" s="5"/>
      <c r="X15" s="5"/>
      <c r="Y15" s="5"/>
      <c r="Z15" s="5"/>
      <c r="AA15" s="5"/>
    </row>
    <row r="16" spans="1:27" ht="22.5" customHeight="1">
      <c r="A16" s="71" t="s">
        <v>17</v>
      </c>
      <c r="B16" s="71" t="s">
        <v>19</v>
      </c>
      <c r="C16" s="71" t="s">
        <v>20</v>
      </c>
      <c r="D16" s="71" t="s">
        <v>21</v>
      </c>
      <c r="E16" s="71" t="s">
        <v>22</v>
      </c>
      <c r="F16" s="494" t="s">
        <v>1708</v>
      </c>
      <c r="G16" s="117" t="s">
        <v>23</v>
      </c>
      <c r="H16" s="5"/>
      <c r="I16" s="5"/>
      <c r="J16" s="5"/>
      <c r="K16" s="5"/>
      <c r="L16" s="5"/>
      <c r="M16" s="5"/>
      <c r="N16" s="5"/>
      <c r="O16" s="5"/>
      <c r="P16" s="5"/>
      <c r="Q16" s="5"/>
      <c r="R16" s="5"/>
      <c r="S16" s="5"/>
      <c r="T16" s="5"/>
      <c r="U16" s="5"/>
      <c r="V16" s="5"/>
      <c r="W16" s="5"/>
      <c r="X16" s="5"/>
    </row>
    <row r="17" spans="1:27" ht="41.25" customHeight="1">
      <c r="A17" s="108" t="s">
        <v>32</v>
      </c>
      <c r="B17" s="108"/>
      <c r="C17" s="108" t="s">
        <v>39</v>
      </c>
      <c r="D17" s="101" t="s">
        <v>40</v>
      </c>
      <c r="E17" s="101" t="s">
        <v>42</v>
      </c>
      <c r="F17" s="493">
        <f>COUNTIF('Règles Métiers'!A:J,'User Story'!A17)</f>
        <v>0</v>
      </c>
      <c r="G17" s="118"/>
      <c r="H17" s="5"/>
      <c r="I17" s="5"/>
      <c r="J17" s="5"/>
      <c r="K17" s="5"/>
      <c r="L17" s="5"/>
      <c r="M17" s="5"/>
      <c r="N17" s="5"/>
      <c r="O17" s="5"/>
      <c r="P17" s="5"/>
      <c r="Q17" s="5"/>
      <c r="R17" s="5"/>
      <c r="S17" s="5"/>
      <c r="T17" s="5"/>
      <c r="U17" s="5"/>
      <c r="V17" s="5"/>
      <c r="W17" s="5"/>
      <c r="X17" s="5"/>
    </row>
    <row r="18" spans="1:27" ht="50.25" customHeight="1">
      <c r="A18" s="110" t="s">
        <v>43</v>
      </c>
      <c r="B18" s="110"/>
      <c r="C18" s="110" t="s">
        <v>39</v>
      </c>
      <c r="D18" s="103" t="s">
        <v>54</v>
      </c>
      <c r="E18" s="103" t="s">
        <v>56</v>
      </c>
      <c r="F18" s="493">
        <f>COUNTIF('Règles Métiers'!A:J,'User Story'!A18)</f>
        <v>0</v>
      </c>
      <c r="G18" s="119"/>
      <c r="H18" s="5"/>
      <c r="I18" s="5"/>
      <c r="J18" s="5"/>
      <c r="K18" s="5"/>
      <c r="L18" s="5"/>
      <c r="M18" s="5"/>
      <c r="N18" s="5"/>
      <c r="O18" s="5"/>
      <c r="P18" s="5"/>
      <c r="Q18" s="5"/>
      <c r="R18" s="5"/>
      <c r="S18" s="5"/>
      <c r="T18" s="5"/>
      <c r="U18" s="5"/>
      <c r="V18" s="5"/>
      <c r="W18" s="5"/>
      <c r="X18" s="5"/>
    </row>
    <row r="19" spans="1:27" ht="52.5" customHeight="1">
      <c r="A19" s="108" t="s">
        <v>64</v>
      </c>
      <c r="B19" s="108"/>
      <c r="C19" s="108" t="s">
        <v>39</v>
      </c>
      <c r="D19" s="101" t="s">
        <v>65</v>
      </c>
      <c r="E19" s="101" t="s">
        <v>66</v>
      </c>
      <c r="F19" s="493">
        <f>COUNTIF('Règles Métiers'!A:J,'User Story'!A19)</f>
        <v>0</v>
      </c>
      <c r="G19" s="109"/>
      <c r="H19" s="5"/>
      <c r="I19" s="5"/>
      <c r="J19" s="5"/>
      <c r="K19" s="5"/>
      <c r="L19" s="5"/>
      <c r="M19" s="5"/>
      <c r="N19" s="5"/>
      <c r="O19" s="5"/>
      <c r="P19" s="5"/>
      <c r="Q19" s="5"/>
      <c r="R19" s="5"/>
      <c r="S19" s="5"/>
      <c r="T19" s="5"/>
      <c r="U19" s="5"/>
      <c r="V19" s="5"/>
      <c r="W19" s="5"/>
      <c r="X19" s="5"/>
    </row>
    <row r="20" spans="1:27" ht="51" customHeight="1">
      <c r="A20" s="110" t="s">
        <v>67</v>
      </c>
      <c r="B20" s="110"/>
      <c r="C20" s="110" t="s">
        <v>39</v>
      </c>
      <c r="D20" s="103" t="s">
        <v>68</v>
      </c>
      <c r="E20" s="103" t="s">
        <v>69</v>
      </c>
      <c r="F20" s="493">
        <f>COUNTIF('Règles Métiers'!A:J,'User Story'!A20)</f>
        <v>0</v>
      </c>
      <c r="G20" s="103"/>
      <c r="H20" s="5"/>
      <c r="I20" s="5"/>
      <c r="J20" s="5"/>
      <c r="K20" s="5"/>
      <c r="L20" s="5"/>
      <c r="M20" s="5"/>
      <c r="N20" s="5"/>
      <c r="O20" s="5"/>
      <c r="P20" s="5"/>
      <c r="Q20" s="5"/>
      <c r="R20" s="5"/>
      <c r="S20" s="5"/>
      <c r="T20" s="5"/>
      <c r="U20" s="5"/>
      <c r="V20" s="5"/>
      <c r="W20" s="5"/>
      <c r="X20" s="5"/>
    </row>
    <row r="21" spans="1:27" ht="49.5" customHeight="1">
      <c r="A21" s="108" t="s">
        <v>75</v>
      </c>
      <c r="B21" s="108"/>
      <c r="C21" s="108" t="s">
        <v>39</v>
      </c>
      <c r="D21" s="101" t="s">
        <v>76</v>
      </c>
      <c r="E21" s="101" t="s">
        <v>77</v>
      </c>
      <c r="F21" s="493">
        <f>COUNTIF('Règles Métiers'!A:J,'User Story'!A21)</f>
        <v>0</v>
      </c>
      <c r="G21" s="101"/>
      <c r="H21" s="5"/>
      <c r="I21" s="5"/>
      <c r="J21" s="5"/>
      <c r="K21" s="5"/>
      <c r="L21" s="5"/>
      <c r="M21" s="5"/>
      <c r="N21" s="5"/>
      <c r="O21" s="5"/>
      <c r="P21" s="5"/>
      <c r="Q21" s="5"/>
      <c r="R21" s="5"/>
      <c r="S21" s="5"/>
      <c r="T21" s="5"/>
      <c r="U21" s="5"/>
      <c r="V21" s="5"/>
      <c r="W21" s="5"/>
      <c r="X21" s="5"/>
    </row>
    <row r="22" spans="1:27" ht="45" customHeight="1">
      <c r="A22" s="110" t="s">
        <v>80</v>
      </c>
      <c r="B22" s="110"/>
      <c r="C22" s="110" t="s">
        <v>39</v>
      </c>
      <c r="D22" s="103" t="s">
        <v>84</v>
      </c>
      <c r="E22" s="103" t="s">
        <v>86</v>
      </c>
      <c r="F22" s="493">
        <f>COUNTIF('Règles Métiers'!A:J,'User Story'!A22)</f>
        <v>1</v>
      </c>
      <c r="G22" s="100" t="s">
        <v>489</v>
      </c>
      <c r="H22" s="74"/>
      <c r="I22" s="74"/>
      <c r="J22" s="74"/>
      <c r="K22" s="74"/>
      <c r="L22" s="74"/>
      <c r="M22" s="74"/>
      <c r="N22" s="74"/>
      <c r="O22" s="74"/>
      <c r="P22" s="74"/>
      <c r="Q22" s="74"/>
      <c r="R22" s="74"/>
      <c r="S22" s="74"/>
      <c r="T22" s="74"/>
      <c r="U22" s="74"/>
      <c r="V22" s="74"/>
      <c r="W22" s="74"/>
      <c r="X22" s="74"/>
    </row>
    <row r="23" spans="1:27" ht="51" customHeight="1">
      <c r="A23" s="108" t="s">
        <v>87</v>
      </c>
      <c r="B23" s="108"/>
      <c r="C23" s="108" t="s">
        <v>39</v>
      </c>
      <c r="D23" s="101" t="s">
        <v>88</v>
      </c>
      <c r="E23" s="101" t="s">
        <v>89</v>
      </c>
      <c r="F23" s="493">
        <f>COUNTIF('Règles Métiers'!A:J,'User Story'!A23)</f>
        <v>0</v>
      </c>
      <c r="G23" s="109"/>
      <c r="H23" s="75"/>
      <c r="I23" s="75"/>
      <c r="J23" s="75"/>
      <c r="K23" s="75"/>
      <c r="L23" s="75"/>
      <c r="M23" s="75"/>
      <c r="N23" s="75"/>
      <c r="O23" s="75"/>
      <c r="P23" s="75"/>
      <c r="Q23" s="75"/>
      <c r="R23" s="75"/>
      <c r="S23" s="75"/>
      <c r="T23" s="75"/>
      <c r="U23" s="75"/>
      <c r="V23" s="75"/>
      <c r="W23" s="75"/>
      <c r="X23" s="75"/>
    </row>
    <row r="24" spans="1:27" ht="47.25" customHeight="1">
      <c r="A24" s="110" t="s">
        <v>93</v>
      </c>
      <c r="B24" s="110"/>
      <c r="C24" s="110" t="s">
        <v>39</v>
      </c>
      <c r="D24" s="103" t="s">
        <v>94</v>
      </c>
      <c r="E24" s="103" t="s">
        <v>95</v>
      </c>
      <c r="F24" s="493">
        <f>COUNTIF('Règles Métiers'!A:J,'User Story'!A24)</f>
        <v>0</v>
      </c>
      <c r="G24" s="111"/>
      <c r="H24" s="5"/>
      <c r="I24" s="5"/>
      <c r="J24" s="5"/>
      <c r="K24" s="5"/>
      <c r="L24" s="5"/>
      <c r="M24" s="5"/>
      <c r="N24" s="5"/>
      <c r="O24" s="5"/>
      <c r="P24" s="5"/>
      <c r="Q24" s="5"/>
      <c r="R24" s="5"/>
      <c r="S24" s="5"/>
      <c r="T24" s="5"/>
      <c r="U24" s="5"/>
      <c r="V24" s="5"/>
      <c r="W24" s="5"/>
      <c r="X24" s="5"/>
    </row>
    <row r="25" spans="1:27" ht="14.25">
      <c r="A25" s="18"/>
      <c r="B25" s="20"/>
      <c r="C25" s="20"/>
      <c r="D25" s="21"/>
      <c r="E25" s="22"/>
      <c r="F25" s="5"/>
      <c r="G25" s="5"/>
      <c r="H25" s="5"/>
      <c r="I25" s="5"/>
      <c r="J25" s="5"/>
      <c r="K25" s="5"/>
      <c r="L25" s="5"/>
      <c r="M25" s="5"/>
      <c r="N25" s="5"/>
      <c r="O25" s="5"/>
      <c r="P25" s="5"/>
      <c r="Q25" s="5"/>
      <c r="R25" s="5"/>
      <c r="S25" s="5"/>
      <c r="T25" s="5"/>
      <c r="U25" s="5"/>
      <c r="V25" s="5"/>
      <c r="W25" s="5"/>
      <c r="X25" s="5"/>
      <c r="Y25" s="5"/>
      <c r="Z25" s="5"/>
      <c r="AA25" s="5"/>
    </row>
    <row r="26" spans="1:27" ht="14.25">
      <c r="A26" s="18"/>
      <c r="B26" s="20"/>
      <c r="C26" s="20"/>
      <c r="D26" s="21"/>
      <c r="E26" s="22"/>
      <c r="F26" s="5"/>
      <c r="G26" s="5"/>
      <c r="H26" s="5"/>
      <c r="I26" s="5"/>
      <c r="J26" s="5"/>
      <c r="K26" s="5"/>
      <c r="L26" s="5"/>
      <c r="M26" s="5"/>
      <c r="N26" s="5"/>
      <c r="O26" s="5"/>
      <c r="P26" s="5"/>
      <c r="Q26" s="5"/>
      <c r="R26" s="5"/>
      <c r="S26" s="5"/>
      <c r="T26" s="5"/>
      <c r="U26" s="5"/>
      <c r="V26" s="5"/>
      <c r="W26" s="5"/>
      <c r="X26" s="5"/>
      <c r="Y26" s="5"/>
      <c r="Z26" s="5"/>
      <c r="AA26" s="5"/>
    </row>
    <row r="27" spans="1:27" ht="30">
      <c r="A27" s="345" t="s">
        <v>101</v>
      </c>
      <c r="B27" s="5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 r="A28" s="18"/>
      <c r="B28" s="20"/>
      <c r="C28" s="20"/>
      <c r="D28" s="21"/>
      <c r="E28" s="22"/>
      <c r="F28" s="5"/>
      <c r="G28" s="5"/>
      <c r="H28" s="5"/>
      <c r="I28" s="5"/>
      <c r="J28" s="5"/>
      <c r="K28" s="5"/>
      <c r="L28" s="5"/>
      <c r="M28" s="5"/>
      <c r="N28" s="5"/>
      <c r="O28" s="5"/>
      <c r="P28" s="5"/>
      <c r="Q28" s="5"/>
      <c r="R28" s="5"/>
      <c r="S28" s="5"/>
      <c r="T28" s="5"/>
      <c r="U28" s="5"/>
      <c r="V28" s="5"/>
      <c r="W28" s="5"/>
      <c r="X28" s="5"/>
      <c r="Y28" s="5"/>
      <c r="Z28" s="5"/>
      <c r="AA28" s="5"/>
    </row>
    <row r="29" spans="1:27" ht="12.75">
      <c r="A29" s="71" t="s">
        <v>17</v>
      </c>
      <c r="B29" s="71" t="s">
        <v>19</v>
      </c>
      <c r="C29" s="71" t="s">
        <v>20</v>
      </c>
      <c r="D29" s="71" t="s">
        <v>21</v>
      </c>
      <c r="E29" s="71" t="s">
        <v>22</v>
      </c>
      <c r="F29" s="494" t="s">
        <v>1708</v>
      </c>
      <c r="G29" s="117" t="s">
        <v>23</v>
      </c>
      <c r="H29" s="5"/>
      <c r="I29" s="5"/>
      <c r="J29" s="5"/>
      <c r="K29" s="5"/>
      <c r="L29" s="5"/>
      <c r="M29" s="5"/>
      <c r="N29" s="5"/>
      <c r="O29" s="5"/>
      <c r="P29" s="5"/>
      <c r="Q29" s="5"/>
      <c r="R29" s="5"/>
      <c r="S29" s="5"/>
      <c r="T29" s="5"/>
      <c r="U29" s="5"/>
      <c r="V29" s="5"/>
      <c r="W29" s="5"/>
      <c r="X29" s="5"/>
    </row>
    <row r="30" spans="1:27" ht="41.25" customHeight="1">
      <c r="A30" s="12" t="s">
        <v>103</v>
      </c>
      <c r="B30" s="12"/>
      <c r="C30" s="12" t="s">
        <v>39</v>
      </c>
      <c r="D30" s="36" t="s">
        <v>104</v>
      </c>
      <c r="E30" s="42" t="s">
        <v>105</v>
      </c>
      <c r="F30" s="42">
        <f>COUNTIF('Règles Métiers'!A:J,'User Story'!A30)</f>
        <v>0</v>
      </c>
      <c r="G30" s="72"/>
      <c r="H30" s="5"/>
      <c r="I30" s="5"/>
      <c r="J30" s="5"/>
      <c r="K30" s="5"/>
      <c r="L30" s="5"/>
      <c r="M30" s="5"/>
      <c r="N30" s="5"/>
      <c r="O30" s="5"/>
      <c r="P30" s="5"/>
      <c r="Q30" s="5"/>
      <c r="R30" s="5"/>
      <c r="S30" s="5"/>
      <c r="T30" s="5"/>
      <c r="U30" s="5"/>
      <c r="V30" s="5"/>
      <c r="W30" s="5"/>
      <c r="X30" s="5"/>
    </row>
    <row r="31" spans="1:27" ht="39" customHeight="1">
      <c r="A31" s="13" t="s">
        <v>106</v>
      </c>
      <c r="B31" s="13"/>
      <c r="C31" s="13" t="s">
        <v>39</v>
      </c>
      <c r="D31" s="38" t="s">
        <v>108</v>
      </c>
      <c r="E31" s="40" t="s">
        <v>109</v>
      </c>
      <c r="F31" s="78">
        <f>COUNTIF('Règles Métiers'!A:J,'User Story'!A31)</f>
        <v>0</v>
      </c>
      <c r="G31" s="73"/>
      <c r="H31" s="5"/>
      <c r="I31" s="5"/>
      <c r="J31" s="5"/>
      <c r="K31" s="5"/>
      <c r="L31" s="5"/>
      <c r="M31" s="5"/>
      <c r="N31" s="5"/>
      <c r="O31" s="5"/>
      <c r="P31" s="5"/>
      <c r="Q31" s="5"/>
      <c r="R31" s="5"/>
      <c r="S31" s="5"/>
      <c r="T31" s="5"/>
      <c r="U31" s="5"/>
      <c r="V31" s="5"/>
      <c r="W31" s="5"/>
      <c r="X31" s="5"/>
    </row>
    <row r="32" spans="1:27" ht="12.75">
      <c r="A32" s="5"/>
      <c r="B32" s="5"/>
      <c r="C32" s="5"/>
      <c r="D32" s="5"/>
      <c r="E32" s="5"/>
      <c r="F32" s="5"/>
      <c r="G32" s="5"/>
      <c r="H32" s="5"/>
      <c r="I32" s="5"/>
      <c r="J32" s="5"/>
      <c r="K32" s="5"/>
      <c r="L32" s="5"/>
      <c r="M32" s="5"/>
      <c r="N32" s="5"/>
      <c r="O32" s="5"/>
      <c r="P32" s="5"/>
      <c r="Q32" s="5"/>
      <c r="R32" s="5"/>
      <c r="S32" s="5"/>
      <c r="T32" s="5"/>
      <c r="U32" s="5"/>
      <c r="V32" s="5"/>
      <c r="W32" s="5"/>
    </row>
    <row r="33" spans="1:27" ht="12.7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26.25">
      <c r="A34" s="345" t="s">
        <v>111</v>
      </c>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2.7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2.75">
      <c r="A36" s="71" t="s">
        <v>17</v>
      </c>
      <c r="B36" s="71" t="s">
        <v>19</v>
      </c>
      <c r="C36" s="71" t="s">
        <v>20</v>
      </c>
      <c r="D36" s="71" t="s">
        <v>21</v>
      </c>
      <c r="E36" s="71" t="s">
        <v>22</v>
      </c>
      <c r="F36" s="494" t="s">
        <v>1708</v>
      </c>
      <c r="G36" s="117" t="s">
        <v>23</v>
      </c>
      <c r="H36" s="5"/>
      <c r="I36" s="5"/>
      <c r="J36" s="5"/>
      <c r="K36" s="5"/>
      <c r="L36" s="5"/>
      <c r="M36" s="5"/>
      <c r="N36" s="5"/>
      <c r="O36" s="5"/>
      <c r="P36" s="5"/>
      <c r="Q36" s="5"/>
      <c r="R36" s="5"/>
      <c r="S36" s="5"/>
      <c r="T36" s="5"/>
      <c r="U36" s="5"/>
      <c r="V36" s="5"/>
      <c r="W36" s="5"/>
      <c r="X36" s="5"/>
    </row>
    <row r="37" spans="1:27" ht="39" customHeight="1">
      <c r="A37" s="36" t="s">
        <v>116</v>
      </c>
      <c r="B37" s="36"/>
      <c r="C37" s="36" t="s">
        <v>39</v>
      </c>
      <c r="D37" s="36" t="s">
        <v>118</v>
      </c>
      <c r="E37" s="42" t="s">
        <v>119</v>
      </c>
      <c r="F37" s="42">
        <f>COUNTIF('Règles Métiers'!A:J,'User Story'!A37)</f>
        <v>0</v>
      </c>
      <c r="G37" s="27"/>
      <c r="H37" s="5"/>
      <c r="I37" s="5"/>
      <c r="J37" s="5"/>
      <c r="K37" s="5"/>
      <c r="L37" s="5"/>
      <c r="M37" s="5"/>
      <c r="N37" s="5"/>
      <c r="O37" s="5"/>
      <c r="P37" s="5"/>
      <c r="Q37" s="5"/>
      <c r="R37" s="5"/>
      <c r="S37" s="5"/>
      <c r="T37" s="5"/>
      <c r="U37" s="5"/>
      <c r="V37" s="5"/>
      <c r="W37" s="5"/>
      <c r="X37" s="5"/>
    </row>
    <row r="38" spans="1:27" ht="35.450000000000003" customHeight="1">
      <c r="A38" s="38" t="s">
        <v>127</v>
      </c>
      <c r="B38" s="38"/>
      <c r="C38" s="38" t="s">
        <v>39</v>
      </c>
      <c r="D38" s="38" t="s">
        <v>132</v>
      </c>
      <c r="E38" s="40" t="s">
        <v>133</v>
      </c>
      <c r="F38" s="78">
        <f>COUNTIF('Règles Métiers'!A:J,'User Story'!A38)</f>
        <v>0</v>
      </c>
      <c r="G38" s="26"/>
      <c r="H38" s="5"/>
      <c r="I38" s="5"/>
      <c r="J38" s="5"/>
      <c r="K38" s="5"/>
      <c r="L38" s="5"/>
      <c r="M38" s="5"/>
      <c r="N38" s="5"/>
      <c r="O38" s="5"/>
      <c r="P38" s="5"/>
      <c r="Q38" s="5"/>
      <c r="R38" s="5"/>
      <c r="S38" s="5"/>
      <c r="T38" s="5"/>
      <c r="U38" s="5"/>
      <c r="V38" s="5"/>
      <c r="W38" s="5"/>
      <c r="X38" s="5"/>
    </row>
    <row r="39" spans="1:27" ht="33.6" customHeight="1">
      <c r="A39" s="36" t="s">
        <v>139</v>
      </c>
      <c r="B39" s="36"/>
      <c r="C39" s="36" t="s">
        <v>140</v>
      </c>
      <c r="D39" s="36" t="s">
        <v>141</v>
      </c>
      <c r="E39" s="133"/>
      <c r="F39" s="42">
        <f>COUNTIF('Règles Métiers'!A:J,'User Story'!A39)</f>
        <v>0</v>
      </c>
      <c r="G39" s="27"/>
      <c r="H39" s="5"/>
      <c r="I39" s="5"/>
      <c r="J39" s="5"/>
      <c r="K39" s="5"/>
      <c r="L39" s="5"/>
      <c r="M39" s="5"/>
      <c r="N39" s="5"/>
      <c r="O39" s="5"/>
      <c r="P39" s="5"/>
      <c r="Q39" s="5"/>
      <c r="R39" s="5"/>
      <c r="S39" s="5"/>
      <c r="T39" s="5"/>
      <c r="U39" s="5"/>
      <c r="V39" s="5"/>
      <c r="W39" s="5"/>
      <c r="X39" s="5"/>
    </row>
    <row r="40" spans="1:27" ht="70.900000000000006" customHeight="1">
      <c r="A40" s="38" t="s">
        <v>145</v>
      </c>
      <c r="B40" s="38"/>
      <c r="C40" s="38" t="s">
        <v>39</v>
      </c>
      <c r="D40" s="38" t="s">
        <v>146</v>
      </c>
      <c r="E40" s="40" t="s">
        <v>147</v>
      </c>
      <c r="F40" s="78">
        <f>COUNTIF('Règles Métiers'!A:J,'User Story'!A40)</f>
        <v>0</v>
      </c>
      <c r="G40" s="26"/>
      <c r="H40" s="5"/>
      <c r="I40" s="5"/>
      <c r="J40" s="5"/>
      <c r="K40" s="5"/>
      <c r="L40" s="5"/>
      <c r="M40" s="5"/>
      <c r="N40" s="5"/>
      <c r="O40" s="5"/>
      <c r="P40" s="5"/>
      <c r="Q40" s="5"/>
      <c r="R40" s="5"/>
      <c r="S40" s="5"/>
      <c r="T40" s="5"/>
      <c r="U40" s="5"/>
      <c r="V40" s="5"/>
      <c r="W40" s="5"/>
      <c r="X40" s="5"/>
    </row>
    <row r="41" spans="1:27" ht="116.45" customHeight="1">
      <c r="A41" s="36" t="s">
        <v>148</v>
      </c>
      <c r="B41" s="36"/>
      <c r="C41" s="36" t="s">
        <v>39</v>
      </c>
      <c r="D41" s="36" t="s">
        <v>149</v>
      </c>
      <c r="E41" s="42" t="s">
        <v>150</v>
      </c>
      <c r="F41" s="42">
        <f>COUNTIF('Règles Métiers'!A:J,'User Story'!A41)</f>
        <v>0</v>
      </c>
      <c r="G41" s="27"/>
      <c r="H41" s="5"/>
      <c r="I41" s="5"/>
      <c r="J41" s="5"/>
      <c r="K41" s="5"/>
      <c r="L41" s="5"/>
      <c r="M41" s="5"/>
      <c r="N41" s="5"/>
      <c r="O41" s="5"/>
      <c r="P41" s="5"/>
      <c r="Q41" s="5"/>
      <c r="R41" s="5"/>
      <c r="S41" s="5"/>
      <c r="T41" s="5"/>
      <c r="U41" s="5"/>
      <c r="V41" s="5"/>
      <c r="W41" s="5"/>
      <c r="X41" s="5"/>
    </row>
    <row r="42" spans="1:27" ht="58.9" customHeight="1">
      <c r="A42" s="38" t="s">
        <v>151</v>
      </c>
      <c r="B42" s="38"/>
      <c r="C42" s="38" t="s">
        <v>39</v>
      </c>
      <c r="D42" s="38" t="s">
        <v>154</v>
      </c>
      <c r="E42" s="40" t="s">
        <v>156</v>
      </c>
      <c r="F42" s="78">
        <f>COUNTIF('Règles Métiers'!A:J,'User Story'!A42)</f>
        <v>0</v>
      </c>
      <c r="G42" s="26"/>
      <c r="H42" s="5"/>
      <c r="I42" s="5"/>
      <c r="J42" s="5"/>
      <c r="K42" s="5"/>
      <c r="L42" s="5"/>
      <c r="M42" s="5"/>
      <c r="N42" s="5"/>
      <c r="O42" s="5"/>
      <c r="P42" s="5"/>
      <c r="Q42" s="5"/>
      <c r="R42" s="5"/>
      <c r="S42" s="5"/>
      <c r="T42" s="5"/>
      <c r="U42" s="5"/>
      <c r="V42" s="5"/>
      <c r="W42" s="5"/>
      <c r="X42" s="5"/>
    </row>
    <row r="43" spans="1:27" ht="78.599999999999994" customHeight="1">
      <c r="A43" s="36" t="s">
        <v>158</v>
      </c>
      <c r="B43" s="36"/>
      <c r="C43" s="36" t="s">
        <v>39</v>
      </c>
      <c r="D43" s="36" t="s">
        <v>159</v>
      </c>
      <c r="E43" s="30" t="s">
        <v>160</v>
      </c>
      <c r="F43" s="42">
        <f>COUNTIF('Règles Métiers'!A:J,'User Story'!A43)</f>
        <v>0</v>
      </c>
      <c r="G43" s="31"/>
      <c r="H43" s="5"/>
      <c r="I43" s="5"/>
      <c r="J43" s="5"/>
      <c r="K43" s="5"/>
      <c r="L43" s="5"/>
      <c r="M43" s="5"/>
      <c r="N43" s="5"/>
      <c r="O43" s="5"/>
      <c r="P43" s="5"/>
      <c r="Q43" s="5"/>
      <c r="R43" s="5"/>
      <c r="S43" s="5"/>
      <c r="T43" s="5"/>
      <c r="U43" s="5"/>
      <c r="V43" s="5"/>
      <c r="W43" s="5"/>
      <c r="X43" s="5"/>
    </row>
    <row r="44" spans="1:27" ht="49.15" customHeight="1">
      <c r="A44" s="38" t="s">
        <v>161</v>
      </c>
      <c r="B44" s="38"/>
      <c r="C44" s="38" t="s">
        <v>39</v>
      </c>
      <c r="D44" s="38" t="s">
        <v>162</v>
      </c>
      <c r="E44" s="40" t="s">
        <v>163</v>
      </c>
      <c r="F44" s="78">
        <f>COUNTIF('Règles Métiers'!A:J,'User Story'!A44)</f>
        <v>0</v>
      </c>
      <c r="G44" s="26"/>
      <c r="H44" s="5"/>
      <c r="I44" s="5"/>
      <c r="J44" s="5"/>
      <c r="K44" s="5"/>
      <c r="L44" s="5"/>
      <c r="M44" s="5"/>
      <c r="N44" s="5"/>
      <c r="O44" s="5"/>
      <c r="P44" s="5"/>
      <c r="Q44" s="5"/>
      <c r="R44" s="5"/>
      <c r="S44" s="5"/>
      <c r="T44" s="5"/>
      <c r="U44" s="5"/>
      <c r="V44" s="5"/>
      <c r="W44" s="5"/>
      <c r="X44" s="5"/>
    </row>
    <row r="45" spans="1:27" ht="58.15" customHeight="1">
      <c r="A45" s="36" t="s">
        <v>164</v>
      </c>
      <c r="B45" s="36"/>
      <c r="C45" s="36" t="s">
        <v>39</v>
      </c>
      <c r="D45" s="36" t="s">
        <v>165</v>
      </c>
      <c r="E45" s="30" t="s">
        <v>167</v>
      </c>
      <c r="F45" s="42">
        <f>COUNTIF('Règles Métiers'!A:J,'User Story'!A45)</f>
        <v>0</v>
      </c>
      <c r="G45" s="31"/>
      <c r="H45" s="5"/>
      <c r="I45" s="5"/>
      <c r="J45" s="5"/>
      <c r="K45" s="5"/>
      <c r="L45" s="5"/>
      <c r="M45" s="5"/>
      <c r="N45" s="5"/>
      <c r="O45" s="5"/>
      <c r="P45" s="5"/>
      <c r="Q45" s="5"/>
      <c r="R45" s="5"/>
      <c r="S45" s="5"/>
      <c r="T45" s="5"/>
      <c r="U45" s="5"/>
      <c r="V45" s="5"/>
      <c r="W45" s="5"/>
      <c r="X45" s="5"/>
    </row>
    <row r="46" spans="1:27" ht="71.25">
      <c r="A46" s="38" t="s">
        <v>170</v>
      </c>
      <c r="B46" s="38"/>
      <c r="C46" s="38" t="s">
        <v>39</v>
      </c>
      <c r="D46" s="38" t="s">
        <v>171</v>
      </c>
      <c r="E46" s="40" t="s">
        <v>172</v>
      </c>
      <c r="F46" s="78">
        <f>COUNTIF('Règles Métiers'!A:J,'User Story'!A46)</f>
        <v>0</v>
      </c>
      <c r="G46" s="26"/>
      <c r="H46" s="5"/>
      <c r="I46" s="5"/>
      <c r="J46" s="5"/>
      <c r="K46" s="5"/>
      <c r="L46" s="5"/>
      <c r="M46" s="5"/>
      <c r="N46" s="5"/>
      <c r="O46" s="5"/>
      <c r="P46" s="5"/>
      <c r="Q46" s="5"/>
      <c r="R46" s="5"/>
      <c r="S46" s="5"/>
      <c r="T46" s="5"/>
      <c r="U46" s="5"/>
      <c r="V46" s="5"/>
      <c r="W46" s="5"/>
      <c r="X46" s="5"/>
    </row>
    <row r="47" spans="1:27" ht="28.5">
      <c r="A47" s="36" t="s">
        <v>173</v>
      </c>
      <c r="B47" s="36"/>
      <c r="C47" s="36" t="s">
        <v>39</v>
      </c>
      <c r="D47" s="36" t="s">
        <v>174</v>
      </c>
      <c r="E47" s="30" t="s">
        <v>175</v>
      </c>
      <c r="F47" s="42">
        <f>COUNTIF('Règles Métiers'!A:J,'User Story'!A47)</f>
        <v>0</v>
      </c>
      <c r="G47" s="31"/>
      <c r="H47" s="5"/>
      <c r="I47" s="5"/>
      <c r="J47" s="5"/>
      <c r="K47" s="5"/>
      <c r="L47" s="5"/>
      <c r="M47" s="5"/>
      <c r="N47" s="5"/>
      <c r="O47" s="5"/>
      <c r="P47" s="5"/>
      <c r="Q47" s="5"/>
      <c r="R47" s="5"/>
      <c r="S47" s="5"/>
      <c r="T47" s="5"/>
      <c r="U47" s="5"/>
      <c r="V47" s="5"/>
      <c r="W47" s="5"/>
      <c r="X47" s="5"/>
    </row>
    <row r="48" spans="1:27" ht="58.9" customHeight="1">
      <c r="A48" s="38" t="s">
        <v>176</v>
      </c>
      <c r="B48" s="38"/>
      <c r="C48" s="38" t="s">
        <v>39</v>
      </c>
      <c r="D48" s="38" t="s">
        <v>177</v>
      </c>
      <c r="E48" s="40" t="s">
        <v>178</v>
      </c>
      <c r="F48" s="78">
        <f>COUNTIF('Règles Métiers'!A:J,'User Story'!A48)</f>
        <v>0</v>
      </c>
      <c r="G48" s="26"/>
      <c r="H48" s="5"/>
      <c r="I48" s="5"/>
      <c r="J48" s="5"/>
      <c r="K48" s="5"/>
      <c r="L48" s="5"/>
      <c r="M48" s="5"/>
      <c r="N48" s="5"/>
      <c r="O48" s="5"/>
      <c r="P48" s="5"/>
      <c r="Q48" s="5"/>
      <c r="R48" s="5"/>
      <c r="S48" s="5"/>
      <c r="T48" s="5"/>
      <c r="U48" s="5"/>
      <c r="V48" s="5"/>
      <c r="W48" s="5"/>
      <c r="X48" s="5"/>
    </row>
    <row r="49" spans="1:24" ht="55.15" customHeight="1">
      <c r="A49" s="36" t="s">
        <v>179</v>
      </c>
      <c r="B49" s="36"/>
      <c r="C49" s="36" t="s">
        <v>39</v>
      </c>
      <c r="D49" s="36" t="s">
        <v>165</v>
      </c>
      <c r="E49" s="30" t="s">
        <v>167</v>
      </c>
      <c r="F49" s="42">
        <f>COUNTIF('Règles Métiers'!A:J,'User Story'!A49)</f>
        <v>0</v>
      </c>
      <c r="G49" s="31"/>
      <c r="H49" s="5"/>
      <c r="I49" s="5"/>
      <c r="J49" s="5"/>
      <c r="K49" s="5"/>
      <c r="L49" s="5"/>
      <c r="M49" s="5"/>
      <c r="N49" s="5"/>
      <c r="O49" s="5"/>
      <c r="P49" s="5"/>
      <c r="Q49" s="5"/>
      <c r="R49" s="5"/>
      <c r="S49" s="5"/>
      <c r="T49" s="5"/>
      <c r="U49" s="5"/>
      <c r="V49" s="5"/>
      <c r="W49" s="5"/>
      <c r="X49" s="5"/>
    </row>
    <row r="50" spans="1:24" ht="41.45" customHeight="1">
      <c r="A50" s="38" t="s">
        <v>180</v>
      </c>
      <c r="B50" s="38"/>
      <c r="C50" s="38" t="s">
        <v>39</v>
      </c>
      <c r="D50" s="38" t="s">
        <v>181</v>
      </c>
      <c r="E50" s="40" t="s">
        <v>182</v>
      </c>
      <c r="F50" s="78">
        <f>COUNTIF('Règles Métiers'!A:J,'User Story'!A50)</f>
        <v>0</v>
      </c>
      <c r="G50" s="26"/>
      <c r="H50" s="5"/>
      <c r="I50" s="5"/>
      <c r="J50" s="5"/>
      <c r="K50" s="5"/>
      <c r="L50" s="5"/>
      <c r="M50" s="5"/>
      <c r="N50" s="5"/>
      <c r="O50" s="5"/>
      <c r="P50" s="5"/>
      <c r="Q50" s="5"/>
      <c r="R50" s="5"/>
      <c r="S50" s="5"/>
      <c r="T50" s="5"/>
      <c r="U50" s="5"/>
      <c r="V50" s="5"/>
      <c r="W50" s="5"/>
      <c r="X50" s="5"/>
    </row>
    <row r="51" spans="1:24" ht="60.6" customHeight="1">
      <c r="A51" s="36" t="s">
        <v>183</v>
      </c>
      <c r="B51" s="36"/>
      <c r="C51" s="36" t="s">
        <v>39</v>
      </c>
      <c r="D51" s="36" t="s">
        <v>184</v>
      </c>
      <c r="E51" s="30" t="s">
        <v>185</v>
      </c>
      <c r="F51" s="42">
        <f>COUNTIF('Règles Métiers'!A:J,'User Story'!A51)</f>
        <v>0</v>
      </c>
      <c r="G51" s="31"/>
      <c r="H51" s="5"/>
      <c r="I51" s="5"/>
      <c r="J51" s="5"/>
      <c r="K51" s="5"/>
      <c r="L51" s="5"/>
      <c r="M51" s="5"/>
      <c r="N51" s="5"/>
      <c r="O51" s="5"/>
      <c r="P51" s="5"/>
      <c r="Q51" s="5"/>
      <c r="R51" s="5"/>
      <c r="S51" s="5"/>
      <c r="T51" s="5"/>
      <c r="U51" s="5"/>
      <c r="V51" s="5"/>
      <c r="W51" s="5"/>
      <c r="X51" s="5"/>
    </row>
    <row r="52" spans="1:24" ht="43.9" customHeight="1">
      <c r="A52" s="38" t="s">
        <v>188</v>
      </c>
      <c r="B52" s="38"/>
      <c r="C52" s="38" t="s">
        <v>39</v>
      </c>
      <c r="D52" s="38" t="s">
        <v>181</v>
      </c>
      <c r="E52" s="40" t="s">
        <v>182</v>
      </c>
      <c r="F52" s="78">
        <f>COUNTIF('Règles Métiers'!A:J,'User Story'!A52)</f>
        <v>0</v>
      </c>
      <c r="G52" s="26"/>
      <c r="H52" s="5"/>
      <c r="I52" s="5"/>
      <c r="J52" s="5"/>
      <c r="K52" s="5"/>
      <c r="L52" s="5"/>
      <c r="M52" s="5"/>
      <c r="N52" s="5"/>
      <c r="O52" s="5"/>
      <c r="P52" s="5"/>
      <c r="Q52" s="5"/>
      <c r="R52" s="5"/>
      <c r="S52" s="5"/>
      <c r="T52" s="5"/>
      <c r="U52" s="5"/>
      <c r="V52" s="5"/>
      <c r="W52" s="5"/>
      <c r="X52" s="5"/>
    </row>
    <row r="53" spans="1:24" ht="52.15" customHeight="1">
      <c r="A53" s="36" t="s">
        <v>190</v>
      </c>
      <c r="B53" s="36"/>
      <c r="C53" s="36" t="s">
        <v>39</v>
      </c>
      <c r="D53" s="36" t="s">
        <v>184</v>
      </c>
      <c r="E53" s="30" t="s">
        <v>185</v>
      </c>
      <c r="F53" s="42">
        <f>COUNTIF('Règles Métiers'!A:J,'User Story'!A53)</f>
        <v>0</v>
      </c>
      <c r="G53" s="31"/>
      <c r="H53" s="5"/>
      <c r="I53" s="5"/>
      <c r="J53" s="5"/>
      <c r="K53" s="5"/>
      <c r="L53" s="5"/>
      <c r="M53" s="5"/>
      <c r="N53" s="5"/>
      <c r="O53" s="5"/>
      <c r="P53" s="5"/>
      <c r="Q53" s="5"/>
      <c r="R53" s="5"/>
      <c r="S53" s="5"/>
      <c r="T53" s="5"/>
      <c r="U53" s="5"/>
      <c r="V53" s="5"/>
      <c r="W53" s="5"/>
      <c r="X53" s="5"/>
    </row>
    <row r="54" spans="1:24" ht="46.15" customHeight="1">
      <c r="A54" s="38" t="s">
        <v>192</v>
      </c>
      <c r="B54" s="38"/>
      <c r="C54" s="38" t="s">
        <v>39</v>
      </c>
      <c r="D54" s="38" t="s">
        <v>193</v>
      </c>
      <c r="E54" s="32" t="s">
        <v>194</v>
      </c>
      <c r="F54" s="78">
        <f>COUNTIF('Règles Métiers'!A:J,'User Story'!A54)</f>
        <v>0</v>
      </c>
      <c r="G54" s="33"/>
      <c r="H54" s="5"/>
      <c r="I54" s="5"/>
      <c r="J54" s="5"/>
      <c r="K54" s="5"/>
      <c r="L54" s="5"/>
      <c r="M54" s="5"/>
      <c r="N54" s="5"/>
      <c r="O54" s="5"/>
      <c r="P54" s="5"/>
      <c r="Q54" s="5"/>
      <c r="R54" s="5"/>
      <c r="S54" s="5"/>
      <c r="T54" s="5"/>
      <c r="U54" s="5"/>
      <c r="V54" s="5"/>
      <c r="W54" s="5"/>
      <c r="X54" s="5"/>
    </row>
    <row r="55" spans="1:24" ht="49.15" customHeight="1">
      <c r="A55" s="36" t="s">
        <v>199</v>
      </c>
      <c r="B55" s="36"/>
      <c r="C55" s="36" t="s">
        <v>39</v>
      </c>
      <c r="D55" s="36" t="s">
        <v>200</v>
      </c>
      <c r="E55" s="30" t="s">
        <v>194</v>
      </c>
      <c r="F55" s="42">
        <f>COUNTIF('Règles Métiers'!A:J,'User Story'!A55)</f>
        <v>0</v>
      </c>
      <c r="G55" s="31"/>
      <c r="H55" s="5"/>
      <c r="I55" s="5"/>
      <c r="J55" s="5"/>
      <c r="K55" s="5"/>
      <c r="L55" s="5"/>
      <c r="M55" s="5"/>
      <c r="N55" s="5"/>
      <c r="O55" s="5"/>
      <c r="P55" s="5"/>
      <c r="Q55" s="5"/>
      <c r="R55" s="5"/>
      <c r="S55" s="5"/>
      <c r="T55" s="5"/>
      <c r="U55" s="5"/>
      <c r="V55" s="5"/>
      <c r="W55" s="5"/>
      <c r="X55" s="5"/>
    </row>
    <row r="56" spans="1:24" ht="48" customHeight="1">
      <c r="A56" s="38" t="s">
        <v>204</v>
      </c>
      <c r="B56" s="38"/>
      <c r="C56" s="38" t="s">
        <v>39</v>
      </c>
      <c r="D56" s="38" t="s">
        <v>205</v>
      </c>
      <c r="E56" s="40" t="s">
        <v>182</v>
      </c>
      <c r="F56" s="78">
        <f>COUNTIF('Règles Métiers'!A:J,'User Story'!A56)</f>
        <v>0</v>
      </c>
      <c r="G56" s="26"/>
      <c r="H56" s="5"/>
      <c r="I56" s="5"/>
      <c r="J56" s="5"/>
      <c r="K56" s="5"/>
      <c r="L56" s="5"/>
      <c r="M56" s="5"/>
      <c r="N56" s="5"/>
      <c r="O56" s="5"/>
      <c r="P56" s="5"/>
      <c r="Q56" s="5"/>
      <c r="R56" s="5"/>
      <c r="S56" s="5"/>
      <c r="T56" s="5"/>
      <c r="U56" s="5"/>
      <c r="V56" s="5"/>
      <c r="W56" s="5"/>
      <c r="X56" s="5"/>
    </row>
    <row r="57" spans="1:24" ht="45.6" customHeight="1">
      <c r="A57" s="36" t="s">
        <v>209</v>
      </c>
      <c r="B57" s="36"/>
      <c r="C57" s="36" t="s">
        <v>39</v>
      </c>
      <c r="D57" s="36" t="s">
        <v>210</v>
      </c>
      <c r="E57" s="30" t="s">
        <v>182</v>
      </c>
      <c r="F57" s="42">
        <f>COUNTIF('Règles Métiers'!A:J,'User Story'!A57)</f>
        <v>0</v>
      </c>
      <c r="G57" s="31"/>
      <c r="H57" s="5"/>
      <c r="I57" s="5"/>
      <c r="J57" s="5"/>
      <c r="K57" s="5"/>
      <c r="L57" s="5"/>
      <c r="M57" s="5"/>
      <c r="N57" s="5"/>
      <c r="O57" s="5"/>
      <c r="P57" s="5"/>
      <c r="Q57" s="5"/>
      <c r="R57" s="5"/>
      <c r="S57" s="5"/>
      <c r="T57" s="5"/>
      <c r="U57" s="5"/>
      <c r="V57" s="5"/>
      <c r="W57" s="5"/>
      <c r="X57" s="5"/>
    </row>
    <row r="58" spans="1:24" ht="37.9" customHeight="1">
      <c r="A58" s="38" t="s">
        <v>211</v>
      </c>
      <c r="B58" s="38"/>
      <c r="C58" s="38" t="s">
        <v>39</v>
      </c>
      <c r="D58" s="38" t="s">
        <v>212</v>
      </c>
      <c r="E58" s="40" t="s">
        <v>182</v>
      </c>
      <c r="F58" s="78">
        <f>COUNTIF('Règles Métiers'!A:J,'User Story'!A58)</f>
        <v>0</v>
      </c>
      <c r="G58" s="26"/>
      <c r="H58" s="5"/>
      <c r="I58" s="5"/>
      <c r="J58" s="5"/>
      <c r="K58" s="5"/>
      <c r="L58" s="5"/>
      <c r="M58" s="5"/>
      <c r="N58" s="5"/>
      <c r="O58" s="5"/>
      <c r="P58" s="5"/>
      <c r="Q58" s="5"/>
      <c r="R58" s="5"/>
      <c r="S58" s="5"/>
      <c r="T58" s="5"/>
      <c r="U58" s="5"/>
      <c r="V58" s="5"/>
      <c r="W58" s="5"/>
      <c r="X58" s="5"/>
    </row>
    <row r="59" spans="1:24" ht="45" customHeight="1">
      <c r="A59" s="36" t="s">
        <v>213</v>
      </c>
      <c r="B59" s="36"/>
      <c r="C59" s="36" t="s">
        <v>39</v>
      </c>
      <c r="D59" s="36" t="s">
        <v>214</v>
      </c>
      <c r="E59" s="30" t="s">
        <v>182</v>
      </c>
      <c r="F59" s="42">
        <f>COUNTIF('Règles Métiers'!A:J,'User Story'!A59)</f>
        <v>0</v>
      </c>
      <c r="G59" s="31"/>
      <c r="H59" s="5"/>
      <c r="I59" s="5"/>
      <c r="J59" s="5"/>
      <c r="K59" s="5"/>
      <c r="L59" s="5"/>
      <c r="M59" s="5"/>
      <c r="N59" s="5"/>
      <c r="O59" s="5"/>
      <c r="P59" s="5"/>
      <c r="Q59" s="5"/>
      <c r="R59" s="5"/>
      <c r="S59" s="5"/>
      <c r="T59" s="5"/>
      <c r="U59" s="5"/>
      <c r="V59" s="5"/>
      <c r="W59" s="5"/>
      <c r="X59" s="5"/>
    </row>
    <row r="60" spans="1:24" ht="31.15" customHeight="1">
      <c r="A60" s="38" t="s">
        <v>218</v>
      </c>
      <c r="B60" s="38"/>
      <c r="C60" s="38" t="s">
        <v>39</v>
      </c>
      <c r="D60" s="38" t="s">
        <v>219</v>
      </c>
      <c r="E60" s="32" t="s">
        <v>182</v>
      </c>
      <c r="F60" s="78">
        <f>COUNTIF('Règles Métiers'!A:J,'User Story'!A60)</f>
        <v>0</v>
      </c>
      <c r="G60" s="33"/>
      <c r="H60" s="5"/>
      <c r="I60" s="5"/>
      <c r="J60" s="5"/>
      <c r="K60" s="5"/>
      <c r="L60" s="5"/>
      <c r="M60" s="5"/>
      <c r="N60" s="5"/>
      <c r="O60" s="5"/>
      <c r="P60" s="5"/>
      <c r="Q60" s="5"/>
      <c r="R60" s="5"/>
      <c r="S60" s="5"/>
      <c r="T60" s="5"/>
      <c r="U60" s="5"/>
      <c r="V60" s="5"/>
      <c r="W60" s="5"/>
      <c r="X60" s="5"/>
    </row>
    <row r="61" spans="1:24" ht="49.15" customHeight="1">
      <c r="A61" s="36" t="s">
        <v>221</v>
      </c>
      <c r="B61" s="36"/>
      <c r="C61" s="36" t="s">
        <v>39</v>
      </c>
      <c r="D61" s="30" t="s">
        <v>222</v>
      </c>
      <c r="E61" s="30" t="s">
        <v>224</v>
      </c>
      <c r="F61" s="42">
        <f>COUNTIF('Règles Métiers'!A:J,'User Story'!A61)</f>
        <v>0</v>
      </c>
      <c r="G61" s="31"/>
      <c r="H61" s="5"/>
      <c r="I61" s="5"/>
      <c r="J61" s="5"/>
      <c r="K61" s="5"/>
      <c r="L61" s="5"/>
      <c r="M61" s="5"/>
      <c r="N61" s="5"/>
      <c r="O61" s="5"/>
      <c r="P61" s="5"/>
      <c r="Q61" s="5"/>
      <c r="R61" s="5"/>
      <c r="S61" s="5"/>
      <c r="T61" s="5"/>
      <c r="U61" s="5"/>
      <c r="V61" s="5"/>
      <c r="W61" s="5"/>
      <c r="X61" s="5"/>
    </row>
    <row r="62" spans="1:24" ht="44.45" customHeight="1">
      <c r="A62" s="38" t="s">
        <v>225</v>
      </c>
      <c r="B62" s="38"/>
      <c r="C62" s="38" t="s">
        <v>39</v>
      </c>
      <c r="D62" s="38" t="s">
        <v>226</v>
      </c>
      <c r="E62" s="40" t="s">
        <v>182</v>
      </c>
      <c r="F62" s="78">
        <f>COUNTIF('Règles Métiers'!A:J,'User Story'!A62)</f>
        <v>0</v>
      </c>
      <c r="G62" s="26"/>
      <c r="H62" s="5"/>
      <c r="I62" s="5"/>
      <c r="J62" s="5"/>
      <c r="K62" s="5"/>
      <c r="L62" s="5"/>
      <c r="M62" s="5"/>
      <c r="N62" s="5"/>
      <c r="O62" s="5"/>
      <c r="P62" s="5"/>
      <c r="Q62" s="5"/>
      <c r="R62" s="5"/>
      <c r="S62" s="5"/>
      <c r="T62" s="5"/>
      <c r="U62" s="5"/>
      <c r="V62" s="5"/>
      <c r="W62" s="5"/>
      <c r="X62" s="5"/>
    </row>
    <row r="63" spans="1:24" ht="32.450000000000003" customHeight="1">
      <c r="A63" s="36" t="s">
        <v>228</v>
      </c>
      <c r="B63" s="36"/>
      <c r="C63" s="36" t="s">
        <v>39</v>
      </c>
      <c r="D63" s="36" t="s">
        <v>229</v>
      </c>
      <c r="E63" s="30" t="s">
        <v>182</v>
      </c>
      <c r="F63" s="42">
        <f>COUNTIF('Règles Métiers'!A:J,'User Story'!A63)</f>
        <v>0</v>
      </c>
      <c r="G63" s="31"/>
      <c r="H63" s="5"/>
      <c r="I63" s="5"/>
      <c r="J63" s="5"/>
      <c r="K63" s="5"/>
      <c r="L63" s="5"/>
      <c r="M63" s="5"/>
      <c r="N63" s="5"/>
      <c r="O63" s="5"/>
      <c r="P63" s="5"/>
      <c r="Q63" s="5"/>
      <c r="R63" s="5"/>
      <c r="S63" s="5"/>
      <c r="T63" s="5"/>
      <c r="U63" s="5"/>
      <c r="V63" s="5"/>
      <c r="W63" s="5"/>
      <c r="X63" s="5"/>
    </row>
    <row r="64" spans="1:24" ht="31.9" customHeight="1">
      <c r="A64" s="38" t="s">
        <v>230</v>
      </c>
      <c r="B64" s="38"/>
      <c r="C64" s="38" t="s">
        <v>39</v>
      </c>
      <c r="D64" s="38" t="s">
        <v>231</v>
      </c>
      <c r="E64" s="76" t="s">
        <v>182</v>
      </c>
      <c r="F64" s="78">
        <f>COUNTIF('Règles Métiers'!A:J,'User Story'!A64)</f>
        <v>0</v>
      </c>
      <c r="G64" s="33"/>
      <c r="H64" s="5"/>
      <c r="I64" s="5"/>
      <c r="J64" s="5"/>
      <c r="K64" s="5"/>
      <c r="L64" s="5"/>
      <c r="M64" s="5"/>
      <c r="N64" s="5"/>
      <c r="O64" s="5"/>
      <c r="P64" s="5"/>
      <c r="Q64" s="5"/>
      <c r="R64" s="5"/>
      <c r="S64" s="5"/>
      <c r="T64" s="5"/>
      <c r="U64" s="5"/>
      <c r="V64" s="5"/>
      <c r="W64" s="5"/>
      <c r="X64" s="5"/>
    </row>
    <row r="65" spans="1:27" ht="31.9" customHeight="1">
      <c r="A65" s="36" t="s">
        <v>236</v>
      </c>
      <c r="B65" s="36"/>
      <c r="C65" s="36" t="s">
        <v>39</v>
      </c>
      <c r="D65" s="36" t="s">
        <v>237</v>
      </c>
      <c r="E65" s="30" t="s">
        <v>182</v>
      </c>
      <c r="F65" s="42">
        <f>COUNTIF('Règles Métiers'!A:J,'User Story'!A65)</f>
        <v>0</v>
      </c>
      <c r="G65" s="31"/>
      <c r="H65" s="5"/>
      <c r="I65" s="5"/>
      <c r="J65" s="5"/>
      <c r="K65" s="5"/>
      <c r="L65" s="5"/>
      <c r="M65" s="5"/>
      <c r="N65" s="5"/>
      <c r="O65" s="5"/>
      <c r="P65" s="5"/>
      <c r="Q65" s="5"/>
      <c r="R65" s="5"/>
      <c r="S65" s="5"/>
      <c r="T65" s="5"/>
      <c r="U65" s="5"/>
      <c r="V65" s="5"/>
      <c r="W65" s="5"/>
      <c r="X65" s="5"/>
    </row>
    <row r="66" spans="1:27" ht="61.9" customHeight="1">
      <c r="A66" s="38" t="s">
        <v>240</v>
      </c>
      <c r="B66" s="38"/>
      <c r="C66" s="38" t="s">
        <v>39</v>
      </c>
      <c r="D66" s="38" t="s">
        <v>241</v>
      </c>
      <c r="E66" s="40" t="s">
        <v>243</v>
      </c>
      <c r="F66" s="78">
        <f>COUNTIF('Règles Métiers'!A:J,'User Story'!A66)</f>
        <v>0</v>
      </c>
      <c r="G66" s="26"/>
      <c r="H66" s="5"/>
      <c r="I66" s="5"/>
      <c r="J66" s="5"/>
      <c r="K66" s="5"/>
      <c r="L66" s="5"/>
      <c r="M66" s="5"/>
      <c r="N66" s="5"/>
      <c r="O66" s="5"/>
      <c r="P66" s="5"/>
      <c r="Q66" s="5"/>
      <c r="R66" s="5"/>
      <c r="S66" s="5"/>
      <c r="T66" s="5"/>
      <c r="U66" s="5"/>
      <c r="V66" s="5"/>
      <c r="W66" s="5"/>
      <c r="X66" s="5"/>
    </row>
    <row r="67" spans="1:27" ht="55.9" customHeight="1">
      <c r="A67" s="36" t="s">
        <v>246</v>
      </c>
      <c r="B67" s="36"/>
      <c r="C67" s="36" t="s">
        <v>39</v>
      </c>
      <c r="D67" s="36" t="s">
        <v>247</v>
      </c>
      <c r="E67" s="30" t="s">
        <v>248</v>
      </c>
      <c r="F67" s="42">
        <f>COUNTIF('Règles Métiers'!A:J,'User Story'!A67)</f>
        <v>0</v>
      </c>
      <c r="G67" s="31"/>
      <c r="H67" s="5"/>
      <c r="I67" s="5"/>
      <c r="J67" s="5"/>
      <c r="K67" s="5"/>
      <c r="L67" s="5"/>
      <c r="M67" s="5"/>
      <c r="N67" s="5"/>
      <c r="O67" s="5"/>
      <c r="P67" s="5"/>
      <c r="Q67" s="5"/>
      <c r="R67" s="5"/>
      <c r="S67" s="5"/>
      <c r="T67" s="5"/>
      <c r="U67" s="5"/>
      <c r="V67" s="5"/>
      <c r="W67" s="5"/>
      <c r="X67" s="5"/>
    </row>
    <row r="68" spans="1:27" ht="12.7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2.7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2.7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30.75" thickBot="1">
      <c r="A71" s="347" t="s">
        <v>251</v>
      </c>
      <c r="B71" s="54"/>
      <c r="C71" s="54"/>
      <c r="D71" s="54"/>
      <c r="E71" s="54"/>
      <c r="F71" s="54"/>
      <c r="G71" s="54"/>
      <c r="H71" s="54"/>
      <c r="I71" s="54"/>
      <c r="J71" s="54"/>
      <c r="K71" s="5"/>
      <c r="L71" s="5"/>
      <c r="M71" s="5"/>
      <c r="N71" s="5"/>
      <c r="O71" s="5"/>
      <c r="P71" s="5"/>
      <c r="Q71" s="5"/>
      <c r="R71" s="5"/>
      <c r="S71" s="5"/>
      <c r="T71" s="5"/>
      <c r="U71" s="5"/>
      <c r="V71" s="5"/>
      <c r="W71" s="5"/>
      <c r="X71" s="5"/>
      <c r="Y71" s="5"/>
      <c r="Z71" s="5"/>
      <c r="AA71" s="5"/>
    </row>
    <row r="72" spans="1:27" ht="30">
      <c r="A72" s="5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3.15" customHeight="1">
      <c r="A73" s="452" t="s">
        <v>7</v>
      </c>
      <c r="B73" s="453"/>
      <c r="C73" s="445" t="s">
        <v>12</v>
      </c>
      <c r="D73" s="446"/>
      <c r="E73" s="461" t="s">
        <v>13</v>
      </c>
      <c r="F73" s="445" t="s">
        <v>14</v>
      </c>
      <c r="G73" s="451"/>
      <c r="H73" s="446"/>
      <c r="I73" s="432" t="s">
        <v>15</v>
      </c>
      <c r="J73" s="433"/>
      <c r="K73" s="5"/>
      <c r="L73" s="5"/>
      <c r="M73" s="5"/>
      <c r="N73" s="5"/>
      <c r="O73" s="5"/>
      <c r="P73" s="5"/>
      <c r="Q73" s="5"/>
      <c r="R73" s="5"/>
      <c r="S73" s="5"/>
      <c r="T73" s="5"/>
      <c r="U73" s="5"/>
      <c r="V73" s="5"/>
      <c r="W73" s="5"/>
      <c r="X73" s="5"/>
      <c r="Y73" s="5"/>
      <c r="Z73" s="5"/>
      <c r="AA73" s="5"/>
    </row>
    <row r="74" spans="1:27" ht="12.75">
      <c r="A74" s="454"/>
      <c r="B74" s="455"/>
      <c r="C74" s="447"/>
      <c r="D74" s="448"/>
      <c r="E74" s="448"/>
      <c r="F74" s="447"/>
      <c r="G74" s="447"/>
      <c r="H74" s="448"/>
      <c r="I74" s="434"/>
      <c r="J74" s="435"/>
      <c r="K74" s="5"/>
      <c r="L74" s="5"/>
      <c r="M74" s="5"/>
      <c r="N74" s="5"/>
      <c r="O74" s="5"/>
      <c r="P74" s="5"/>
      <c r="Q74" s="5"/>
      <c r="R74" s="5"/>
      <c r="S74" s="5"/>
      <c r="T74" s="5"/>
      <c r="U74" s="5"/>
      <c r="V74" s="5"/>
      <c r="W74" s="5"/>
      <c r="X74" s="5"/>
      <c r="Y74" s="5"/>
      <c r="Z74" s="5"/>
      <c r="AA74" s="5"/>
    </row>
    <row r="75" spans="1:27" ht="13.15" customHeight="1">
      <c r="A75" s="385">
        <f>COUNTIFS(A78:A10385,"US_FB_*",H78:H10385,"A tester")</f>
        <v>0</v>
      </c>
      <c r="B75" s="442"/>
      <c r="C75" s="441">
        <f>COUNTIFS(A78:A10385,"US_FB_*",H78:H10385,"Succès")</f>
        <v>0</v>
      </c>
      <c r="D75" s="442"/>
      <c r="E75" s="386">
        <f>COUNTIFS(A78:A10385,"US_FB_*",H78:H10385,"Echec")</f>
        <v>0</v>
      </c>
      <c r="F75" s="450" t="e">
        <f>(C75+E75)/SUM(A75:E75)</f>
        <v>#DIV/0!</v>
      </c>
      <c r="G75" s="451"/>
      <c r="H75" s="442"/>
      <c r="I75" s="436" t="e">
        <f>C75/SUM(A75:E75)</f>
        <v>#DIV/0!</v>
      </c>
      <c r="J75" s="437"/>
      <c r="K75" s="5"/>
      <c r="L75" s="5"/>
      <c r="M75" s="5"/>
      <c r="N75" s="5"/>
      <c r="O75" s="5"/>
      <c r="P75" s="5"/>
      <c r="Q75" s="5"/>
      <c r="R75" s="5"/>
      <c r="S75" s="5"/>
      <c r="T75" s="5"/>
      <c r="U75" s="5"/>
      <c r="V75" s="5"/>
      <c r="W75" s="5"/>
      <c r="X75" s="5"/>
      <c r="Y75" s="5"/>
      <c r="Z75" s="5"/>
      <c r="AA75" s="5"/>
    </row>
    <row r="76" spans="1:27" ht="12.75">
      <c r="A76" s="449"/>
      <c r="B76" s="444"/>
      <c r="C76" s="443"/>
      <c r="D76" s="444"/>
      <c r="E76" s="444"/>
      <c r="F76" s="443"/>
      <c r="G76" s="443"/>
      <c r="H76" s="444"/>
      <c r="I76" s="438"/>
      <c r="J76" s="421"/>
      <c r="K76" s="5"/>
      <c r="L76" s="5"/>
      <c r="M76" s="5"/>
      <c r="N76" s="5"/>
      <c r="O76" s="5"/>
      <c r="P76" s="5"/>
      <c r="Q76" s="5"/>
      <c r="R76" s="5"/>
      <c r="S76" s="5"/>
      <c r="T76" s="5"/>
      <c r="U76" s="5"/>
      <c r="V76" s="5"/>
      <c r="W76" s="5"/>
      <c r="X76" s="5"/>
      <c r="Y76" s="5"/>
      <c r="Z76" s="5"/>
      <c r="AA76" s="5"/>
    </row>
    <row r="77" spans="1:27" ht="30">
      <c r="A77" s="5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30">
      <c r="A78" s="5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26.25">
      <c r="A79" s="345" t="s">
        <v>271</v>
      </c>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2.75">
      <c r="A80" s="34"/>
      <c r="B80" s="34"/>
      <c r="C80" s="34"/>
      <c r="D80" s="34"/>
      <c r="E80" s="34"/>
      <c r="F80" s="34"/>
      <c r="G80" s="34"/>
      <c r="H80" s="5"/>
      <c r="I80" s="5"/>
      <c r="J80" s="5"/>
      <c r="K80" s="5"/>
      <c r="L80" s="5"/>
      <c r="M80" s="5"/>
      <c r="N80" s="5"/>
      <c r="O80" s="5"/>
      <c r="P80" s="5"/>
      <c r="Q80" s="5"/>
      <c r="R80" s="5"/>
      <c r="S80" s="5"/>
      <c r="T80" s="5"/>
      <c r="U80" s="5"/>
      <c r="V80" s="5"/>
      <c r="W80" s="5"/>
      <c r="X80" s="5"/>
      <c r="Y80" s="5"/>
      <c r="Z80" s="5"/>
      <c r="AA80" s="5"/>
    </row>
    <row r="81" spans="1:27" ht="12.75">
      <c r="A81" s="10" t="s">
        <v>17</v>
      </c>
      <c r="B81" s="10" t="s">
        <v>19</v>
      </c>
      <c r="C81" s="10" t="s">
        <v>20</v>
      </c>
      <c r="D81" s="10" t="s">
        <v>21</v>
      </c>
      <c r="E81" s="10" t="s">
        <v>22</v>
      </c>
      <c r="F81" s="494" t="s">
        <v>1708</v>
      </c>
      <c r="G81" s="10" t="s">
        <v>23</v>
      </c>
      <c r="H81" s="5"/>
      <c r="I81" s="5"/>
      <c r="J81" s="5"/>
      <c r="K81" s="5"/>
      <c r="L81" s="5"/>
      <c r="M81" s="5"/>
      <c r="N81" s="5"/>
      <c r="O81" s="5"/>
      <c r="P81" s="5"/>
      <c r="Q81" s="5"/>
      <c r="R81" s="5"/>
      <c r="S81" s="5"/>
      <c r="T81" s="5"/>
      <c r="U81" s="5"/>
      <c r="V81" s="5"/>
      <c r="W81" s="5"/>
      <c r="X81" s="5"/>
    </row>
    <row r="82" spans="1:27" ht="41.45" customHeight="1">
      <c r="A82" s="101" t="s">
        <v>274</v>
      </c>
      <c r="B82" s="102"/>
      <c r="C82" s="101" t="s">
        <v>30</v>
      </c>
      <c r="D82" s="101" t="s">
        <v>276</v>
      </c>
      <c r="E82" s="101" t="s">
        <v>280</v>
      </c>
      <c r="F82" s="101">
        <f>COUNTIF('Règles Métiers'!A:J,'User Story'!A90)</f>
        <v>1</v>
      </c>
      <c r="G82" s="99" t="s">
        <v>396</v>
      </c>
      <c r="H82" s="5"/>
      <c r="I82" s="5"/>
      <c r="J82" s="5"/>
      <c r="K82" s="5"/>
      <c r="L82" s="5"/>
      <c r="M82" s="5"/>
      <c r="N82" s="5"/>
      <c r="O82" s="5"/>
      <c r="P82" s="5"/>
      <c r="Q82" s="5"/>
      <c r="R82" s="5"/>
      <c r="S82" s="5"/>
      <c r="T82" s="5"/>
      <c r="U82" s="5"/>
      <c r="V82" s="5"/>
      <c r="W82" s="5"/>
      <c r="X82" s="5"/>
    </row>
    <row r="83" spans="1:27" ht="28.15" customHeight="1">
      <c r="A83" s="103" t="s">
        <v>288</v>
      </c>
      <c r="B83" s="104"/>
      <c r="C83" s="103" t="s">
        <v>30</v>
      </c>
      <c r="D83" s="103" t="s">
        <v>291</v>
      </c>
      <c r="E83" s="103" t="s">
        <v>295</v>
      </c>
      <c r="F83" s="103">
        <f>COUNTIF('Règles Métiers'!A:J,'User Story'!A91)</f>
        <v>6</v>
      </c>
      <c r="G83" s="103"/>
      <c r="H83" s="5"/>
      <c r="I83" s="5"/>
      <c r="J83" s="5"/>
      <c r="K83" s="5"/>
      <c r="L83" s="5"/>
      <c r="M83" s="5"/>
      <c r="N83" s="5"/>
      <c r="O83" s="5"/>
      <c r="P83" s="5"/>
      <c r="Q83" s="5"/>
      <c r="R83" s="5"/>
      <c r="S83" s="5"/>
      <c r="T83" s="5"/>
      <c r="U83" s="5"/>
      <c r="V83" s="5"/>
      <c r="W83" s="5"/>
      <c r="X83" s="5"/>
    </row>
    <row r="84" spans="1:27" ht="40.9" customHeight="1">
      <c r="A84" s="101" t="s">
        <v>297</v>
      </c>
      <c r="B84" s="102"/>
      <c r="C84" s="101" t="s">
        <v>30</v>
      </c>
      <c r="D84" s="101" t="s">
        <v>298</v>
      </c>
      <c r="E84" s="101" t="s">
        <v>299</v>
      </c>
      <c r="F84" s="101">
        <f>COUNTIF('Règles Métiers'!A:J,'User Story'!A92)</f>
        <v>0</v>
      </c>
      <c r="G84" s="99" t="s">
        <v>427</v>
      </c>
      <c r="H84" s="5"/>
      <c r="I84" s="5"/>
      <c r="J84" s="5"/>
      <c r="K84" s="5"/>
      <c r="L84" s="5"/>
      <c r="M84" s="5"/>
      <c r="N84" s="5"/>
      <c r="O84" s="5"/>
      <c r="P84" s="5"/>
      <c r="Q84" s="5"/>
      <c r="R84" s="5"/>
      <c r="S84" s="5"/>
      <c r="T84" s="5"/>
      <c r="U84" s="5"/>
      <c r="V84" s="5"/>
      <c r="W84" s="5"/>
      <c r="X84" s="5"/>
    </row>
    <row r="85" spans="1:27" ht="12.7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2.7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26.25">
      <c r="A87" s="346" t="s">
        <v>308</v>
      </c>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2.7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2.75">
      <c r="A89" s="10" t="s">
        <v>17</v>
      </c>
      <c r="B89" s="10" t="s">
        <v>19</v>
      </c>
      <c r="C89" s="10" t="s">
        <v>20</v>
      </c>
      <c r="D89" s="10" t="s">
        <v>21</v>
      </c>
      <c r="E89" s="10" t="s">
        <v>22</v>
      </c>
      <c r="F89" s="494" t="s">
        <v>1708</v>
      </c>
      <c r="G89" s="10" t="s">
        <v>23</v>
      </c>
      <c r="H89" s="5"/>
      <c r="I89" s="5"/>
      <c r="J89" s="5"/>
      <c r="K89" s="5"/>
      <c r="L89" s="5"/>
      <c r="M89" s="5"/>
      <c r="N89" s="5"/>
      <c r="O89" s="5"/>
      <c r="P89" s="5"/>
      <c r="Q89" s="5"/>
      <c r="R89" s="5"/>
      <c r="S89" s="5"/>
      <c r="T89" s="5"/>
      <c r="U89" s="5"/>
      <c r="V89" s="5"/>
      <c r="W89" s="5"/>
      <c r="X89" s="5"/>
    </row>
    <row r="90" spans="1:27" ht="31.15" customHeight="1">
      <c r="A90" s="101" t="s">
        <v>311</v>
      </c>
      <c r="B90" s="102"/>
      <c r="C90" s="101" t="s">
        <v>30</v>
      </c>
      <c r="D90" s="101" t="s">
        <v>312</v>
      </c>
      <c r="E90" s="101" t="s">
        <v>313</v>
      </c>
      <c r="F90" s="101">
        <f>COUNTIF('Règles Métiers'!A:J,'User Story'!A90)</f>
        <v>1</v>
      </c>
      <c r="G90" s="105" t="s">
        <v>366</v>
      </c>
      <c r="H90" s="5"/>
      <c r="I90" s="5"/>
      <c r="J90" s="5"/>
      <c r="K90" s="5"/>
      <c r="L90" s="5"/>
      <c r="M90" s="5"/>
      <c r="N90" s="5"/>
      <c r="O90" s="5"/>
      <c r="P90" s="5"/>
      <c r="Q90" s="5"/>
      <c r="R90" s="5"/>
      <c r="S90" s="5"/>
      <c r="T90" s="5"/>
      <c r="U90" s="5"/>
      <c r="V90" s="5"/>
      <c r="W90" s="5"/>
      <c r="X90" s="5"/>
    </row>
    <row r="91" spans="1:27" ht="44.45" customHeight="1">
      <c r="A91" s="103"/>
      <c r="B91" s="104"/>
      <c r="C91" s="103" t="s">
        <v>30</v>
      </c>
      <c r="D91" s="103" t="s">
        <v>320</v>
      </c>
      <c r="E91" s="103" t="s">
        <v>321</v>
      </c>
      <c r="F91" s="103">
        <f>COUNTIF('Règles Métiers'!A:J,'User Story'!A91)</f>
        <v>6</v>
      </c>
      <c r="G91" s="100" t="s">
        <v>385</v>
      </c>
      <c r="H91" s="5"/>
      <c r="I91" s="5"/>
      <c r="J91" s="5"/>
      <c r="K91" s="5"/>
      <c r="L91" s="5"/>
      <c r="M91" s="5"/>
      <c r="N91" s="5"/>
      <c r="O91" s="5"/>
      <c r="P91" s="5"/>
      <c r="Q91" s="5"/>
      <c r="R91" s="5"/>
      <c r="S91" s="5"/>
      <c r="T91" s="5"/>
      <c r="U91" s="5"/>
      <c r="V91" s="5"/>
      <c r="W91" s="5"/>
      <c r="X91" s="5"/>
    </row>
    <row r="92" spans="1:27" ht="46.15" customHeight="1">
      <c r="A92" s="36" t="s">
        <v>323</v>
      </c>
      <c r="B92" s="35"/>
      <c r="C92" s="36" t="s">
        <v>30</v>
      </c>
      <c r="D92" s="36" t="s">
        <v>324</v>
      </c>
      <c r="E92" s="36" t="s">
        <v>326</v>
      </c>
      <c r="F92" s="36">
        <f>COUNTIF('Règles Métiers'!A:J,'User Story'!A92)</f>
        <v>0</v>
      </c>
      <c r="G92" s="42"/>
      <c r="H92" s="5"/>
      <c r="I92" s="5"/>
      <c r="J92" s="5"/>
      <c r="K92" s="5"/>
      <c r="L92" s="5"/>
      <c r="M92" s="5"/>
      <c r="N92" s="5"/>
      <c r="O92" s="5"/>
      <c r="P92" s="5"/>
      <c r="Q92" s="5"/>
      <c r="R92" s="5"/>
      <c r="S92" s="5"/>
      <c r="T92" s="5"/>
      <c r="U92" s="5"/>
      <c r="V92" s="5"/>
      <c r="W92" s="5"/>
      <c r="X92" s="5"/>
    </row>
    <row r="93" spans="1:27" ht="45" customHeight="1">
      <c r="A93" s="38" t="s">
        <v>331</v>
      </c>
      <c r="B93" s="37"/>
      <c r="C93" s="38" t="s">
        <v>30</v>
      </c>
      <c r="D93" s="38" t="s">
        <v>332</v>
      </c>
      <c r="E93" s="38" t="s">
        <v>333</v>
      </c>
      <c r="F93" s="38">
        <f>COUNTIF('Règles Métiers'!A:J,'User Story'!A93)</f>
        <v>0</v>
      </c>
      <c r="G93" s="40"/>
      <c r="H93" s="5"/>
      <c r="I93" s="5"/>
      <c r="J93" s="5"/>
      <c r="K93" s="5"/>
      <c r="L93" s="5"/>
      <c r="M93" s="5"/>
      <c r="N93" s="5"/>
      <c r="O93" s="5"/>
      <c r="P93" s="5"/>
      <c r="Q93" s="5"/>
      <c r="R93" s="5"/>
      <c r="S93" s="5"/>
      <c r="T93" s="5"/>
      <c r="U93" s="5"/>
      <c r="V93" s="5"/>
      <c r="W93" s="5"/>
      <c r="X93" s="5"/>
    </row>
    <row r="94" spans="1:27" ht="12.7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2.7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2.7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2.7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2.7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2.7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2.7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2.7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2.7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2.7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2.7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2.7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2.7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2.7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2.7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2.7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2.7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2.7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2.7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2.7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2.7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2.7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2.7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2.7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2.7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2.7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2.7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2.7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2.7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2.7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2.7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2.7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2.7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2.7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2.7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2.7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2.7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2.7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2.7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2.7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2.7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2.7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2.7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2.7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2.7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2.7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2.7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2.7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2.7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2.7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2.7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2.7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2.7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2.7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2.7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2.7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2.7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2.7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2.7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2.7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2.7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2.7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2.7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2.7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2.7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2.7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2.7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2.7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2.7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2.7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2.7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2.7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2.7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2.7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2.7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2.7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2.7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2.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2.7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2.7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2.7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2.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2.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2.7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2.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2.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2.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2.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2.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2.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2.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2.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2.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2.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2.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2.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2.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2.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2.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2.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2.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2.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2.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2.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2.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2.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2.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2.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2.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2.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2.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2.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2.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2.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2.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2.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2.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2.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2.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2.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2.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2.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2.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2.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2.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2.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2.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2.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2.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2.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2.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2.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2.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2.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2.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2.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2.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2.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2.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2.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2.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2.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2.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2.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2.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2.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2.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2.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2.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2.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2.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2.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2.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2.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2.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2.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2.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2.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2.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2.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2.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2.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2.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2.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2.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2.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2.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2.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2.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2.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2.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2.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2.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2.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2.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2.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2.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2.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2.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2.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2.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2.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2.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2.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2.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2.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2.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2.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2.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2.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2.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2.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2.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2.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2.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2.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2.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2.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2.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2.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2.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2.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2.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2.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2.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2.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2.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2.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2.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2.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2.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2.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2.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2.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2.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2.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2.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2.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2.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2.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2.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2.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2.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2.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2.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2.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2.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2.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2.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2.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2.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2.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2.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2.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2.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2.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2.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2.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2.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2.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2.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2.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2.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2.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2.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2.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2.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2.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2.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2.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2.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2.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2.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2.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2.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2.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2.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2.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2.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2.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2.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2.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2.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2.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2.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2.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2.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2.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2.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2.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2.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2.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2.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2.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2.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2.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2.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2.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2.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2.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2.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2.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2.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2.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2.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2.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2.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2.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2.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2.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2.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2.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2.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2.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2.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2.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2.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2.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2.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2.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2.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2.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2.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2.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2.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2.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2.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2.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2.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2.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2.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2.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2.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2.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2.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2.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2.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2.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2.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2.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2.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2.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2.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2.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2.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2.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2.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2.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2.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2.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2.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2.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2.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2.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2.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2.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2.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2.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2.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2.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2.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2.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2.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2.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2.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2.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2.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2.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2.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2.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2.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2.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2.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2.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2.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2.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2.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2.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2.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2.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2.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2.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2.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2.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2.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2.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2.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2.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2.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2.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2.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2.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2.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2.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2.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2.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2.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2.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2.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2.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2.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2.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2.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2.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2.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2.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2.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2.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2.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2.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2.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2.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2.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2.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2.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2.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2.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2.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2.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2.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2.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2.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2.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2.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2.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2.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2.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2.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2.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2.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2.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2.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2.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2.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2.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2.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2.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2.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2.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2.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2.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2.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2.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2.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2.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2.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2.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2.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2.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2.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2.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2.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2.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2.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2.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2.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2.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2.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2.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2.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2.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2.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2.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2.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2.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2.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2.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2.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2.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2.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2.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2.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2.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2.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2.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2.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2.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2.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2.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2.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2.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2.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2.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2.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2.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2.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2.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2.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2.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2.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2.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2.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2.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2.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2.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2.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2.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2.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2.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2.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2.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2.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2.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2.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2.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2.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2.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2.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2.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2.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2.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2.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2.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2.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2.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2.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2.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2.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2.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2.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2.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2.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2.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2.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2.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2.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2.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2.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2.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2.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2.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2.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2.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2.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2.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2.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2.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2.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2.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2.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2.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2.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2.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2.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2.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2.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2.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2.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2.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2.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2.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2.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2.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2.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2.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2.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2.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2.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2.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2.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2.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2.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2.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2.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2.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2.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2.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2.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2.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2.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2.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2.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2.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2.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2.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2.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2.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2.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2.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2.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2.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2.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2.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2.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2.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2.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2.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2.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2.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2.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2.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2.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2.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2.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2.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2.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2.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2.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2.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2.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2.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2.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2.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2.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2.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2.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2.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2.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2.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2.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2.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2.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2.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2.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2.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2.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2.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2.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2.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2.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2.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2.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2.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2.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2.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2.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2.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2.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2.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2.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2.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2.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2.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2.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2.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2.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2.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2.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2.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2.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2.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2.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2.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2.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2.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2.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2.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2.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2.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2.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2.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2.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2.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2.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2.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2.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2.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2.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2.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2.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2.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2.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2.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2.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2.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2.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2.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2.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2.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2.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2.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2.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2.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2.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2.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2.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2.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2.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2.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2.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2.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2.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2.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2.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2.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2.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2.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2.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2.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2.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2.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2.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2.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2.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2.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2.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2.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2.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2.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2.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2.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2.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2.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2.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2.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2.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2.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2.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2.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2.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2.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2.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2.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2.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2.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2.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2.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2.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2.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2.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2.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2.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2.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2.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2.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2.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2.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2.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2.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2.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2.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2.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2.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2.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2.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2.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2.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2.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2.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2.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2.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2.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2.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2.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2.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2.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2.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2.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2.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2.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2.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2.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2.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2.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2.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2.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2.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2.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2.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2.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2.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2.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2.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2.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2.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2.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2.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2.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2.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2.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2.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2.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2.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2.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2.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2.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2.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2.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2.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2.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2.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2.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2.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2.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2.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2.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2.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2.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2.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2.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2.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2.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2.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2.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2.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2.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2.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2.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2.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2.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2.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2.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2.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2.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2.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2.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2.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2.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2.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2.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2.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2.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2.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2.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2.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2.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2.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2.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2.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2.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2.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2.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2.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2.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2.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2.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2.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2.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2.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2.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2.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2.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2.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2.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2.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2.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2.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2.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2.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2.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2.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2.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2.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2.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2.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2.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2.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2.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2.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2.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2.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2.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2.7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2.7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2.7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2.7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2.7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2.7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2.7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2.7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2.7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2.7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2.7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2.7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2.7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2.7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2.7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2.7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2.7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2.7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2.7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2.7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2.7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2.7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2.7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2.7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2.7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2.7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2.7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2.7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2.7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2.7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2.7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2.7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2.7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2.7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2.7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2.7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2.7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2.7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2.7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2.7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2.7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2.7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2.7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2.7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2.7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2.7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2.7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2.7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2.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2.7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2.7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2.7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2.7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2.7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2.7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2.7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2.7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2.7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2.7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2.7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2.7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2.7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2.7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2.7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2.7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2.7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2.7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2.7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2.7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2.7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2.7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2.7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2.7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2.7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2.7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2.7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spans="1:27" ht="12.7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spans="1:27" ht="12.7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spans="1:27" ht="12.7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spans="1:27" ht="12.7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row r="1007" spans="1:27" ht="12.7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row>
    <row r="1008" spans="1:27" ht="12.75">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row>
    <row r="1009" spans="1:27" ht="12.75">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row>
    <row r="1010" spans="1:27" ht="12.75">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row>
  </sheetData>
  <mergeCells count="20">
    <mergeCell ref="A75:B76"/>
    <mergeCell ref="F75:H76"/>
    <mergeCell ref="A73:B74"/>
    <mergeCell ref="A8:B9"/>
    <mergeCell ref="A10:B11"/>
    <mergeCell ref="F8:H9"/>
    <mergeCell ref="E73:E74"/>
    <mergeCell ref="F73:H74"/>
    <mergeCell ref="C10:D11"/>
    <mergeCell ref="E10:E11"/>
    <mergeCell ref="C8:D9"/>
    <mergeCell ref="E8:E9"/>
    <mergeCell ref="F10:H11"/>
    <mergeCell ref="I73:J74"/>
    <mergeCell ref="I10:J11"/>
    <mergeCell ref="I8:J9"/>
    <mergeCell ref="I75:J76"/>
    <mergeCell ref="C75:D76"/>
    <mergeCell ref="E75:E76"/>
    <mergeCell ref="C73:D74"/>
  </mergeCells>
  <conditionalFormatting sqref="F1:F1048576">
    <cfRule type="beginsWith" dxfId="0" priority="1" operator="beginsWith" text="0">
      <formula>LEFT(F1,LEN("0"))="0"</formula>
    </cfRule>
  </conditionalFormatting>
  <hyperlinks>
    <hyperlink ref="G22" location="'Règles Métiers'!A123" display="RM_PF_CA_10" xr:uid="{F4932C51-070B-4DAA-9136-269381120E42}"/>
    <hyperlink ref="G82" location="'Règles Métiers'!A47" display="RM_GR_AR_10" xr:uid="{4F09BDB6-B684-45B5-B1F4-678564415902}"/>
    <hyperlink ref="G84" location="'Règles Métiers'!A61" display="RM_GR_SR_10" xr:uid="{79B072A1-7B16-4DB3-8331-F290FE036332}"/>
    <hyperlink ref="G90" location="'Règles Métiers'!A12" display="RM_GU_AU_10" xr:uid="{6B2848B4-2E7F-44D5-A1E8-6B4F3742E9FC}"/>
    <hyperlink ref="G91" location="'Règles Métiers'!A23" display="RM_GU_MU_10" xr:uid="{27E419EF-D8A4-4A96-A82F-978FA8541A29}"/>
  </hyperlinks>
  <pageMargins left="0.7" right="0.7" top="0.75" bottom="0.75" header="0.3" footer="0.3"/>
  <pageSetup paperSize="9" orientation="portrait" verticalDpi="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00"/>
  </sheetPr>
  <dimension ref="B1:E13"/>
  <sheetViews>
    <sheetView showGridLines="0" workbookViewId="0">
      <selection activeCell="E13" sqref="E13"/>
    </sheetView>
  </sheetViews>
  <sheetFormatPr baseColWidth="10" defaultColWidth="14.42578125" defaultRowHeight="15.75" customHeight="1"/>
  <sheetData>
    <row r="1" spans="2:5" ht="15.75" customHeight="1">
      <c r="B1" s="10" t="s">
        <v>25</v>
      </c>
    </row>
    <row r="2" spans="2:5" ht="15.75" customHeight="1">
      <c r="B2" s="46" t="s">
        <v>7</v>
      </c>
    </row>
    <row r="3" spans="2:5" ht="15.75" customHeight="1">
      <c r="B3" s="47" t="s">
        <v>12</v>
      </c>
    </row>
    <row r="4" spans="2:5" ht="15.75" customHeight="1">
      <c r="B4" s="48" t="s">
        <v>13</v>
      </c>
    </row>
    <row r="13" spans="2:5" ht="15.75" customHeight="1">
      <c r="E13" s="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56B2D-3A6A-4FB7-A7AB-F9A87CFB05C4}">
  <dimension ref="A1:A4"/>
  <sheetViews>
    <sheetView workbookViewId="0">
      <selection activeCell="A4" sqref="A4"/>
    </sheetView>
  </sheetViews>
  <sheetFormatPr baseColWidth="10" defaultRowHeight="12.75"/>
  <sheetData>
    <row r="1" spans="1:1">
      <c r="A1" s="476" t="s">
        <v>1697</v>
      </c>
    </row>
    <row r="2" spans="1:1">
      <c r="A2" s="475" t="s">
        <v>1698</v>
      </c>
    </row>
    <row r="3" spans="1:1">
      <c r="A3" s="475" t="s">
        <v>1699</v>
      </c>
    </row>
    <row r="4" spans="1:1">
      <c r="A4" s="475" t="s">
        <v>1700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461</vt:i4>
      </vt:variant>
    </vt:vector>
  </HeadingPairs>
  <TitlesOfParts>
    <vt:vector size="467" baseType="lpstr">
      <vt:lpstr>Tableau de bord</vt:lpstr>
      <vt:lpstr>Plan de tests</vt:lpstr>
      <vt:lpstr>Règles Métiers</vt:lpstr>
      <vt:lpstr>User Story</vt:lpstr>
      <vt:lpstr>Paramétrages</vt:lpstr>
      <vt:lpstr>Feuil1</vt:lpstr>
      <vt:lpstr>A409UC_EC_NGP_50</vt:lpstr>
      <vt:lpstr>RM_AA_AC_10</vt:lpstr>
      <vt:lpstr>RM_AA_CD_10</vt:lpstr>
      <vt:lpstr>RM_AA_CD_20</vt:lpstr>
      <vt:lpstr>RM_AA_CD_30</vt:lpstr>
      <vt:lpstr>RM_AA_CD_40</vt:lpstr>
      <vt:lpstr>RM_AA_CM_10</vt:lpstr>
      <vt:lpstr>RM_AA_CM_30</vt:lpstr>
      <vt:lpstr>RM_AA_CM_40</vt:lpstr>
      <vt:lpstr>RM_AA_EF_10</vt:lpstr>
      <vt:lpstr>RM_AA_EF_20</vt:lpstr>
      <vt:lpstr>RM_AA_EF_30</vt:lpstr>
      <vt:lpstr>RM_AA_EF_40</vt:lpstr>
      <vt:lpstr>RM_AA_EF_50</vt:lpstr>
      <vt:lpstr>RM_AA_EF_60</vt:lpstr>
      <vt:lpstr>RM_AA_EF_65</vt:lpstr>
      <vt:lpstr>RM_AA_EF_70</vt:lpstr>
      <vt:lpstr>RM_AA_EF_80</vt:lpstr>
      <vt:lpstr>RM_AA_MF_10</vt:lpstr>
      <vt:lpstr>RM_AA_MF_20</vt:lpstr>
      <vt:lpstr>RM_AA_MF_30</vt:lpstr>
      <vt:lpstr>RM_AA_MF_40</vt:lpstr>
      <vt:lpstr>RM_AA_MF_50</vt:lpstr>
      <vt:lpstr>RM_AA_MF_60</vt:lpstr>
      <vt:lpstr>RM_AA_MR_10</vt:lpstr>
      <vt:lpstr>RM_AA_MR_20</vt:lpstr>
      <vt:lpstr>RM_AA_MR_30</vt:lpstr>
      <vt:lpstr>RM_AA_MR_40</vt:lpstr>
      <vt:lpstr>RM_AA_MR_50</vt:lpstr>
      <vt:lpstr>RM_AA_MR_60</vt:lpstr>
      <vt:lpstr>RM_AA_MR_70</vt:lpstr>
      <vt:lpstr>RM_AA_RF_10</vt:lpstr>
      <vt:lpstr>RM_AA_RF_20</vt:lpstr>
      <vt:lpstr>RM_AA_RF_30</vt:lpstr>
      <vt:lpstr>RM_AA_RF_40</vt:lpstr>
      <vt:lpstr>RM_AA_RF_50</vt:lpstr>
      <vt:lpstr>RM_AA_RR_10</vt:lpstr>
      <vt:lpstr>RM_AA_RR_20</vt:lpstr>
      <vt:lpstr>RM_AA_RR_30</vt:lpstr>
      <vt:lpstr>RM_AA_RR_40</vt:lpstr>
      <vt:lpstr>RM_AA_RR_50</vt:lpstr>
      <vt:lpstr>RM_AA_RR_60</vt:lpstr>
      <vt:lpstr>RM_AA_RR_70</vt:lpstr>
      <vt:lpstr>RM_AA_RR_80</vt:lpstr>
      <vt:lpstr>RM_AD_CB_10</vt:lpstr>
      <vt:lpstr>RM_AD_CB_20</vt:lpstr>
      <vt:lpstr>RM_AD_CB_30</vt:lpstr>
      <vt:lpstr>RM_AD_CB_40</vt:lpstr>
      <vt:lpstr>RM_AD_CB_50</vt:lpstr>
      <vt:lpstr>RM_AD_CB_60</vt:lpstr>
      <vt:lpstr>RM_AD_CB_70</vt:lpstr>
      <vt:lpstr>RM_AD_CB_80</vt:lpstr>
      <vt:lpstr>RM_AD_CB_90</vt:lpstr>
      <vt:lpstr>RM_AD_TR_10</vt:lpstr>
      <vt:lpstr>RM_AD_TR_20</vt:lpstr>
      <vt:lpstr>RM_AD_TR_30</vt:lpstr>
      <vt:lpstr>RM_AD_TR_40</vt:lpstr>
      <vt:lpstr>RM_AD_TR_50</vt:lpstr>
      <vt:lpstr>RM_AD_TR_60</vt:lpstr>
      <vt:lpstr>RM_AD_TR_70</vt:lpstr>
      <vt:lpstr>RM_AD_TR_80</vt:lpstr>
      <vt:lpstr>RM_AD_TR_980</vt:lpstr>
      <vt:lpstr>RM_AU_CO_10</vt:lpstr>
      <vt:lpstr>RM_AU_CO_20</vt:lpstr>
      <vt:lpstr>RM_AU_MO_10</vt:lpstr>
      <vt:lpstr>RM_AU_MO_15</vt:lpstr>
      <vt:lpstr>RM_AU_MO_20</vt:lpstr>
      <vt:lpstr>RM_AU_PC_10</vt:lpstr>
      <vt:lpstr>RM_AU_PC_20</vt:lpstr>
      <vt:lpstr>RM_AU_RC_10</vt:lpstr>
      <vt:lpstr>RM_AU_RC_20</vt:lpstr>
      <vt:lpstr>RM_CO_CO_10</vt:lpstr>
      <vt:lpstr>RM_CO_CO_20</vt:lpstr>
      <vt:lpstr>RM_EC_LF_10</vt:lpstr>
      <vt:lpstr>RM_EC_LF_20</vt:lpstr>
      <vt:lpstr>RM_EC_NGP_10</vt:lpstr>
      <vt:lpstr>RM_EC_NGP_20</vt:lpstr>
      <vt:lpstr>RM_EC_OE_10</vt:lpstr>
      <vt:lpstr>RM_EC_OE_20</vt:lpstr>
      <vt:lpstr>RM_EC_OS_10</vt:lpstr>
      <vt:lpstr>RM_EC_OS_20</vt:lpstr>
      <vt:lpstr>RM_GM_RG_10</vt:lpstr>
      <vt:lpstr>RM_GM_RG_20</vt:lpstr>
      <vt:lpstr>RM_GR_AR_10</vt:lpstr>
      <vt:lpstr>RM_GR_AR_20</vt:lpstr>
      <vt:lpstr>RM_GR_MR_10</vt:lpstr>
      <vt:lpstr>RM_GR_MR_20</vt:lpstr>
      <vt:lpstr>RM_GR_SR_10</vt:lpstr>
      <vt:lpstr>RM_GU_AU_10</vt:lpstr>
      <vt:lpstr>RM_GU_AU_130</vt:lpstr>
      <vt:lpstr>RM_GU_AU_140</vt:lpstr>
      <vt:lpstr>RM_GU_AU_20</vt:lpstr>
      <vt:lpstr>RM_GU_AU_30</vt:lpstr>
      <vt:lpstr>RM_GU_AU_40</vt:lpstr>
      <vt:lpstr>RM_GU_AU_50</vt:lpstr>
      <vt:lpstr>RM_GU_MU_05</vt:lpstr>
      <vt:lpstr>RM_GU_MU_10</vt:lpstr>
      <vt:lpstr>RM_GU_MU_20</vt:lpstr>
      <vt:lpstr>RM_GU_MU_30</vt:lpstr>
      <vt:lpstr>RM_GU_PR_10</vt:lpstr>
      <vt:lpstr>RM_GU_PR_100</vt:lpstr>
      <vt:lpstr>RM_GU_PR_110</vt:lpstr>
      <vt:lpstr>RM_GU_PR_120</vt:lpstr>
      <vt:lpstr>RM_GU_PR_20</vt:lpstr>
      <vt:lpstr>RM_GU_PR_30</vt:lpstr>
      <vt:lpstr>RM_GU_PR_40</vt:lpstr>
      <vt:lpstr>RM_GU_PR_50</vt:lpstr>
      <vt:lpstr>RM_GU_PR_60</vt:lpstr>
      <vt:lpstr>RM_GU_PR_70</vt:lpstr>
      <vt:lpstr>RM_GU_PR_80</vt:lpstr>
      <vt:lpstr>RM_GU_PR_90</vt:lpstr>
      <vt:lpstr>RM_GU_SU_10</vt:lpstr>
      <vt:lpstr>RM_IT_PT_10</vt:lpstr>
      <vt:lpstr>RM_IT_PT_100</vt:lpstr>
      <vt:lpstr>RM_IT_PT_110</vt:lpstr>
      <vt:lpstr>RM_IT_PT_120</vt:lpstr>
      <vt:lpstr>RM_IT_PT_130</vt:lpstr>
      <vt:lpstr>RM_IT_PT_140</vt:lpstr>
      <vt:lpstr>RM_IT_PT_150</vt:lpstr>
      <vt:lpstr>RM_IT_PT_160</vt:lpstr>
      <vt:lpstr>RM_IT_PT_170</vt:lpstr>
      <vt:lpstr>RM_IT_PT_180</vt:lpstr>
      <vt:lpstr>RM_IT_PT_190</vt:lpstr>
      <vt:lpstr>RM_IT_PT_20</vt:lpstr>
      <vt:lpstr>RM_IT_PT_200</vt:lpstr>
      <vt:lpstr>RM_IT_PT_30</vt:lpstr>
      <vt:lpstr>RM_IT_PT_40</vt:lpstr>
      <vt:lpstr>RM_IT_PT_50</vt:lpstr>
      <vt:lpstr>RM_IT_PT_60</vt:lpstr>
      <vt:lpstr>RM_IT_PT_70</vt:lpstr>
      <vt:lpstr>RM_IT_PT_80</vt:lpstr>
      <vt:lpstr>RM_IT_PT_90</vt:lpstr>
      <vt:lpstr>RM_IT_TS_10</vt:lpstr>
      <vt:lpstr>RM_IT_TS_100</vt:lpstr>
      <vt:lpstr>RM_IT_TS_20</vt:lpstr>
      <vt:lpstr>RM_IT_TS_30</vt:lpstr>
      <vt:lpstr>RM_IT_TS_40</vt:lpstr>
      <vt:lpstr>RM_IT_TS_50</vt:lpstr>
      <vt:lpstr>RM_IT_TS_51</vt:lpstr>
      <vt:lpstr>RM_IT_TS_55</vt:lpstr>
      <vt:lpstr>RM_IT_TS_60</vt:lpstr>
      <vt:lpstr>RM_IT_TS_70</vt:lpstr>
      <vt:lpstr>RM_IT_TS_75</vt:lpstr>
      <vt:lpstr>RM_IT_TS_80</vt:lpstr>
      <vt:lpstr>RM_IT_TS_85</vt:lpstr>
      <vt:lpstr>RM_IT_TS_86</vt:lpstr>
      <vt:lpstr>RM_IT_TS_90</vt:lpstr>
      <vt:lpstr>RM_IT_TS_95</vt:lpstr>
      <vt:lpstr>RM_IT_TS_96</vt:lpstr>
      <vt:lpstr>RM_OA_OA_10</vt:lpstr>
      <vt:lpstr>RM_OA_OA_100</vt:lpstr>
      <vt:lpstr>RM_OA_OA_110</vt:lpstr>
      <vt:lpstr>RM_OA_OA_120</vt:lpstr>
      <vt:lpstr>RM_OA_OA_130</vt:lpstr>
      <vt:lpstr>RM_OA_OA_20</vt:lpstr>
      <vt:lpstr>RM_OA_OA_30</vt:lpstr>
      <vt:lpstr>RM_OA_OA_40</vt:lpstr>
      <vt:lpstr>RM_OA_OA_50</vt:lpstr>
      <vt:lpstr>RM_OA_OA_60</vt:lpstr>
      <vt:lpstr>RM_OA_OA_70</vt:lpstr>
      <vt:lpstr>RM_OA_OA_80</vt:lpstr>
      <vt:lpstr>RM_OA_OA_90</vt:lpstr>
      <vt:lpstr>RM_OA_OA_95</vt:lpstr>
      <vt:lpstr>RM_OA_OA_96</vt:lpstr>
      <vt:lpstr>RM_PF_CA_10</vt:lpstr>
      <vt:lpstr>RM_PF_CA_11</vt:lpstr>
      <vt:lpstr>RM_PF_CA_15</vt:lpstr>
      <vt:lpstr>RM_PF_CA_20</vt:lpstr>
      <vt:lpstr>RM_RE_AR_10</vt:lpstr>
      <vt:lpstr>RM_RE_AR_20</vt:lpstr>
      <vt:lpstr>RM_RE_MR_10</vt:lpstr>
      <vt:lpstr>RM_RE_MR_20</vt:lpstr>
      <vt:lpstr>RM_RE_SR_10</vt:lpstr>
      <vt:lpstr>UC_AA_AC_10</vt:lpstr>
      <vt:lpstr>UC_AA_AC_20</vt:lpstr>
      <vt:lpstr>UC_AA_AC_30</vt:lpstr>
      <vt:lpstr>UC_AA_AC_40</vt:lpstr>
      <vt:lpstr>UC_AA_AC_50</vt:lpstr>
      <vt:lpstr>UC_AA_AC_60</vt:lpstr>
      <vt:lpstr>UC_AA_AC_70</vt:lpstr>
      <vt:lpstr>UC_AA_CD_10</vt:lpstr>
      <vt:lpstr>UC_AA_CD_20</vt:lpstr>
      <vt:lpstr>UC_AA_CD_30</vt:lpstr>
      <vt:lpstr>UC_AA_CD_40</vt:lpstr>
      <vt:lpstr>UC_AA_CD_50</vt:lpstr>
      <vt:lpstr>UC_AA_CD_60</vt:lpstr>
      <vt:lpstr>UC_AA_CD_70</vt:lpstr>
      <vt:lpstr>UC_AA_CD_80</vt:lpstr>
      <vt:lpstr>UC_AA_CM_10</vt:lpstr>
      <vt:lpstr>UC_AA_CM_20</vt:lpstr>
      <vt:lpstr>UC_AA_CM_40</vt:lpstr>
      <vt:lpstr>UC_AA_CM_70</vt:lpstr>
      <vt:lpstr>UC_AA_CM_80</vt:lpstr>
      <vt:lpstr>UC_AA_EF_10</vt:lpstr>
      <vt:lpstr>UC_AA_EF_100</vt:lpstr>
      <vt:lpstr>UC_AA_EF_110</vt:lpstr>
      <vt:lpstr>UC_AA_EF_20</vt:lpstr>
      <vt:lpstr>UC_AA_EF_30</vt:lpstr>
      <vt:lpstr>UC_AA_EF_40</vt:lpstr>
      <vt:lpstr>UC_AA_EF_50</vt:lpstr>
      <vt:lpstr>UC_AA_EF_60</vt:lpstr>
      <vt:lpstr>UC_AA_EF_70</vt:lpstr>
      <vt:lpstr>UC_AA_EF_75</vt:lpstr>
      <vt:lpstr>UC_AA_EF_80</vt:lpstr>
      <vt:lpstr>UC_AA_EF_90</vt:lpstr>
      <vt:lpstr>UC_AA_MF_10</vt:lpstr>
      <vt:lpstr>UC_AA_MF_20</vt:lpstr>
      <vt:lpstr>UC_AA_MF_30</vt:lpstr>
      <vt:lpstr>UC_AA_MF_40</vt:lpstr>
      <vt:lpstr>UC_AA_MF_50</vt:lpstr>
      <vt:lpstr>UC_AA_MF_60</vt:lpstr>
      <vt:lpstr>UC_AA_MF_70</vt:lpstr>
      <vt:lpstr>UC_AA_MF_80</vt:lpstr>
      <vt:lpstr>UC_AA_MR_10</vt:lpstr>
      <vt:lpstr>UC_AA_MR_20</vt:lpstr>
      <vt:lpstr>UC_AA_MR_30</vt:lpstr>
      <vt:lpstr>UC_AA_MR_40</vt:lpstr>
      <vt:lpstr>UC_AA_MR_50</vt:lpstr>
      <vt:lpstr>UC_AA_MR_60</vt:lpstr>
      <vt:lpstr>UC_AA_MR_70</vt:lpstr>
      <vt:lpstr>UC_AA_MR_80</vt:lpstr>
      <vt:lpstr>UC_AA_RF_10</vt:lpstr>
      <vt:lpstr>UC_AA_RF_20</vt:lpstr>
      <vt:lpstr>UC_AA_RF_30</vt:lpstr>
      <vt:lpstr>UC_AA_RF_40</vt:lpstr>
      <vt:lpstr>UC_AA_RF_50</vt:lpstr>
      <vt:lpstr>UC_AA_RF_60</vt:lpstr>
      <vt:lpstr>UC_AA_RF_70</vt:lpstr>
      <vt:lpstr>UC_AA_RR_10</vt:lpstr>
      <vt:lpstr>UC_AA_RR_100</vt:lpstr>
      <vt:lpstr>UC_AA_RR_110</vt:lpstr>
      <vt:lpstr>UC_AA_RR_20</vt:lpstr>
      <vt:lpstr>UC_AA_RR_30</vt:lpstr>
      <vt:lpstr>UC_AA_RR_40</vt:lpstr>
      <vt:lpstr>UC_AA_RR_50</vt:lpstr>
      <vt:lpstr>UC_AA_RR_60</vt:lpstr>
      <vt:lpstr>UC_AA_RR_70</vt:lpstr>
      <vt:lpstr>UC_AA_RR_80</vt:lpstr>
      <vt:lpstr>UC_AA_RR_90</vt:lpstr>
      <vt:lpstr>UC_AD_CB_10</vt:lpstr>
      <vt:lpstr>UC_AD_CB_100</vt:lpstr>
      <vt:lpstr>UC_AD_CB_110</vt:lpstr>
      <vt:lpstr>UC_AD_CB_120</vt:lpstr>
      <vt:lpstr>UC_AD_CB_130</vt:lpstr>
      <vt:lpstr>UC_AD_CB_20</vt:lpstr>
      <vt:lpstr>UC_AD_CB_30</vt:lpstr>
      <vt:lpstr>UC_AD_CB_40</vt:lpstr>
      <vt:lpstr>UC_AD_CB_50</vt:lpstr>
      <vt:lpstr>UC_AD_CB_60</vt:lpstr>
      <vt:lpstr>UC_AD_CB_70</vt:lpstr>
      <vt:lpstr>UC_AD_CB_80</vt:lpstr>
      <vt:lpstr>UC_AD_CB_90</vt:lpstr>
      <vt:lpstr>UC_AD_TR_10</vt:lpstr>
      <vt:lpstr>UC_AD_TR_100</vt:lpstr>
      <vt:lpstr>UC_AD_TR_110</vt:lpstr>
      <vt:lpstr>UC_AD_TR_120</vt:lpstr>
      <vt:lpstr>UC_AD_TR_130</vt:lpstr>
      <vt:lpstr>UC_AD_TR_140</vt:lpstr>
      <vt:lpstr>UC_AD_TR_150</vt:lpstr>
      <vt:lpstr>UC_AD_TR_20</vt:lpstr>
      <vt:lpstr>UC_AD_TR_30</vt:lpstr>
      <vt:lpstr>UC_AD_TR_40</vt:lpstr>
      <vt:lpstr>UC_AD_TR_5</vt:lpstr>
      <vt:lpstr>UC_AD_TR_50</vt:lpstr>
      <vt:lpstr>UC_AD_TR_60</vt:lpstr>
      <vt:lpstr>UC_AD_TR_70</vt:lpstr>
      <vt:lpstr>UC_AD_TR_80</vt:lpstr>
      <vt:lpstr>UC_AD_TR_90</vt:lpstr>
      <vt:lpstr>UC_AF_BC_10</vt:lpstr>
      <vt:lpstr>UC_AF_BC_20</vt:lpstr>
      <vt:lpstr>UC_AF_BC_30</vt:lpstr>
      <vt:lpstr>UC_AF_BC_40</vt:lpstr>
      <vt:lpstr>UC_AF_BC_50</vt:lpstr>
      <vt:lpstr>UC_AU_CO_10</vt:lpstr>
      <vt:lpstr>UC_AU_CO_20</vt:lpstr>
      <vt:lpstr>UC_AU_MO_10</vt:lpstr>
      <vt:lpstr>UC_AU_MO_15</vt:lpstr>
      <vt:lpstr>UC_AU_MO_20</vt:lpstr>
      <vt:lpstr>UC_AU_MO_30</vt:lpstr>
      <vt:lpstr>UC_AU_PC_10</vt:lpstr>
      <vt:lpstr>UC_AU_PC_20</vt:lpstr>
      <vt:lpstr>UC_AU_RC_10</vt:lpstr>
      <vt:lpstr>UC_AU_RC_20</vt:lpstr>
      <vt:lpstr>UC_AU_RC_30</vt:lpstr>
      <vt:lpstr>UC_CO_CO_10</vt:lpstr>
      <vt:lpstr>UC_CO_CO_20</vt:lpstr>
      <vt:lpstr>UC_CO_CO_30</vt:lpstr>
      <vt:lpstr>UC_CO_CO_40</vt:lpstr>
      <vt:lpstr>UC_CO_CO_50</vt:lpstr>
      <vt:lpstr>UC_CO_CO_60</vt:lpstr>
      <vt:lpstr>UC_CO_CO_70</vt:lpstr>
      <vt:lpstr>UC_EC_LF_10</vt:lpstr>
      <vt:lpstr>UC_EC_LF_20</vt:lpstr>
      <vt:lpstr>UC_EC_LF_30</vt:lpstr>
      <vt:lpstr>UC_EC_LF_40</vt:lpstr>
      <vt:lpstr>UC_EC_LF_50</vt:lpstr>
      <vt:lpstr>UC_EC_NGP_10</vt:lpstr>
      <vt:lpstr>UC_EC_NGP_20</vt:lpstr>
      <vt:lpstr>UC_EC_NGP_30</vt:lpstr>
      <vt:lpstr>UC_EC_NGP_40</vt:lpstr>
      <vt:lpstr>UC_EC_NGP_50</vt:lpstr>
      <vt:lpstr>UC_EC_OE_10</vt:lpstr>
      <vt:lpstr>UC_EC_OE_20</vt:lpstr>
      <vt:lpstr>UC_EC_OE_30</vt:lpstr>
      <vt:lpstr>UC_EC_OE_40</vt:lpstr>
      <vt:lpstr>UC_EC_OS_10</vt:lpstr>
      <vt:lpstr>UC_EC_OS_20</vt:lpstr>
      <vt:lpstr>UC_EC_OS_30</vt:lpstr>
      <vt:lpstr>UC_EC_OS_40</vt:lpstr>
      <vt:lpstr>UC_GM_RG_10</vt:lpstr>
      <vt:lpstr>UC_GM_RG_20</vt:lpstr>
      <vt:lpstr>UC_GR_AR_30</vt:lpstr>
      <vt:lpstr>UC_GR_AR_40</vt:lpstr>
      <vt:lpstr>UC_GR_LR_10</vt:lpstr>
      <vt:lpstr>UC_GR_LR_15</vt:lpstr>
      <vt:lpstr>UC_GR_LR_20</vt:lpstr>
      <vt:lpstr>UC_GR_MR_10</vt:lpstr>
      <vt:lpstr>UC_GR_MR_20</vt:lpstr>
      <vt:lpstr>UC_GR_MR_30</vt:lpstr>
      <vt:lpstr>UC_GR_MR_40</vt:lpstr>
      <vt:lpstr>UC_GR_SR_10</vt:lpstr>
      <vt:lpstr>UC_GR_SR_20</vt:lpstr>
      <vt:lpstr>UC_GU_AU_30</vt:lpstr>
      <vt:lpstr>UC_GU_AU_35</vt:lpstr>
      <vt:lpstr>UC_GU_AU_36</vt:lpstr>
      <vt:lpstr>UC_GU_AU_40</vt:lpstr>
      <vt:lpstr>UC_GU_AU_45</vt:lpstr>
      <vt:lpstr>UC_GU_AU_46</vt:lpstr>
      <vt:lpstr>UC_GU_AU_47</vt:lpstr>
      <vt:lpstr>UC_GU_AU_48</vt:lpstr>
      <vt:lpstr>UC_GU_AU_49</vt:lpstr>
      <vt:lpstr>UC_GU_AU_49.1</vt:lpstr>
      <vt:lpstr>UC_GU_AU_49.2</vt:lpstr>
      <vt:lpstr>UC_GU_AU_49.3</vt:lpstr>
      <vt:lpstr>UC_GU_AU_49.4</vt:lpstr>
      <vt:lpstr>UC_GU_AU_50</vt:lpstr>
      <vt:lpstr>UC_GU_AU_60</vt:lpstr>
      <vt:lpstr>UC_GU_AU_70</vt:lpstr>
      <vt:lpstr>UC_GU_AU_80</vt:lpstr>
      <vt:lpstr>UC_GU_MU_10</vt:lpstr>
      <vt:lpstr>UC_GU_MU_20</vt:lpstr>
      <vt:lpstr>UC_GU_MU_30</vt:lpstr>
      <vt:lpstr>UC_GU_MU_40</vt:lpstr>
      <vt:lpstr>UC_GU_MU_50</vt:lpstr>
      <vt:lpstr>UC_GU_MU_60</vt:lpstr>
      <vt:lpstr>UC_GU_PR_10</vt:lpstr>
      <vt:lpstr>UC_GU_PR_100</vt:lpstr>
      <vt:lpstr>UC_GU_PR_110</vt:lpstr>
      <vt:lpstr>UC_GU_PR_120</vt:lpstr>
      <vt:lpstr>UC_GU_PR_130</vt:lpstr>
      <vt:lpstr>UC_GU_PR_140</vt:lpstr>
      <vt:lpstr>UC_GU_PR_150</vt:lpstr>
      <vt:lpstr>UC_GU_PR_160</vt:lpstr>
      <vt:lpstr>UC_GU_PR_20</vt:lpstr>
      <vt:lpstr>UC_GU_PR_30</vt:lpstr>
      <vt:lpstr>UC_GU_PR_40</vt:lpstr>
      <vt:lpstr>UC_GU_PR_50</vt:lpstr>
      <vt:lpstr>UC_GU_PR_60</vt:lpstr>
      <vt:lpstr>UC_GU_PR_70</vt:lpstr>
      <vt:lpstr>UC_GU_PR_80</vt:lpstr>
      <vt:lpstr>UC_GU_PR_90</vt:lpstr>
      <vt:lpstr>UC_GU_SU_20</vt:lpstr>
      <vt:lpstr>UC_IT_CT_10</vt:lpstr>
      <vt:lpstr>UC_IT_PT_10</vt:lpstr>
      <vt:lpstr>UC_IT_PT_100</vt:lpstr>
      <vt:lpstr>UC_IT_PT_110</vt:lpstr>
      <vt:lpstr>UC_IT_PT_120</vt:lpstr>
      <vt:lpstr>UC_IT_PT_130</vt:lpstr>
      <vt:lpstr>UC_IT_PT_140</vt:lpstr>
      <vt:lpstr>UC_IT_PT_150</vt:lpstr>
      <vt:lpstr>UC_IT_PT_160</vt:lpstr>
      <vt:lpstr>UC_IT_PT_170</vt:lpstr>
      <vt:lpstr>UC_IT_PT_180</vt:lpstr>
      <vt:lpstr>UC_IT_PT_190</vt:lpstr>
      <vt:lpstr>UC_IT_PT_20</vt:lpstr>
      <vt:lpstr>UC_IT_PT_200</vt:lpstr>
      <vt:lpstr>UC_IT_PT_210</vt:lpstr>
      <vt:lpstr>UC_IT_PT_220</vt:lpstr>
      <vt:lpstr>UC_IT_PT_230</vt:lpstr>
      <vt:lpstr>UC_IT_PT_240</vt:lpstr>
      <vt:lpstr>UC_IT_PT_250</vt:lpstr>
      <vt:lpstr>UC_IT_PT_260</vt:lpstr>
      <vt:lpstr>UC_IT_PT_270</vt:lpstr>
      <vt:lpstr>UC_IT_PT_30</vt:lpstr>
      <vt:lpstr>UC_IT_PT_40</vt:lpstr>
      <vt:lpstr>UC_IT_PT_50</vt:lpstr>
      <vt:lpstr>UC_IT_PT_60</vt:lpstr>
      <vt:lpstr>UC_IT_PT_70</vt:lpstr>
      <vt:lpstr>UC_IT_PT_80</vt:lpstr>
      <vt:lpstr>UC_IT_PT_90</vt:lpstr>
      <vt:lpstr>UC_IT_TS_10</vt:lpstr>
      <vt:lpstr>UC_IT_TS_100</vt:lpstr>
      <vt:lpstr>UC_IT_TS_110</vt:lpstr>
      <vt:lpstr>UC_IT_TS_120</vt:lpstr>
      <vt:lpstr>UC_IT_TS_130</vt:lpstr>
      <vt:lpstr>UC_IT_TS_140</vt:lpstr>
      <vt:lpstr>UC_IT_TS_150</vt:lpstr>
      <vt:lpstr>UC_IT_TS_160</vt:lpstr>
      <vt:lpstr>UC_IT_TS_170</vt:lpstr>
      <vt:lpstr>UC_IT_TS_180</vt:lpstr>
      <vt:lpstr>UC_IT_TS_190</vt:lpstr>
      <vt:lpstr>UC_IT_TS_20</vt:lpstr>
      <vt:lpstr>UC_IT_TS_200</vt:lpstr>
      <vt:lpstr>UC_IT_TS_210</vt:lpstr>
      <vt:lpstr>UC_IT_TS_220</vt:lpstr>
      <vt:lpstr>UC_IT_TS_30</vt:lpstr>
      <vt:lpstr>UC_IT_TS_40</vt:lpstr>
      <vt:lpstr>UC_IT_TS_50</vt:lpstr>
      <vt:lpstr>UC_IT_TS_60</vt:lpstr>
      <vt:lpstr>UC_IT_TS_70</vt:lpstr>
      <vt:lpstr>UC_IT_TS_80</vt:lpstr>
      <vt:lpstr>UC_IT_TS_90</vt:lpstr>
      <vt:lpstr>UC_OA_OA_10</vt:lpstr>
      <vt:lpstr>UC_OA_OA_100</vt:lpstr>
      <vt:lpstr>UC_OA_OA_110</vt:lpstr>
      <vt:lpstr>UC_OA_OA_120</vt:lpstr>
      <vt:lpstr>UC_OA_OA_130</vt:lpstr>
      <vt:lpstr>UC_OA_OA_140</vt:lpstr>
      <vt:lpstr>UC_OA_OA_150</vt:lpstr>
      <vt:lpstr>UC_OA_OA_160</vt:lpstr>
      <vt:lpstr>UC_OA_OA_170</vt:lpstr>
      <vt:lpstr>UC_OA_OA_180</vt:lpstr>
      <vt:lpstr>UC_OA_OA_190</vt:lpstr>
      <vt:lpstr>UC_OA_OA_20</vt:lpstr>
      <vt:lpstr>UC_OA_OA_200</vt:lpstr>
      <vt:lpstr>UC_OA_OA_210</vt:lpstr>
      <vt:lpstr>UC_OA_OA_220</vt:lpstr>
      <vt:lpstr>UC_OA_OA_30</vt:lpstr>
      <vt:lpstr>UC_OA_OA_40</vt:lpstr>
      <vt:lpstr>UC_OA_OA_50</vt:lpstr>
      <vt:lpstr>UC_OA_OA_60</vt:lpstr>
      <vt:lpstr>UC_OA_OA_70</vt:lpstr>
      <vt:lpstr>UC_OA_OA_80</vt:lpstr>
      <vt:lpstr>UC_OA_OA_90</vt:lpstr>
      <vt:lpstr>UC_PF_BC_10</vt:lpstr>
      <vt:lpstr>UC_PF_BC_20</vt:lpstr>
      <vt:lpstr>UC_PF_BC_30</vt:lpstr>
      <vt:lpstr>UC_PF_BC_40</vt:lpstr>
      <vt:lpstr>UC_PF_BC_50</vt:lpstr>
      <vt:lpstr>UC_PF_BC_60</vt:lpstr>
      <vt:lpstr>UC_PF_CA_10</vt:lpstr>
      <vt:lpstr>UC_PF_CA_20</vt:lpstr>
      <vt:lpstr>UC_PF_CA_30</vt:lpstr>
      <vt:lpstr>UC_PF_CA_40</vt:lpstr>
      <vt:lpstr>UC_PF_CA_45</vt:lpstr>
      <vt:lpstr>UC_PF_CA_50</vt:lpstr>
      <vt:lpstr>UC_PF_CA_55</vt:lpstr>
      <vt:lpstr>UC_PF_CA_60</vt:lpstr>
      <vt:lpstr>UC_PF_CA_70</vt:lpstr>
      <vt:lpstr>UC_RE_AR_10</vt:lpstr>
      <vt:lpstr>UC_RE_AR_20</vt:lpstr>
      <vt:lpstr>UC_RE_AR_30</vt:lpstr>
      <vt:lpstr>UC_RE_AR_40</vt:lpstr>
      <vt:lpstr>UC_RE_LR_10</vt:lpstr>
      <vt:lpstr>UC_RE_LR_20</vt:lpstr>
      <vt:lpstr>UC_RE_MR_10</vt:lpstr>
      <vt:lpstr>UC_RE_MR_20</vt:lpstr>
      <vt:lpstr>UC_RE_MR_30</vt:lpstr>
      <vt:lpstr>UC_RE_MR_40</vt:lpstr>
      <vt:lpstr>UC_RE_SR_10</vt:lpstr>
      <vt:lpstr>UC_RE_SR_20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UONG</dc:creator>
  <cp:lastModifiedBy>Alec ANNET-DESDAME</cp:lastModifiedBy>
  <dcterms:created xsi:type="dcterms:W3CDTF">2017-11-22T13:35:51Z</dcterms:created>
  <dcterms:modified xsi:type="dcterms:W3CDTF">2017-12-28T09:55:35Z</dcterms:modified>
</cp:coreProperties>
</file>